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整理\"/>
    </mc:Choice>
  </mc:AlternateContent>
  <bookViews>
    <workbookView xWindow="0" yWindow="0" windowWidth="28800" windowHeight="12225"/>
  </bookViews>
  <sheets>
    <sheet name="怪物属性规划" sheetId="1" r:id="rId1"/>
    <sheet name="角色属性" sheetId="2" r:id="rId2"/>
    <sheet name="圣火属性" sheetId="9" r:id="rId3"/>
    <sheet name="技能效果" sheetId="10" r:id="rId4"/>
    <sheet name="怪物属性等级系数" sheetId="5" r:id="rId5"/>
    <sheet name="关卡等级" sheetId="6" r:id="rId6"/>
    <sheet name="怪物列表" sheetId="7" r:id="rId7"/>
    <sheet name="神器属性" sheetId="11" r:id="rId8"/>
  </sheets>
  <externalReferences>
    <externalReference r:id="rId9"/>
    <externalReference r:id="rId10"/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" i="6" l="1"/>
  <c r="BD6" i="6"/>
  <c r="BD7" i="6"/>
  <c r="BD8" i="6"/>
  <c r="BD9" i="6"/>
  <c r="BD10" i="6"/>
  <c r="BD11" i="6"/>
  <c r="BD4" i="6"/>
  <c r="P32" i="2"/>
  <c r="BS10" i="2"/>
  <c r="BT10" i="2"/>
  <c r="BR10" i="2"/>
  <c r="J8" i="2"/>
  <c r="J77" i="2"/>
  <c r="AC77" i="2"/>
  <c r="AD77" i="2"/>
  <c r="BQ10" i="2"/>
  <c r="BS9" i="2"/>
  <c r="BT9" i="2"/>
  <c r="AE57" i="2"/>
  <c r="BR9" i="2"/>
  <c r="J57" i="2"/>
  <c r="AC57" i="2"/>
  <c r="AD57" i="2"/>
  <c r="BQ9" i="2"/>
  <c r="AB77" i="2"/>
  <c r="BP10" i="2"/>
  <c r="AB57" i="2"/>
  <c r="BP9" i="2"/>
  <c r="BS8" i="2"/>
  <c r="BT8" i="2"/>
  <c r="BR8" i="2"/>
  <c r="J37" i="2"/>
  <c r="AC37" i="2"/>
  <c r="AD37" i="2"/>
  <c r="BQ8" i="2"/>
  <c r="AB37" i="2"/>
  <c r="BP8" i="2"/>
  <c r="BS7" i="2"/>
  <c r="BT7" i="2"/>
  <c r="BR7" i="2"/>
  <c r="J17" i="2"/>
  <c r="AC17" i="2"/>
  <c r="AD17" i="2"/>
  <c r="BQ7" i="2"/>
  <c r="AB17" i="2"/>
  <c r="BP7" i="2"/>
  <c r="J30" i="2"/>
  <c r="AB30" i="2"/>
  <c r="AC30" i="2"/>
  <c r="AD30" i="2"/>
  <c r="AH30" i="2"/>
  <c r="J31" i="2"/>
  <c r="AB31" i="2"/>
  <c r="AC31" i="2"/>
  <c r="AD31" i="2"/>
  <c r="AH31" i="2"/>
  <c r="J32" i="2"/>
  <c r="AD32" i="2"/>
  <c r="AB32" i="2"/>
  <c r="AC32" i="2"/>
  <c r="AH32" i="2"/>
  <c r="J33" i="2"/>
  <c r="AB33" i="2"/>
  <c r="AC33" i="2"/>
  <c r="AD33" i="2"/>
  <c r="AH33" i="2"/>
  <c r="J34" i="2"/>
  <c r="AB34" i="2"/>
  <c r="AC34" i="2"/>
  <c r="AD34" i="2"/>
  <c r="AH34" i="2"/>
  <c r="J35" i="2"/>
  <c r="AB35" i="2"/>
  <c r="AC35" i="2"/>
  <c r="AD35" i="2"/>
  <c r="AH35" i="2"/>
  <c r="J36" i="2"/>
  <c r="AB36" i="2"/>
  <c r="AC36" i="2"/>
  <c r="AD36" i="2"/>
  <c r="AH36" i="2"/>
  <c r="AH37" i="2"/>
  <c r="J38" i="2"/>
  <c r="AB38" i="2"/>
  <c r="AC38" i="2"/>
  <c r="AD38" i="2"/>
  <c r="AH38" i="2"/>
  <c r="J39" i="2"/>
  <c r="AB39" i="2"/>
  <c r="AC39" i="2"/>
  <c r="AD39" i="2"/>
  <c r="AH39" i="2"/>
  <c r="J40" i="2"/>
  <c r="AB40" i="2"/>
  <c r="AC40" i="2"/>
  <c r="AD40" i="2"/>
  <c r="AH40" i="2"/>
  <c r="J41" i="2"/>
  <c r="AB41" i="2"/>
  <c r="AC41" i="2"/>
  <c r="AD41" i="2"/>
  <c r="AH41" i="2"/>
  <c r="J42" i="2"/>
  <c r="AB42" i="2"/>
  <c r="AC42" i="2"/>
  <c r="AD42" i="2"/>
  <c r="AH42" i="2"/>
  <c r="J43" i="2"/>
  <c r="AB43" i="2"/>
  <c r="AC43" i="2"/>
  <c r="AD43" i="2"/>
  <c r="AH43" i="2"/>
  <c r="J44" i="2"/>
  <c r="AB44" i="2"/>
  <c r="AC44" i="2"/>
  <c r="AD44" i="2"/>
  <c r="AH44" i="2"/>
  <c r="J45" i="2"/>
  <c r="AB45" i="2"/>
  <c r="AC45" i="2"/>
  <c r="AD45" i="2"/>
  <c r="AH45" i="2"/>
  <c r="J46" i="2"/>
  <c r="AB46" i="2"/>
  <c r="AC46" i="2"/>
  <c r="AD46" i="2"/>
  <c r="AH46" i="2"/>
  <c r="AE47" i="2"/>
  <c r="J47" i="2"/>
  <c r="AB47" i="2"/>
  <c r="AC47" i="2"/>
  <c r="AD47" i="2"/>
  <c r="AH47" i="2"/>
  <c r="AE48" i="2"/>
  <c r="J48" i="2"/>
  <c r="AB48" i="2"/>
  <c r="AC48" i="2"/>
  <c r="AD48" i="2"/>
  <c r="AH48" i="2"/>
  <c r="AE49" i="2"/>
  <c r="J49" i="2"/>
  <c r="AB49" i="2"/>
  <c r="AC49" i="2"/>
  <c r="AD49" i="2"/>
  <c r="AH49" i="2"/>
  <c r="AE50" i="2"/>
  <c r="J50" i="2"/>
  <c r="AB50" i="2"/>
  <c r="AC50" i="2"/>
  <c r="AD50" i="2"/>
  <c r="AH50" i="2"/>
  <c r="AE51" i="2"/>
  <c r="J51" i="2"/>
  <c r="AB51" i="2"/>
  <c r="AC51" i="2"/>
  <c r="AD51" i="2"/>
  <c r="AH51" i="2"/>
  <c r="AE52" i="2"/>
  <c r="J52" i="2"/>
  <c r="AB52" i="2"/>
  <c r="AC52" i="2"/>
  <c r="AD52" i="2"/>
  <c r="AH52" i="2"/>
  <c r="AE53" i="2"/>
  <c r="J53" i="2"/>
  <c r="AB53" i="2"/>
  <c r="AC53" i="2"/>
  <c r="AD53" i="2"/>
  <c r="AH53" i="2"/>
  <c r="AE54" i="2"/>
  <c r="J54" i="2"/>
  <c r="AB54" i="2"/>
  <c r="AC54" i="2"/>
  <c r="AD54" i="2"/>
  <c r="AH54" i="2"/>
  <c r="AE55" i="2"/>
  <c r="J55" i="2"/>
  <c r="AB55" i="2"/>
  <c r="AC55" i="2"/>
  <c r="AD55" i="2"/>
  <c r="AH55" i="2"/>
  <c r="AE56" i="2"/>
  <c r="J56" i="2"/>
  <c r="AB56" i="2"/>
  <c r="AC56" i="2"/>
  <c r="AD56" i="2"/>
  <c r="AH56" i="2"/>
  <c r="AH57" i="2"/>
  <c r="AE58" i="2"/>
  <c r="J58" i="2"/>
  <c r="AB58" i="2"/>
  <c r="AC58" i="2"/>
  <c r="AD58" i="2"/>
  <c r="AH58" i="2"/>
  <c r="AE59" i="2"/>
  <c r="J59" i="2"/>
  <c r="AB59" i="2"/>
  <c r="AC59" i="2"/>
  <c r="AD59" i="2"/>
  <c r="AH59" i="2"/>
  <c r="AE60" i="2"/>
  <c r="J60" i="2"/>
  <c r="AB60" i="2"/>
  <c r="AC60" i="2"/>
  <c r="AD60" i="2"/>
  <c r="AH60" i="2"/>
  <c r="AE61" i="2"/>
  <c r="J61" i="2"/>
  <c r="AB61" i="2"/>
  <c r="AC61" i="2"/>
  <c r="AD61" i="2"/>
  <c r="AH61" i="2"/>
  <c r="AE62" i="2"/>
  <c r="J62" i="2"/>
  <c r="AB62" i="2"/>
  <c r="AC62" i="2"/>
  <c r="AD62" i="2"/>
  <c r="AH62" i="2"/>
  <c r="AE63" i="2"/>
  <c r="J63" i="2"/>
  <c r="AB63" i="2"/>
  <c r="AC63" i="2"/>
  <c r="AD63" i="2"/>
  <c r="AH63" i="2"/>
  <c r="AE64" i="2"/>
  <c r="J64" i="2"/>
  <c r="AB64" i="2"/>
  <c r="AC64" i="2"/>
  <c r="AD64" i="2"/>
  <c r="AH64" i="2"/>
  <c r="AE65" i="2"/>
  <c r="J65" i="2"/>
  <c r="AB65" i="2"/>
  <c r="AC65" i="2"/>
  <c r="AD65" i="2"/>
  <c r="AH65" i="2"/>
  <c r="AE66" i="2"/>
  <c r="J66" i="2"/>
  <c r="AB66" i="2"/>
  <c r="AC66" i="2"/>
  <c r="AD66" i="2"/>
  <c r="AH66" i="2"/>
  <c r="AE67" i="2"/>
  <c r="J67" i="2"/>
  <c r="AB67" i="2"/>
  <c r="AC67" i="2"/>
  <c r="AD67" i="2"/>
  <c r="AH67" i="2"/>
  <c r="AE68" i="2"/>
  <c r="J68" i="2"/>
  <c r="AB68" i="2"/>
  <c r="AC68" i="2"/>
  <c r="AD68" i="2"/>
  <c r="AH68" i="2"/>
  <c r="AE69" i="2"/>
  <c r="J69" i="2"/>
  <c r="AB69" i="2"/>
  <c r="AC69" i="2"/>
  <c r="AD69" i="2"/>
  <c r="AH69" i="2"/>
  <c r="AE70" i="2"/>
  <c r="J70" i="2"/>
  <c r="AB70" i="2"/>
  <c r="AC70" i="2"/>
  <c r="AD70" i="2"/>
  <c r="AH70" i="2"/>
  <c r="AE71" i="2"/>
  <c r="J71" i="2"/>
  <c r="AB71" i="2"/>
  <c r="AC71" i="2"/>
  <c r="AD71" i="2"/>
  <c r="AH71" i="2"/>
  <c r="AE72" i="2"/>
  <c r="J72" i="2"/>
  <c r="AB72" i="2"/>
  <c r="AC72" i="2"/>
  <c r="AD72" i="2"/>
  <c r="AH72" i="2"/>
  <c r="AE73" i="2"/>
  <c r="J73" i="2"/>
  <c r="AB73" i="2"/>
  <c r="AC73" i="2"/>
  <c r="AD73" i="2"/>
  <c r="AH73" i="2"/>
  <c r="AE74" i="2"/>
  <c r="J74" i="2"/>
  <c r="AB74" i="2"/>
  <c r="AC74" i="2"/>
  <c r="AD74" i="2"/>
  <c r="AH74" i="2"/>
  <c r="AE75" i="2"/>
  <c r="J75" i="2"/>
  <c r="AB75" i="2"/>
  <c r="AC75" i="2"/>
  <c r="AD75" i="2"/>
  <c r="AH75" i="2"/>
  <c r="AE76" i="2"/>
  <c r="J76" i="2"/>
  <c r="AB76" i="2"/>
  <c r="AC76" i="2"/>
  <c r="AD76" i="2"/>
  <c r="AH76" i="2"/>
  <c r="AE77" i="2"/>
  <c r="AH77" i="2"/>
  <c r="AE78" i="2"/>
  <c r="J78" i="2"/>
  <c r="AB78" i="2"/>
  <c r="AC78" i="2"/>
  <c r="AD78" i="2"/>
  <c r="AH78" i="2"/>
  <c r="AE79" i="2"/>
  <c r="J79" i="2"/>
  <c r="AB79" i="2"/>
  <c r="AC79" i="2"/>
  <c r="AD79" i="2"/>
  <c r="AH79" i="2"/>
  <c r="AE80" i="2"/>
  <c r="J80" i="2"/>
  <c r="AB80" i="2"/>
  <c r="AC80" i="2"/>
  <c r="AD80" i="2"/>
  <c r="AH80" i="2"/>
  <c r="AE81" i="2"/>
  <c r="J81" i="2"/>
  <c r="AB81" i="2"/>
  <c r="AC81" i="2"/>
  <c r="AD81" i="2"/>
  <c r="AH81" i="2"/>
  <c r="AE82" i="2"/>
  <c r="J82" i="2"/>
  <c r="AB82" i="2"/>
  <c r="AC82" i="2"/>
  <c r="AD82" i="2"/>
  <c r="AH82" i="2"/>
  <c r="AE83" i="2"/>
  <c r="J83" i="2"/>
  <c r="AB83" i="2"/>
  <c r="AC83" i="2"/>
  <c r="AD83" i="2"/>
  <c r="AH83" i="2"/>
  <c r="AE84" i="2"/>
  <c r="J84" i="2"/>
  <c r="AB84" i="2"/>
  <c r="AC84" i="2"/>
  <c r="AD84" i="2"/>
  <c r="AH84" i="2"/>
  <c r="AE85" i="2"/>
  <c r="J85" i="2"/>
  <c r="AB85" i="2"/>
  <c r="AC85" i="2"/>
  <c r="AD85" i="2"/>
  <c r="AH85" i="2"/>
  <c r="AE86" i="2"/>
  <c r="J86" i="2"/>
  <c r="AB86" i="2"/>
  <c r="AC86" i="2"/>
  <c r="AD86" i="2"/>
  <c r="AH86" i="2"/>
  <c r="AE87" i="2"/>
  <c r="J87" i="2"/>
  <c r="AB87" i="2"/>
  <c r="AC87" i="2"/>
  <c r="AD87" i="2"/>
  <c r="AH87" i="2"/>
  <c r="AE88" i="2"/>
  <c r="J88" i="2"/>
  <c r="AB88" i="2"/>
  <c r="AC88" i="2"/>
  <c r="AD88" i="2"/>
  <c r="AH88" i="2"/>
  <c r="AE89" i="2"/>
  <c r="J89" i="2"/>
  <c r="AB89" i="2"/>
  <c r="AC89" i="2"/>
  <c r="AD89" i="2"/>
  <c r="AH89" i="2"/>
  <c r="AE90" i="2"/>
  <c r="J90" i="2"/>
  <c r="AB90" i="2"/>
  <c r="AC90" i="2"/>
  <c r="AD90" i="2"/>
  <c r="AH90" i="2"/>
  <c r="AE91" i="2"/>
  <c r="J91" i="2"/>
  <c r="AB91" i="2"/>
  <c r="AC91" i="2"/>
  <c r="AD91" i="2"/>
  <c r="AH91" i="2"/>
  <c r="AE92" i="2"/>
  <c r="J92" i="2"/>
  <c r="AB92" i="2"/>
  <c r="AC92" i="2"/>
  <c r="AD92" i="2"/>
  <c r="AH92" i="2"/>
  <c r="AE93" i="2"/>
  <c r="J93" i="2"/>
  <c r="AB93" i="2"/>
  <c r="AC93" i="2"/>
  <c r="AD93" i="2"/>
  <c r="AH93" i="2"/>
  <c r="AE94" i="2"/>
  <c r="J94" i="2"/>
  <c r="AB94" i="2"/>
  <c r="AC94" i="2"/>
  <c r="AD94" i="2"/>
  <c r="AH94" i="2"/>
  <c r="AE95" i="2"/>
  <c r="J95" i="2"/>
  <c r="AB95" i="2"/>
  <c r="AC95" i="2"/>
  <c r="AD95" i="2"/>
  <c r="AH95" i="2"/>
  <c r="AE96" i="2"/>
  <c r="J96" i="2"/>
  <c r="AB96" i="2"/>
  <c r="AC96" i="2"/>
  <c r="AD96" i="2"/>
  <c r="AH96" i="2"/>
  <c r="AE97" i="2"/>
  <c r="J97" i="2"/>
  <c r="AB97" i="2"/>
  <c r="AC97" i="2"/>
  <c r="AD97" i="2"/>
  <c r="AH97" i="2"/>
  <c r="AE98" i="2"/>
  <c r="J98" i="2"/>
  <c r="AB98" i="2"/>
  <c r="AC98" i="2"/>
  <c r="AD98" i="2"/>
  <c r="AH98" i="2"/>
  <c r="AE99" i="2"/>
  <c r="J99" i="2"/>
  <c r="AB99" i="2"/>
  <c r="AC99" i="2"/>
  <c r="AD99" i="2"/>
  <c r="AH99" i="2"/>
  <c r="AE100" i="2"/>
  <c r="J100" i="2"/>
  <c r="AB100" i="2"/>
  <c r="AC100" i="2"/>
  <c r="AD100" i="2"/>
  <c r="AH100" i="2"/>
  <c r="AE101" i="2"/>
  <c r="J101" i="2"/>
  <c r="AB101" i="2"/>
  <c r="AC101" i="2"/>
  <c r="AD101" i="2"/>
  <c r="AH101" i="2"/>
  <c r="AE102" i="2"/>
  <c r="J102" i="2"/>
  <c r="AB102" i="2"/>
  <c r="AC102" i="2"/>
  <c r="AD102" i="2"/>
  <c r="AH102" i="2"/>
  <c r="AE103" i="2"/>
  <c r="J103" i="2"/>
  <c r="AB103" i="2"/>
  <c r="AC103" i="2"/>
  <c r="AD103" i="2"/>
  <c r="AH103" i="2"/>
  <c r="AE104" i="2"/>
  <c r="J104" i="2"/>
  <c r="AB104" i="2"/>
  <c r="AC104" i="2"/>
  <c r="AD104" i="2"/>
  <c r="AH104" i="2"/>
  <c r="AE105" i="2"/>
  <c r="J105" i="2"/>
  <c r="AB105" i="2"/>
  <c r="AC105" i="2"/>
  <c r="AD105" i="2"/>
  <c r="AH105" i="2"/>
  <c r="AE106" i="2"/>
  <c r="J106" i="2"/>
  <c r="AB106" i="2"/>
  <c r="AC106" i="2"/>
  <c r="AD106" i="2"/>
  <c r="AH106" i="2"/>
  <c r="AE107" i="2"/>
  <c r="J107" i="2"/>
  <c r="AB107" i="2"/>
  <c r="AC107" i="2"/>
  <c r="AD107" i="2"/>
  <c r="AH107" i="2"/>
  <c r="J29" i="2"/>
  <c r="AB29" i="2"/>
  <c r="AC29" i="2"/>
  <c r="AD29" i="2"/>
  <c r="AH29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5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107" i="2"/>
  <c r="N57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8" i="2"/>
  <c r="AB8" i="2"/>
  <c r="AC8" i="2"/>
  <c r="AD8" i="2"/>
  <c r="AF8" i="2"/>
  <c r="AH8" i="2"/>
  <c r="AM8" i="2"/>
  <c r="AN8" i="2"/>
  <c r="AO8" i="2"/>
  <c r="AP8" i="2"/>
  <c r="AQ8" i="2"/>
  <c r="J22" i="2"/>
  <c r="AC22" i="2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D2" i="10"/>
  <c r="D3" i="10"/>
  <c r="D4" i="10"/>
  <c r="D5" i="10"/>
  <c r="D6" i="10"/>
  <c r="D7" i="10"/>
  <c r="D8" i="10"/>
  <c r="D9" i="10"/>
  <c r="D10" i="10"/>
  <c r="D11" i="10"/>
  <c r="D12" i="10"/>
  <c r="D13" i="10"/>
  <c r="C28" i="1"/>
  <c r="F28" i="1"/>
  <c r="H28" i="1"/>
  <c r="C29" i="1"/>
  <c r="F29" i="1"/>
  <c r="H29" i="1"/>
  <c r="C30" i="1"/>
  <c r="F30" i="1"/>
  <c r="H30" i="1"/>
  <c r="C31" i="1"/>
  <c r="F31" i="1"/>
  <c r="H31" i="1"/>
  <c r="C32" i="1"/>
  <c r="F32" i="1"/>
  <c r="H32" i="1"/>
  <c r="F33" i="1"/>
  <c r="H33" i="1"/>
  <c r="H27" i="1"/>
  <c r="G28" i="1"/>
  <c r="G29" i="1"/>
  <c r="G30" i="1"/>
  <c r="G31" i="1"/>
  <c r="G32" i="1"/>
  <c r="G27" i="1"/>
  <c r="F27" i="1"/>
  <c r="G33" i="1"/>
  <c r="A18" i="1"/>
  <c r="J16" i="1"/>
  <c r="L13" i="1"/>
  <c r="I16" i="1"/>
  <c r="AJ8" i="2"/>
  <c r="AJ9" i="2"/>
  <c r="AL9" i="2"/>
  <c r="AJ10" i="2"/>
  <c r="AL10" i="2"/>
  <c r="Z4" i="5"/>
  <c r="AJ11" i="2"/>
  <c r="AL11" i="2"/>
  <c r="AJ12" i="2"/>
  <c r="AJ13" i="2"/>
  <c r="AJ14" i="2"/>
  <c r="AL14" i="2"/>
  <c r="M8" i="5"/>
  <c r="AJ15" i="2"/>
  <c r="AL15" i="2"/>
  <c r="AJ16" i="2"/>
  <c r="AJ17" i="2"/>
  <c r="AJ18" i="2"/>
  <c r="AL18" i="2"/>
  <c r="W12" i="5"/>
  <c r="AJ19" i="2"/>
  <c r="AL19" i="2"/>
  <c r="AJ20" i="2"/>
  <c r="AJ21" i="2"/>
  <c r="AJ22" i="2"/>
  <c r="AL22" i="2"/>
  <c r="F16" i="5"/>
  <c r="AJ23" i="2"/>
  <c r="AL23" i="2"/>
  <c r="AJ24" i="2"/>
  <c r="AJ25" i="2"/>
  <c r="AJ26" i="2"/>
  <c r="AL26" i="2"/>
  <c r="T20" i="5"/>
  <c r="AJ27" i="2"/>
  <c r="AL27" i="2"/>
  <c r="AJ28" i="2"/>
  <c r="AJ29" i="2"/>
  <c r="AJ30" i="2"/>
  <c r="AL30" i="2"/>
  <c r="H24" i="5"/>
  <c r="AJ31" i="2"/>
  <c r="AL31" i="2"/>
  <c r="AJ32" i="2"/>
  <c r="AJ33" i="2"/>
  <c r="AJ34" i="2"/>
  <c r="AL34" i="2"/>
  <c r="L28" i="5"/>
  <c r="AJ35" i="2"/>
  <c r="AL35" i="2"/>
  <c r="AJ36" i="2"/>
  <c r="AJ37" i="2"/>
  <c r="AJ38" i="2"/>
  <c r="AL38" i="2"/>
  <c r="Y32" i="5"/>
  <c r="AJ39" i="2"/>
  <c r="AL39" i="2"/>
  <c r="AJ40" i="2"/>
  <c r="AJ41" i="2"/>
  <c r="AJ42" i="2"/>
  <c r="AL42" i="2"/>
  <c r="R36" i="5"/>
  <c r="AJ43" i="2"/>
  <c r="AL43" i="2"/>
  <c r="AJ44" i="2"/>
  <c r="AJ45" i="2"/>
  <c r="AJ46" i="2"/>
  <c r="AL46" i="2"/>
  <c r="Z40" i="5"/>
  <c r="AJ47" i="2"/>
  <c r="AL47" i="2"/>
  <c r="AJ48" i="2"/>
  <c r="AJ49" i="2"/>
  <c r="AJ50" i="2"/>
  <c r="AL50" i="2"/>
  <c r="E18" i="1"/>
  <c r="AV50" i="2"/>
  <c r="AJ51" i="2"/>
  <c r="AL51" i="2"/>
  <c r="AJ52" i="2"/>
  <c r="AJ53" i="2"/>
  <c r="AJ54" i="2"/>
  <c r="AL54" i="2"/>
  <c r="AJ55" i="2"/>
  <c r="AL55" i="2"/>
  <c r="AJ56" i="2"/>
  <c r="AJ57" i="2"/>
  <c r="AJ58" i="2"/>
  <c r="AL58" i="2"/>
  <c r="O52" i="5"/>
  <c r="AJ59" i="2"/>
  <c r="AL59" i="2"/>
  <c r="AJ60" i="2"/>
  <c r="AJ61" i="2"/>
  <c r="AJ62" i="2"/>
  <c r="AL62" i="2"/>
  <c r="W56" i="5"/>
  <c r="AJ63" i="2"/>
  <c r="AL63" i="2"/>
  <c r="AJ64" i="2"/>
  <c r="AJ65" i="2"/>
  <c r="AJ66" i="2"/>
  <c r="AL66" i="2"/>
  <c r="P60" i="5"/>
  <c r="AJ67" i="2"/>
  <c r="AL67" i="2"/>
  <c r="AJ68" i="2"/>
  <c r="AJ69" i="2"/>
  <c r="AJ70" i="2"/>
  <c r="AL70" i="2"/>
  <c r="I64" i="5"/>
  <c r="AJ71" i="2"/>
  <c r="AL71" i="2"/>
  <c r="AJ72" i="2"/>
  <c r="AJ73" i="2"/>
  <c r="AJ74" i="2"/>
  <c r="AL74" i="2"/>
  <c r="AJ75" i="2"/>
  <c r="AL75" i="2"/>
  <c r="AJ76" i="2"/>
  <c r="AJ77" i="2"/>
  <c r="AJ78" i="2"/>
  <c r="AL78" i="2"/>
  <c r="AJ79" i="2"/>
  <c r="AL79" i="2"/>
  <c r="AJ80" i="2"/>
  <c r="AJ81" i="2"/>
  <c r="AJ82" i="2"/>
  <c r="AL82" i="2"/>
  <c r="G76" i="5"/>
  <c r="AJ83" i="2"/>
  <c r="AL83" i="2"/>
  <c r="AJ84" i="2"/>
  <c r="AJ85" i="2"/>
  <c r="AJ86" i="2"/>
  <c r="AL86" i="2"/>
  <c r="W80" i="5"/>
  <c r="AJ87" i="2"/>
  <c r="AL87" i="2"/>
  <c r="AJ88" i="2"/>
  <c r="AJ89" i="2"/>
  <c r="AJ90" i="2"/>
  <c r="AL90" i="2"/>
  <c r="R84" i="5"/>
  <c r="AJ91" i="2"/>
  <c r="AL91" i="2"/>
  <c r="AJ92" i="2"/>
  <c r="AJ93" i="2"/>
  <c r="AJ94" i="2"/>
  <c r="AL94" i="2"/>
  <c r="T88" i="5"/>
  <c r="AJ95" i="2"/>
  <c r="AL95" i="2"/>
  <c r="AJ96" i="2"/>
  <c r="AJ97" i="2"/>
  <c r="AJ98" i="2"/>
  <c r="AL98" i="2"/>
  <c r="AJ99" i="2"/>
  <c r="AL99" i="2"/>
  <c r="AJ100" i="2"/>
  <c r="AJ101" i="2"/>
  <c r="AJ102" i="2"/>
  <c r="AL102" i="2"/>
  <c r="R96" i="5"/>
  <c r="AJ103" i="2"/>
  <c r="AL103" i="2"/>
  <c r="AJ104" i="2"/>
  <c r="AJ105" i="2"/>
  <c r="AJ106" i="2"/>
  <c r="AL106" i="2"/>
  <c r="AJ107" i="2"/>
  <c r="AL107" i="2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M185" i="6"/>
  <c r="AN185" i="6"/>
  <c r="AM186" i="6"/>
  <c r="AN186" i="6"/>
  <c r="AM187" i="6"/>
  <c r="AN187" i="6"/>
  <c r="AM188" i="6"/>
  <c r="AN188" i="6"/>
  <c r="AM189" i="6"/>
  <c r="AN189" i="6"/>
  <c r="AM190" i="6"/>
  <c r="AN190" i="6"/>
  <c r="AM191" i="6"/>
  <c r="AN191" i="6"/>
  <c r="AM192" i="6"/>
  <c r="AN192" i="6"/>
  <c r="AM193" i="6"/>
  <c r="AN193" i="6"/>
  <c r="AM194" i="6"/>
  <c r="AN194" i="6"/>
  <c r="AM195" i="6"/>
  <c r="AN195" i="6"/>
  <c r="AM196" i="6"/>
  <c r="AN196" i="6"/>
  <c r="AM197" i="6"/>
  <c r="AN197" i="6"/>
  <c r="AM198" i="6"/>
  <c r="AN198" i="6"/>
  <c r="AM199" i="6"/>
  <c r="AN199" i="6"/>
  <c r="AM200" i="6"/>
  <c r="AN200" i="6"/>
  <c r="AM201" i="6"/>
  <c r="AN201" i="6"/>
  <c r="AM202" i="6"/>
  <c r="AN202" i="6"/>
  <c r="BB9" i="2"/>
  <c r="AL4" i="6"/>
  <c r="BB10" i="2"/>
  <c r="AL5" i="6"/>
  <c r="BB11" i="2"/>
  <c r="BB12" i="2"/>
  <c r="AL7" i="6"/>
  <c r="BB13" i="2"/>
  <c r="AL8" i="6"/>
  <c r="BB14" i="2"/>
  <c r="AL9" i="6"/>
  <c r="BB15" i="2"/>
  <c r="AL10" i="6"/>
  <c r="BB16" i="2"/>
  <c r="AL11" i="6"/>
  <c r="BB17" i="2"/>
  <c r="BB18" i="2"/>
  <c r="BB19" i="2"/>
  <c r="AL16" i="6"/>
  <c r="BB20" i="2"/>
  <c r="BB21" i="2"/>
  <c r="BB22" i="2"/>
  <c r="AL20" i="6"/>
  <c r="BB23" i="2"/>
  <c r="BB24" i="2"/>
  <c r="BB25" i="2"/>
  <c r="BB26" i="2"/>
  <c r="BB27" i="2"/>
  <c r="BB28" i="2"/>
  <c r="BB29" i="2"/>
  <c r="AL30" i="6"/>
  <c r="BB30" i="2"/>
  <c r="BB31" i="2"/>
  <c r="BB32" i="2"/>
  <c r="AL34" i="6"/>
  <c r="BB33" i="2"/>
  <c r="BB34" i="2"/>
  <c r="BB35" i="2"/>
  <c r="AL40" i="6"/>
  <c r="BB36" i="2"/>
  <c r="BB37" i="2"/>
  <c r="BB38" i="2"/>
  <c r="BB39" i="2"/>
  <c r="BB40" i="2"/>
  <c r="AL50" i="6"/>
  <c r="BB41" i="2"/>
  <c r="BB42" i="2"/>
  <c r="BB43" i="2"/>
  <c r="BB44" i="2"/>
  <c r="AL59" i="6"/>
  <c r="BB45" i="2"/>
  <c r="BB46" i="2"/>
  <c r="BB47" i="2"/>
  <c r="AL64" i="6"/>
  <c r="BB48" i="2"/>
  <c r="AL65" i="6"/>
  <c r="BB49" i="2"/>
  <c r="BB50" i="2"/>
  <c r="BB51" i="2"/>
  <c r="BB52" i="2"/>
  <c r="AL72" i="6"/>
  <c r="BB53" i="2"/>
  <c r="AL76" i="6"/>
  <c r="BB54" i="2"/>
  <c r="BB55" i="2"/>
  <c r="AL81" i="6"/>
  <c r="BB56" i="2"/>
  <c r="BB57" i="2"/>
  <c r="BB58" i="2"/>
  <c r="AL85" i="6"/>
  <c r="BB59" i="2"/>
  <c r="BB60" i="2"/>
  <c r="BB61" i="2"/>
  <c r="BB62" i="2"/>
  <c r="BB63" i="2"/>
  <c r="BB64" i="2"/>
  <c r="BB65" i="2"/>
  <c r="BB66" i="2"/>
  <c r="BB67" i="2"/>
  <c r="BB68" i="2"/>
  <c r="BB69" i="2"/>
  <c r="AL107" i="6"/>
  <c r="BB70" i="2"/>
  <c r="BB71" i="2"/>
  <c r="BB72" i="2"/>
  <c r="AL114" i="6"/>
  <c r="BB73" i="2"/>
  <c r="AL116" i="6"/>
  <c r="BB74" i="2"/>
  <c r="AL117" i="6"/>
  <c r="BB75" i="2"/>
  <c r="BB76" i="2"/>
  <c r="BB77" i="2"/>
  <c r="AL123" i="6"/>
  <c r="BB78" i="2"/>
  <c r="BB79" i="2"/>
  <c r="BB80" i="2"/>
  <c r="BB81" i="2"/>
  <c r="BB82" i="2"/>
  <c r="AL132" i="6"/>
  <c r="BB83" i="2"/>
  <c r="BB84" i="2"/>
  <c r="BB85" i="2"/>
  <c r="AL140" i="6"/>
  <c r="BB86" i="2"/>
  <c r="BB87" i="2"/>
  <c r="BB88" i="2"/>
  <c r="BB89" i="2"/>
  <c r="AL147" i="6"/>
  <c r="BB90" i="2"/>
  <c r="BB91" i="2"/>
  <c r="BB92" i="2"/>
  <c r="AL152" i="6"/>
  <c r="BB93" i="2"/>
  <c r="BB94" i="2"/>
  <c r="AL157" i="6"/>
  <c r="BB95" i="2"/>
  <c r="AL160" i="6"/>
  <c r="BB96" i="2"/>
  <c r="BB97" i="2"/>
  <c r="AL164" i="6"/>
  <c r="BB98" i="2"/>
  <c r="BB99" i="2"/>
  <c r="BB100" i="2"/>
  <c r="BB101" i="2"/>
  <c r="BB102" i="2"/>
  <c r="BB103" i="2"/>
  <c r="BB104" i="2"/>
  <c r="AL177" i="6"/>
  <c r="AL178" i="6"/>
  <c r="BB105" i="2"/>
  <c r="BB106" i="2"/>
  <c r="BB107" i="2"/>
  <c r="BB8" i="2"/>
  <c r="AL3" i="6"/>
  <c r="AL175" i="6"/>
  <c r="AL103" i="6"/>
  <c r="AL95" i="6"/>
  <c r="AL87" i="6"/>
  <c r="AL55" i="6"/>
  <c r="AL47" i="6"/>
  <c r="AL104" i="6"/>
  <c r="AL159" i="6"/>
  <c r="AL119" i="6"/>
  <c r="AL71" i="6"/>
  <c r="AL102" i="6"/>
  <c r="AL70" i="6"/>
  <c r="AL167" i="6"/>
  <c r="AL163" i="6"/>
  <c r="AL115" i="6"/>
  <c r="AL19" i="6"/>
  <c r="AL6" i="6"/>
  <c r="AL56" i="6"/>
  <c r="AL41" i="6"/>
  <c r="AL179" i="6"/>
  <c r="AL171" i="6"/>
  <c r="AL106" i="6"/>
  <c r="AL51" i="6"/>
  <c r="AL32" i="6"/>
  <c r="AL158" i="6"/>
  <c r="AL105" i="6"/>
  <c r="AL162" i="6"/>
  <c r="AL124" i="6"/>
  <c r="AL33" i="6"/>
  <c r="AL176" i="6"/>
  <c r="AL170" i="6"/>
  <c r="AL149" i="6"/>
  <c r="AL128" i="6"/>
  <c r="AL122" i="6"/>
  <c r="AL96" i="6"/>
  <c r="BC9" i="2"/>
  <c r="AM4" i="6"/>
  <c r="BC10" i="2"/>
  <c r="AM5" i="6"/>
  <c r="BC11" i="2"/>
  <c r="AM6" i="6"/>
  <c r="BC12" i="2"/>
  <c r="AM7" i="6"/>
  <c r="BC13" i="2"/>
  <c r="BC14" i="2"/>
  <c r="AM9" i="6"/>
  <c r="BC15" i="2"/>
  <c r="AM10" i="6"/>
  <c r="BC16" i="2"/>
  <c r="AM11" i="6"/>
  <c r="BC17" i="2"/>
  <c r="BC18" i="2"/>
  <c r="BC19" i="2"/>
  <c r="AM16" i="6"/>
  <c r="BC20" i="2"/>
  <c r="BC21" i="2"/>
  <c r="AM19" i="6"/>
  <c r="BC22" i="2"/>
  <c r="AM20" i="6"/>
  <c r="BC23" i="2"/>
  <c r="AM21" i="6"/>
  <c r="BC24" i="2"/>
  <c r="BC25" i="2"/>
  <c r="BC26" i="2"/>
  <c r="BC27" i="2"/>
  <c r="BC28" i="2"/>
  <c r="BC29" i="2"/>
  <c r="BC30" i="2"/>
  <c r="BC31" i="2"/>
  <c r="BC32" i="2"/>
  <c r="BC33" i="2"/>
  <c r="BC34" i="2"/>
  <c r="AM38" i="6"/>
  <c r="BC35" i="2"/>
  <c r="AM40" i="6"/>
  <c r="BC36" i="2"/>
  <c r="BC37" i="2"/>
  <c r="AM42" i="6"/>
  <c r="BC38" i="2"/>
  <c r="BC39" i="2"/>
  <c r="BC40" i="2"/>
  <c r="BC41" i="2"/>
  <c r="BC42" i="2"/>
  <c r="AM53" i="6"/>
  <c r="BC43" i="2"/>
  <c r="BC44" i="2"/>
  <c r="BC45" i="2"/>
  <c r="BC46" i="2"/>
  <c r="BC47" i="2"/>
  <c r="BC48" i="2"/>
  <c r="BC49" i="2"/>
  <c r="BC50" i="2"/>
  <c r="AM70" i="6"/>
  <c r="BC51" i="2"/>
  <c r="BC52" i="2"/>
  <c r="BC53" i="2"/>
  <c r="BC54" i="2"/>
  <c r="AM78" i="6"/>
  <c r="BC55" i="2"/>
  <c r="BC56" i="2"/>
  <c r="BC57" i="2"/>
  <c r="BC58" i="2"/>
  <c r="BC59" i="2"/>
  <c r="AM89" i="6"/>
  <c r="BC60" i="2"/>
  <c r="BC61" i="2"/>
  <c r="BC62" i="2"/>
  <c r="AM93" i="6"/>
  <c r="BC63" i="2"/>
  <c r="AM96" i="6"/>
  <c r="BC64" i="2"/>
  <c r="BC65" i="2"/>
  <c r="BC66" i="2"/>
  <c r="BC67" i="2"/>
  <c r="BC68" i="2"/>
  <c r="BC69" i="2"/>
  <c r="BC70" i="2"/>
  <c r="AM111" i="6"/>
  <c r="BC71" i="2"/>
  <c r="BC72" i="2"/>
  <c r="BC73" i="2"/>
  <c r="BC74" i="2"/>
  <c r="BC75" i="2"/>
  <c r="AM120" i="6"/>
  <c r="BC76" i="2"/>
  <c r="BC77" i="2"/>
  <c r="AM122" i="6"/>
  <c r="BC78" i="2"/>
  <c r="BC79" i="2"/>
  <c r="BC80" i="2"/>
  <c r="BC81" i="2"/>
  <c r="BC82" i="2"/>
  <c r="AM133" i="6"/>
  <c r="BC83" i="2"/>
  <c r="BC84" i="2"/>
  <c r="BC85" i="2"/>
  <c r="BC86" i="2"/>
  <c r="BC87" i="2"/>
  <c r="AM144" i="6"/>
  <c r="BC88" i="2"/>
  <c r="BC89" i="2"/>
  <c r="BC90" i="2"/>
  <c r="AM150" i="6"/>
  <c r="BC91" i="2"/>
  <c r="BC92" i="2"/>
  <c r="BC93" i="2"/>
  <c r="BC94" i="2"/>
  <c r="AM158" i="6"/>
  <c r="BC95" i="2"/>
  <c r="BC96" i="2"/>
  <c r="BC97" i="2"/>
  <c r="BC98" i="2"/>
  <c r="AM166" i="6"/>
  <c r="BC99" i="2"/>
  <c r="AM169" i="6"/>
  <c r="BC100" i="2"/>
  <c r="BC101" i="2"/>
  <c r="BC102" i="2"/>
  <c r="AM173" i="6"/>
  <c r="BC103" i="2"/>
  <c r="AM176" i="6"/>
  <c r="BC104" i="2"/>
  <c r="BC105" i="2"/>
  <c r="BC106" i="2"/>
  <c r="BC107" i="2"/>
  <c r="AM127" i="6"/>
  <c r="AM121" i="6"/>
  <c r="AM64" i="6"/>
  <c r="AM47" i="6"/>
  <c r="AM41" i="6"/>
  <c r="AM151" i="6"/>
  <c r="AM52" i="6"/>
  <c r="AM178" i="6"/>
  <c r="AM179" i="6"/>
  <c r="AM177" i="6"/>
  <c r="AM170" i="6"/>
  <c r="AM171" i="6"/>
  <c r="AM154" i="6"/>
  <c r="AM152" i="6"/>
  <c r="AM153" i="6"/>
  <c r="AM146" i="6"/>
  <c r="AM145" i="6"/>
  <c r="AM138" i="6"/>
  <c r="AM139" i="6"/>
  <c r="AM137" i="6"/>
  <c r="AM130" i="6"/>
  <c r="AM131" i="6"/>
  <c r="AM114" i="6"/>
  <c r="AM112" i="6"/>
  <c r="AM113" i="6"/>
  <c r="AM106" i="6"/>
  <c r="AM105" i="6"/>
  <c r="AM98" i="6"/>
  <c r="AM99" i="6"/>
  <c r="AM97" i="6"/>
  <c r="AM90" i="6"/>
  <c r="AM91" i="6"/>
  <c r="AM74" i="6"/>
  <c r="AM72" i="6"/>
  <c r="AM73" i="6"/>
  <c r="AM66" i="6"/>
  <c r="AM65" i="6"/>
  <c r="AM58" i="6"/>
  <c r="AM59" i="6"/>
  <c r="AM57" i="6"/>
  <c r="AM50" i="6"/>
  <c r="AM51" i="6"/>
  <c r="AM34" i="6"/>
  <c r="AM32" i="6"/>
  <c r="AM33" i="6"/>
  <c r="AM23" i="6"/>
  <c r="BD15" i="2"/>
  <c r="BD9" i="2"/>
  <c r="AN4" i="6"/>
  <c r="BD11" i="2"/>
  <c r="BD12" i="2"/>
  <c r="AN7" i="6"/>
  <c r="BD13" i="2"/>
  <c r="AN8" i="6"/>
  <c r="BD16" i="2"/>
  <c r="AN11" i="6"/>
  <c r="BD18" i="2"/>
  <c r="BD17" i="2"/>
  <c r="AN14" i="6"/>
  <c r="BD19" i="2"/>
  <c r="BD20" i="2"/>
  <c r="BD22" i="2"/>
  <c r="BD21" i="2"/>
  <c r="AN20" i="6"/>
  <c r="BD23" i="2"/>
  <c r="AN21" i="6"/>
  <c r="BD24" i="2"/>
  <c r="BD26" i="2"/>
  <c r="BD27" i="2"/>
  <c r="BD28" i="2"/>
  <c r="BD30" i="2"/>
  <c r="BD31" i="2"/>
  <c r="BD32" i="2"/>
  <c r="AN34" i="6"/>
  <c r="BD34" i="2"/>
  <c r="BD35" i="2"/>
  <c r="AN40" i="6"/>
  <c r="BD36" i="2"/>
  <c r="BD38" i="2"/>
  <c r="BD39" i="2"/>
  <c r="BD40" i="2"/>
  <c r="AN51" i="6"/>
  <c r="BD42" i="2"/>
  <c r="AN54" i="6"/>
  <c r="BD43" i="2"/>
  <c r="BD44" i="2"/>
  <c r="BD46" i="2"/>
  <c r="BD47" i="2"/>
  <c r="BD48" i="2"/>
  <c r="BD50" i="2"/>
  <c r="BD51" i="2"/>
  <c r="BD52" i="2"/>
  <c r="BD54" i="2"/>
  <c r="BD55" i="2"/>
  <c r="BD56" i="2"/>
  <c r="BD58" i="2"/>
  <c r="BD59" i="2"/>
  <c r="BD60" i="2"/>
  <c r="BD61" i="2"/>
  <c r="BD62" i="2"/>
  <c r="BD63" i="2"/>
  <c r="AN95" i="6"/>
  <c r="BD64" i="2"/>
  <c r="BD65" i="2"/>
  <c r="AN100" i="6"/>
  <c r="BD66" i="2"/>
  <c r="BD67" i="2"/>
  <c r="AN104" i="6"/>
  <c r="BD68" i="2"/>
  <c r="AN106" i="6"/>
  <c r="BD69" i="2"/>
  <c r="AN109" i="6"/>
  <c r="BD70" i="2"/>
  <c r="BD71" i="2"/>
  <c r="BD72" i="2"/>
  <c r="BD73" i="2"/>
  <c r="AN116" i="6"/>
  <c r="BD74" i="2"/>
  <c r="BD75" i="2"/>
  <c r="BD76" i="2"/>
  <c r="BD77" i="2"/>
  <c r="AN124" i="6"/>
  <c r="BD78" i="2"/>
  <c r="AN125" i="6"/>
  <c r="BD79" i="2"/>
  <c r="AN127" i="6"/>
  <c r="BD80" i="2"/>
  <c r="BD81" i="2"/>
  <c r="BD82" i="2"/>
  <c r="BD83" i="2"/>
  <c r="AN135" i="6"/>
  <c r="BD84" i="2"/>
  <c r="BD85" i="2"/>
  <c r="AN140" i="6"/>
  <c r="BD86" i="2"/>
  <c r="BD87" i="2"/>
  <c r="BD88" i="2"/>
  <c r="BD89" i="2"/>
  <c r="AN149" i="6"/>
  <c r="BD90" i="2"/>
  <c r="BD91" i="2"/>
  <c r="BD92" i="2"/>
  <c r="BD93" i="2"/>
  <c r="AN155" i="6"/>
  <c r="BD94" i="2"/>
  <c r="AN159" i="6"/>
  <c r="BD95" i="2"/>
  <c r="BD96" i="2"/>
  <c r="BD97" i="2"/>
  <c r="BD98" i="2"/>
  <c r="AN166" i="6"/>
  <c r="BD99" i="2"/>
  <c r="BD100" i="2"/>
  <c r="BD101" i="2"/>
  <c r="BD102" i="2"/>
  <c r="AN173" i="6"/>
  <c r="BD103" i="2"/>
  <c r="AN175" i="6"/>
  <c r="BD104" i="2"/>
  <c r="BD105" i="2"/>
  <c r="BD106" i="2"/>
  <c r="BD107" i="2"/>
  <c r="AN184" i="6"/>
  <c r="BD8" i="2"/>
  <c r="AN3" i="6"/>
  <c r="AN158" i="6"/>
  <c r="BD57" i="2"/>
  <c r="BD41" i="2"/>
  <c r="BD25" i="2"/>
  <c r="BD10" i="2"/>
  <c r="AN5" i="6"/>
  <c r="AN165" i="6"/>
  <c r="AN133" i="6"/>
  <c r="AN123" i="6"/>
  <c r="AN119" i="6"/>
  <c r="BD53" i="2"/>
  <c r="AN76" i="6"/>
  <c r="BD37" i="2"/>
  <c r="AN19" i="6"/>
  <c r="AN93" i="6"/>
  <c r="BD49" i="2"/>
  <c r="AN69" i="6"/>
  <c r="BD33" i="2"/>
  <c r="AN35" i="6"/>
  <c r="AN183" i="6"/>
  <c r="AN176" i="6"/>
  <c r="AN169" i="6"/>
  <c r="AN161" i="6"/>
  <c r="AN160" i="6"/>
  <c r="AN142" i="6"/>
  <c r="AN136" i="6"/>
  <c r="AN128" i="6"/>
  <c r="AN129" i="6"/>
  <c r="AN102" i="6"/>
  <c r="AN103" i="6"/>
  <c r="AN96" i="6"/>
  <c r="AN89" i="6"/>
  <c r="BD45" i="2"/>
  <c r="BD29" i="2"/>
  <c r="BD14" i="2"/>
  <c r="AN9" i="6"/>
  <c r="AN73" i="6"/>
  <c r="AN65" i="6"/>
  <c r="AN66" i="6"/>
  <c r="AN32" i="6"/>
  <c r="AN33" i="6"/>
  <c r="AN78" i="6"/>
  <c r="AN52" i="6"/>
  <c r="AN53" i="6"/>
  <c r="AN15" i="6"/>
  <c r="AN64" i="6"/>
  <c r="AN41" i="6"/>
  <c r="AN36" i="6"/>
  <c r="AN43" i="6"/>
  <c r="AN42" i="6"/>
  <c r="AN44" i="6"/>
  <c r="AN75" i="6"/>
  <c r="AN83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BH5" i="6"/>
  <c r="BH6" i="6"/>
  <c r="BH7" i="6"/>
  <c r="BH8" i="6"/>
  <c r="BH9" i="6"/>
  <c r="BH10" i="6"/>
  <c r="BH11" i="6"/>
  <c r="BH12" i="6"/>
  <c r="BH13" i="6"/>
  <c r="BH4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4" i="6"/>
  <c r="AX115" i="6"/>
  <c r="AX116" i="6"/>
  <c r="AX117" i="6"/>
  <c r="AX118" i="6"/>
  <c r="AX119" i="6"/>
  <c r="AX1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63" i="6"/>
  <c r="AX164" i="6"/>
  <c r="AX165" i="6"/>
  <c r="AX166" i="6"/>
  <c r="AX167" i="6"/>
  <c r="AX168" i="6"/>
  <c r="AX169" i="6"/>
  <c r="AX170" i="6"/>
  <c r="AX171" i="6"/>
  <c r="AX172" i="6"/>
  <c r="AX173" i="6"/>
  <c r="AX174" i="6"/>
  <c r="AX175" i="6"/>
  <c r="AX176" i="6"/>
  <c r="AX177" i="6"/>
  <c r="AX178" i="6"/>
  <c r="AX179" i="6"/>
  <c r="AX180" i="6"/>
  <c r="AX181" i="6"/>
  <c r="AX182" i="6"/>
  <c r="AX183" i="6"/>
  <c r="AX184" i="6"/>
  <c r="AX185" i="6"/>
  <c r="AX186" i="6"/>
  <c r="AX187" i="6"/>
  <c r="AX188" i="6"/>
  <c r="AX189" i="6"/>
  <c r="AX190" i="6"/>
  <c r="AX191" i="6"/>
  <c r="AX192" i="6"/>
  <c r="AX193" i="6"/>
  <c r="AX194" i="6"/>
  <c r="AX195" i="6"/>
  <c r="AX196" i="6"/>
  <c r="AX197" i="6"/>
  <c r="AX198" i="6"/>
  <c r="AX199" i="6"/>
  <c r="AX200" i="6"/>
  <c r="AX201" i="6"/>
  <c r="AX202" i="6"/>
  <c r="AX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32" i="6"/>
  <c r="I33" i="6"/>
  <c r="I34" i="6"/>
  <c r="I35" i="6"/>
  <c r="I36" i="6"/>
  <c r="I37" i="6"/>
  <c r="I38" i="6"/>
  <c r="I39" i="6"/>
  <c r="I40" i="6"/>
  <c r="I41" i="6"/>
  <c r="I3" i="6"/>
  <c r="AL12" i="2"/>
  <c r="AL13" i="2"/>
  <c r="AL16" i="2"/>
  <c r="AL17" i="2"/>
  <c r="AL20" i="2"/>
  <c r="AL21" i="2"/>
  <c r="AL24" i="2"/>
  <c r="AL25" i="2"/>
  <c r="AL28" i="2"/>
  <c r="R22" i="5"/>
  <c r="AL29" i="2"/>
  <c r="AL32" i="2"/>
  <c r="AL33" i="2"/>
  <c r="AL36" i="2"/>
  <c r="AL37" i="2"/>
  <c r="AL40" i="2"/>
  <c r="AL41" i="2"/>
  <c r="AL44" i="2"/>
  <c r="AL45" i="2"/>
  <c r="AL48" i="2"/>
  <c r="AL49" i="2"/>
  <c r="AL52" i="2"/>
  <c r="AL53" i="2"/>
  <c r="AL56" i="2"/>
  <c r="AL57" i="2"/>
  <c r="AL60" i="2"/>
  <c r="AL61" i="2"/>
  <c r="AL64" i="2"/>
  <c r="AL65" i="2"/>
  <c r="AL68" i="2"/>
  <c r="AL69" i="2"/>
  <c r="AL72" i="2"/>
  <c r="AL73" i="2"/>
  <c r="AL76" i="2"/>
  <c r="AL77" i="2"/>
  <c r="AL80" i="2"/>
  <c r="AL81" i="2"/>
  <c r="AL84" i="2"/>
  <c r="AL85" i="2"/>
  <c r="AL88" i="2"/>
  <c r="AL89" i="2"/>
  <c r="AL92" i="2"/>
  <c r="AL93" i="2"/>
  <c r="AL96" i="2"/>
  <c r="AL97" i="2"/>
  <c r="AL100" i="2"/>
  <c r="AL101" i="2"/>
  <c r="AL104" i="2"/>
  <c r="AL105" i="2"/>
  <c r="H18" i="6"/>
  <c r="H4" i="6"/>
  <c r="H8" i="6"/>
  <c r="H7" i="6"/>
  <c r="H32" i="6"/>
  <c r="H19" i="6"/>
  <c r="H11" i="6"/>
  <c r="H17" i="6"/>
  <c r="H34" i="6"/>
  <c r="H33" i="6"/>
  <c r="H36" i="6"/>
  <c r="H3" i="6"/>
  <c r="W95" i="2"/>
  <c r="X105" i="2"/>
  <c r="V48" i="2"/>
  <c r="W58" i="2"/>
  <c r="V49" i="2"/>
  <c r="W59" i="2"/>
  <c r="X69" i="2"/>
  <c r="W69" i="2"/>
  <c r="AF69" i="2"/>
  <c r="V50" i="2"/>
  <c r="W60" i="2"/>
  <c r="X70" i="2"/>
  <c r="V51" i="2"/>
  <c r="W61" i="2"/>
  <c r="V52" i="2"/>
  <c r="W62" i="2"/>
  <c r="V53" i="2"/>
  <c r="AF53" i="2"/>
  <c r="W63" i="2"/>
  <c r="X73" i="2"/>
  <c r="W73" i="2"/>
  <c r="AF73" i="2"/>
  <c r="V54" i="2"/>
  <c r="W64" i="2"/>
  <c r="X74" i="2"/>
  <c r="V55" i="2"/>
  <c r="V56" i="2"/>
  <c r="W66" i="2"/>
  <c r="V57" i="2"/>
  <c r="V58" i="2"/>
  <c r="W68" i="2"/>
  <c r="X78" i="2"/>
  <c r="V59" i="2"/>
  <c r="X79" i="2"/>
  <c r="V60" i="2"/>
  <c r="W70" i="2"/>
  <c r="X80" i="2"/>
  <c r="V61" i="2"/>
  <c r="W71" i="2"/>
  <c r="X81" i="2"/>
  <c r="V62" i="2"/>
  <c r="W72" i="2"/>
  <c r="X82" i="2"/>
  <c r="V63" i="2"/>
  <c r="X83" i="2"/>
  <c r="V64" i="2"/>
  <c r="W74" i="2"/>
  <c r="V65" i="2"/>
  <c r="W75" i="2"/>
  <c r="X85" i="2"/>
  <c r="W85" i="2"/>
  <c r="AF85" i="2"/>
  <c r="V66" i="2"/>
  <c r="W76" i="2"/>
  <c r="X86" i="2"/>
  <c r="V67" i="2"/>
  <c r="W77" i="2"/>
  <c r="X87" i="2"/>
  <c r="V68" i="2"/>
  <c r="W78" i="2"/>
  <c r="V69" i="2"/>
  <c r="W79" i="2"/>
  <c r="X89" i="2"/>
  <c r="W89" i="2"/>
  <c r="AF89" i="2"/>
  <c r="V70" i="2"/>
  <c r="V71" i="2"/>
  <c r="W81" i="2"/>
  <c r="X91" i="2"/>
  <c r="W91" i="2"/>
  <c r="AF91" i="2"/>
  <c r="V72" i="2"/>
  <c r="W82" i="2"/>
  <c r="V73" i="2"/>
  <c r="W83" i="2"/>
  <c r="X93" i="2"/>
  <c r="W93" i="2"/>
  <c r="AF93" i="2"/>
  <c r="V74" i="2"/>
  <c r="W84" i="2"/>
  <c r="X94" i="2"/>
  <c r="V75" i="2"/>
  <c r="X95" i="2"/>
  <c r="V76" i="2"/>
  <c r="W86" i="2"/>
  <c r="X96" i="2"/>
  <c r="V77" i="2"/>
  <c r="W87" i="2"/>
  <c r="X97" i="2"/>
  <c r="W97" i="2"/>
  <c r="AF97" i="2"/>
  <c r="V78" i="2"/>
  <c r="W88" i="2"/>
  <c r="X98" i="2"/>
  <c r="V79" i="2"/>
  <c r="X99" i="2"/>
  <c r="V80" i="2"/>
  <c r="W90" i="2"/>
  <c r="V81" i="2"/>
  <c r="X101" i="2"/>
  <c r="V82" i="2"/>
  <c r="W92" i="2"/>
  <c r="X102" i="2"/>
  <c r="V83" i="2"/>
  <c r="X103" i="2"/>
  <c r="V84" i="2"/>
  <c r="W94" i="2"/>
  <c r="V85" i="2"/>
  <c r="V86" i="2"/>
  <c r="V87" i="2"/>
  <c r="X107" i="2"/>
  <c r="V88" i="2"/>
  <c r="W98" i="2"/>
  <c r="V89" i="2"/>
  <c r="W99" i="2"/>
  <c r="V90" i="2"/>
  <c r="W100" i="2"/>
  <c r="V91" i="2"/>
  <c r="W101" i="2"/>
  <c r="V92" i="2"/>
  <c r="W102" i="2"/>
  <c r="V93" i="2"/>
  <c r="W103" i="2"/>
  <c r="V94" i="2"/>
  <c r="W104" i="2"/>
  <c r="V95" i="2"/>
  <c r="W105" i="2"/>
  <c r="V96" i="2"/>
  <c r="W106" i="2"/>
  <c r="V97" i="2"/>
  <c r="W107" i="2"/>
  <c r="V98" i="2"/>
  <c r="V99" i="2"/>
  <c r="V100" i="2"/>
  <c r="V101" i="2"/>
  <c r="AF101" i="2"/>
  <c r="V102" i="2"/>
  <c r="V103" i="2"/>
  <c r="V104" i="2"/>
  <c r="V105" i="2"/>
  <c r="V106" i="2"/>
  <c r="V107" i="2"/>
  <c r="V47" i="2"/>
  <c r="W57" i="2"/>
  <c r="X67" i="2"/>
  <c r="U38" i="2"/>
  <c r="AF38" i="2"/>
  <c r="U39" i="2"/>
  <c r="AF39" i="2"/>
  <c r="U40" i="2"/>
  <c r="AF40" i="2"/>
  <c r="U41" i="2"/>
  <c r="AF41" i="2"/>
  <c r="U42" i="2"/>
  <c r="AF42" i="2"/>
  <c r="U43" i="2"/>
  <c r="AF43" i="2"/>
  <c r="U44" i="2"/>
  <c r="AF44" i="2"/>
  <c r="U45" i="2"/>
  <c r="AF45" i="2"/>
  <c r="U46" i="2"/>
  <c r="AF46" i="2"/>
  <c r="U47" i="2"/>
  <c r="AF47" i="2"/>
  <c r="U48" i="2"/>
  <c r="AF48" i="2"/>
  <c r="U49" i="2"/>
  <c r="U50" i="2"/>
  <c r="U51" i="2"/>
  <c r="U52" i="2"/>
  <c r="AF52" i="2"/>
  <c r="U53" i="2"/>
  <c r="U54" i="2"/>
  <c r="U55" i="2"/>
  <c r="U56" i="2"/>
  <c r="AF56" i="2"/>
  <c r="U57" i="2"/>
  <c r="U58" i="2"/>
  <c r="U59" i="2"/>
  <c r="U60" i="2"/>
  <c r="AF60" i="2"/>
  <c r="U61" i="2"/>
  <c r="U62" i="2"/>
  <c r="U63" i="2"/>
  <c r="U64" i="2"/>
  <c r="AF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AF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37" i="2"/>
  <c r="AF37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49" i="2"/>
  <c r="AF54" i="2"/>
  <c r="AF50" i="2"/>
  <c r="I5" i="9"/>
  <c r="J5" i="9"/>
  <c r="K5" i="9"/>
  <c r="L5" i="9"/>
  <c r="M5" i="9"/>
  <c r="I6" i="9"/>
  <c r="J6" i="9"/>
  <c r="K6" i="9"/>
  <c r="L6" i="9"/>
  <c r="M6" i="9"/>
  <c r="I7" i="9"/>
  <c r="J7" i="9"/>
  <c r="K7" i="9"/>
  <c r="L7" i="9"/>
  <c r="M7" i="9"/>
  <c r="I8" i="9"/>
  <c r="J8" i="9"/>
  <c r="K8" i="9"/>
  <c r="L8" i="9"/>
  <c r="M8" i="9"/>
  <c r="I9" i="9"/>
  <c r="J9" i="9"/>
  <c r="K9" i="9"/>
  <c r="L9" i="9"/>
  <c r="M9" i="9"/>
  <c r="I10" i="9"/>
  <c r="J10" i="9"/>
  <c r="K10" i="9"/>
  <c r="L10" i="9"/>
  <c r="M10" i="9"/>
  <c r="I11" i="9"/>
  <c r="J11" i="9"/>
  <c r="K11" i="9"/>
  <c r="L11" i="9"/>
  <c r="M11" i="9"/>
  <c r="I12" i="9"/>
  <c r="J12" i="9"/>
  <c r="K12" i="9"/>
  <c r="L12" i="9"/>
  <c r="M12" i="9"/>
  <c r="I13" i="9"/>
  <c r="J13" i="9"/>
  <c r="K13" i="9"/>
  <c r="L13" i="9"/>
  <c r="M13" i="9"/>
  <c r="I14" i="9"/>
  <c r="J14" i="9"/>
  <c r="K14" i="9"/>
  <c r="L14" i="9"/>
  <c r="M14" i="9"/>
  <c r="I15" i="9"/>
  <c r="J15" i="9"/>
  <c r="K15" i="9"/>
  <c r="L15" i="9"/>
  <c r="M15" i="9"/>
  <c r="I16" i="9"/>
  <c r="J16" i="9"/>
  <c r="K16" i="9"/>
  <c r="L16" i="9"/>
  <c r="M16" i="9"/>
  <c r="I17" i="9"/>
  <c r="J17" i="9"/>
  <c r="K17" i="9"/>
  <c r="L17" i="9"/>
  <c r="M17" i="9"/>
  <c r="I18" i="9"/>
  <c r="J18" i="9"/>
  <c r="K18" i="9"/>
  <c r="L18" i="9"/>
  <c r="M18" i="9"/>
  <c r="I19" i="9"/>
  <c r="J19" i="9"/>
  <c r="K19" i="9"/>
  <c r="L19" i="9"/>
  <c r="M19" i="9"/>
  <c r="I20" i="9"/>
  <c r="J20" i="9"/>
  <c r="K20" i="9"/>
  <c r="L20" i="9"/>
  <c r="M20" i="9"/>
  <c r="I21" i="9"/>
  <c r="J21" i="9"/>
  <c r="K21" i="9"/>
  <c r="L21" i="9"/>
  <c r="M21" i="9"/>
  <c r="I22" i="9"/>
  <c r="J22" i="9"/>
  <c r="K22" i="9"/>
  <c r="L22" i="9"/>
  <c r="M22" i="9"/>
  <c r="I23" i="9"/>
  <c r="J23" i="9"/>
  <c r="K23" i="9"/>
  <c r="L23" i="9"/>
  <c r="M23" i="9"/>
  <c r="I24" i="9"/>
  <c r="J24" i="9"/>
  <c r="K24" i="9"/>
  <c r="L24" i="9"/>
  <c r="M24" i="9"/>
  <c r="I25" i="9"/>
  <c r="J25" i="9"/>
  <c r="K25" i="9"/>
  <c r="L25" i="9"/>
  <c r="M25" i="9"/>
  <c r="I26" i="9"/>
  <c r="J26" i="9"/>
  <c r="K26" i="9"/>
  <c r="L26" i="9"/>
  <c r="M26" i="9"/>
  <c r="I27" i="9"/>
  <c r="J27" i="9"/>
  <c r="K27" i="9"/>
  <c r="L27" i="9"/>
  <c r="M27" i="9"/>
  <c r="I28" i="9"/>
  <c r="J28" i="9"/>
  <c r="K28" i="9"/>
  <c r="L28" i="9"/>
  <c r="M28" i="9"/>
  <c r="I29" i="9"/>
  <c r="J29" i="9"/>
  <c r="K29" i="9"/>
  <c r="L29" i="9"/>
  <c r="M29" i="9"/>
  <c r="I30" i="9"/>
  <c r="J30" i="9"/>
  <c r="K30" i="9"/>
  <c r="L30" i="9"/>
  <c r="M30" i="9"/>
  <c r="I31" i="9"/>
  <c r="J31" i="9"/>
  <c r="K31" i="9"/>
  <c r="L31" i="9"/>
  <c r="M31" i="9"/>
  <c r="I32" i="9"/>
  <c r="J32" i="9"/>
  <c r="K32" i="9"/>
  <c r="L32" i="9"/>
  <c r="M32" i="9"/>
  <c r="I33" i="9"/>
  <c r="J33" i="9"/>
  <c r="K33" i="9"/>
  <c r="L33" i="9"/>
  <c r="M33" i="9"/>
  <c r="I34" i="9"/>
  <c r="J34" i="9"/>
  <c r="K34" i="9"/>
  <c r="L34" i="9"/>
  <c r="M34" i="9"/>
  <c r="I35" i="9"/>
  <c r="J35" i="9"/>
  <c r="K35" i="9"/>
  <c r="L35" i="9"/>
  <c r="M35" i="9"/>
  <c r="I36" i="9"/>
  <c r="J36" i="9"/>
  <c r="K36" i="9"/>
  <c r="L36" i="9"/>
  <c r="M36" i="9"/>
  <c r="I37" i="9"/>
  <c r="J37" i="9"/>
  <c r="K37" i="9"/>
  <c r="L37" i="9"/>
  <c r="M37" i="9"/>
  <c r="I38" i="9"/>
  <c r="J38" i="9"/>
  <c r="K38" i="9"/>
  <c r="L38" i="9"/>
  <c r="M38" i="9"/>
  <c r="I39" i="9"/>
  <c r="J39" i="9"/>
  <c r="K39" i="9"/>
  <c r="L39" i="9"/>
  <c r="M39" i="9"/>
  <c r="I40" i="9"/>
  <c r="J40" i="9"/>
  <c r="K40" i="9"/>
  <c r="L40" i="9"/>
  <c r="M40" i="9"/>
  <c r="I41" i="9"/>
  <c r="J41" i="9"/>
  <c r="K41" i="9"/>
  <c r="L41" i="9"/>
  <c r="M41" i="9"/>
  <c r="I42" i="9"/>
  <c r="J42" i="9"/>
  <c r="K42" i="9"/>
  <c r="L42" i="9"/>
  <c r="M42" i="9"/>
  <c r="I43" i="9"/>
  <c r="J43" i="9"/>
  <c r="K43" i="9"/>
  <c r="L43" i="9"/>
  <c r="M43" i="9"/>
  <c r="I44" i="9"/>
  <c r="J44" i="9"/>
  <c r="K44" i="9"/>
  <c r="L44" i="9"/>
  <c r="M44" i="9"/>
  <c r="I45" i="9"/>
  <c r="J45" i="9"/>
  <c r="K45" i="9"/>
  <c r="L45" i="9"/>
  <c r="M45" i="9"/>
  <c r="I46" i="9"/>
  <c r="J46" i="9"/>
  <c r="K46" i="9"/>
  <c r="L46" i="9"/>
  <c r="M46" i="9"/>
  <c r="I47" i="9"/>
  <c r="J47" i="9"/>
  <c r="K47" i="9"/>
  <c r="L47" i="9"/>
  <c r="M47" i="9"/>
  <c r="I48" i="9"/>
  <c r="J48" i="9"/>
  <c r="K48" i="9"/>
  <c r="L48" i="9"/>
  <c r="M48" i="9"/>
  <c r="I49" i="9"/>
  <c r="J49" i="9"/>
  <c r="K49" i="9"/>
  <c r="L49" i="9"/>
  <c r="M49" i="9"/>
  <c r="I50" i="9"/>
  <c r="J50" i="9"/>
  <c r="K50" i="9"/>
  <c r="L50" i="9"/>
  <c r="M50" i="9"/>
  <c r="I51" i="9"/>
  <c r="J51" i="9"/>
  <c r="K51" i="9"/>
  <c r="L51" i="9"/>
  <c r="M51" i="9"/>
  <c r="I52" i="9"/>
  <c r="J52" i="9"/>
  <c r="K52" i="9"/>
  <c r="L52" i="9"/>
  <c r="M52" i="9"/>
  <c r="I53" i="9"/>
  <c r="J53" i="9"/>
  <c r="K53" i="9"/>
  <c r="L53" i="9"/>
  <c r="M53" i="9"/>
  <c r="J4" i="9"/>
  <c r="K4" i="9"/>
  <c r="L4" i="9"/>
  <c r="M4" i="9"/>
  <c r="I4" i="9"/>
  <c r="Q51" i="1"/>
  <c r="R48" i="1"/>
  <c r="I3" i="2"/>
  <c r="J3" i="2"/>
  <c r="M5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27" i="2"/>
  <c r="AE17" i="2"/>
  <c r="AE18" i="2"/>
  <c r="AE19" i="2"/>
  <c r="AE20" i="2"/>
  <c r="AE21" i="2"/>
  <c r="AE22" i="2"/>
  <c r="AE23" i="2"/>
  <c r="AE24" i="2"/>
  <c r="AE25" i="2"/>
  <c r="AE26" i="2"/>
  <c r="AE16" i="2"/>
  <c r="M12" i="2"/>
  <c r="J13" i="2"/>
  <c r="M13" i="2"/>
  <c r="M14" i="2"/>
  <c r="M15" i="2"/>
  <c r="M16" i="2"/>
  <c r="M9" i="2"/>
  <c r="M10" i="2"/>
  <c r="M11" i="2"/>
  <c r="M8" i="2"/>
  <c r="J9" i="2"/>
  <c r="AB9" i="2"/>
  <c r="J10" i="2"/>
  <c r="J11" i="2"/>
  <c r="AB11" i="2"/>
  <c r="J12" i="2"/>
  <c r="J14" i="2"/>
  <c r="AB14" i="2"/>
  <c r="J15" i="2"/>
  <c r="J16" i="2"/>
  <c r="AC16" i="2"/>
  <c r="J18" i="2"/>
  <c r="AB18" i="2"/>
  <c r="J19" i="2"/>
  <c r="AB19" i="2"/>
  <c r="J20" i="2"/>
  <c r="AB20" i="2"/>
  <c r="J21" i="2"/>
  <c r="AB21" i="2"/>
  <c r="J23" i="2"/>
  <c r="J24" i="2"/>
  <c r="AB24" i="2"/>
  <c r="J25" i="2"/>
  <c r="J26" i="2"/>
  <c r="J27" i="2"/>
  <c r="AB27" i="2"/>
  <c r="J28" i="2"/>
  <c r="AD10" i="2"/>
  <c r="AE8" i="2"/>
  <c r="AE9" i="2"/>
  <c r="AE10" i="2"/>
  <c r="AE11" i="2"/>
  <c r="AE12" i="2"/>
  <c r="AE13" i="2"/>
  <c r="AE14" i="2"/>
  <c r="AE15" i="2"/>
  <c r="Q48" i="1"/>
  <c r="Q52" i="1"/>
  <c r="D23" i="6"/>
  <c r="D24" i="6"/>
  <c r="D25" i="6"/>
  <c r="I25" i="6"/>
  <c r="D28" i="6"/>
  <c r="AN28" i="6"/>
  <c r="D42" i="6"/>
  <c r="D43" i="6"/>
  <c r="D44" i="6"/>
  <c r="D45" i="6"/>
  <c r="D46" i="6"/>
  <c r="D47" i="6"/>
  <c r="D48" i="6"/>
  <c r="D49" i="6"/>
  <c r="D50" i="6"/>
  <c r="D51" i="6"/>
  <c r="D54" i="6"/>
  <c r="D55" i="6"/>
  <c r="D58" i="6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AT5" i="1"/>
  <c r="AT7" i="1"/>
  <c r="U13" i="1" s="1"/>
  <c r="AK7" i="1"/>
  <c r="AP7" i="1"/>
  <c r="AO11" i="1"/>
  <c r="AP8" i="1"/>
  <c r="AO12" i="1"/>
  <c r="AO8" i="1"/>
  <c r="AO10" i="1" s="1"/>
  <c r="AJ11" i="1"/>
  <c r="AK8" i="1"/>
  <c r="AJ12" i="1"/>
  <c r="AJ8" i="1"/>
  <c r="AJ10" i="1" s="1"/>
  <c r="AJ7" i="1"/>
  <c r="AJ9" i="1" s="1"/>
  <c r="AF7" i="1"/>
  <c r="AE11" i="1"/>
  <c r="AF8" i="1"/>
  <c r="AE12" i="1"/>
  <c r="AE8" i="1"/>
  <c r="AE10" i="1" s="1"/>
  <c r="AE7" i="1"/>
  <c r="AE9" i="1" s="1"/>
  <c r="Z8" i="1"/>
  <c r="Z10" i="1" s="1"/>
  <c r="Z7" i="1"/>
  <c r="Z9" i="1" s="1"/>
  <c r="V7" i="1"/>
  <c r="U8" i="1"/>
  <c r="U10" i="1" s="1"/>
  <c r="U7" i="1"/>
  <c r="U9" i="1" s="1"/>
  <c r="Q7" i="1"/>
  <c r="P8" i="1"/>
  <c r="P10" i="1" s="1"/>
  <c r="P7" i="1"/>
  <c r="P9" i="1" s="1"/>
  <c r="Q16" i="1" s="1"/>
  <c r="B18" i="1"/>
  <c r="B21" i="1"/>
  <c r="C18" i="1"/>
  <c r="C21" i="1"/>
  <c r="D18" i="1"/>
  <c r="D21" i="1"/>
  <c r="E21" i="1"/>
  <c r="V5" i="1"/>
  <c r="AU8" i="1"/>
  <c r="AV8" i="1"/>
  <c r="AW8" i="1"/>
  <c r="AX8" i="1"/>
  <c r="AT6" i="1"/>
  <c r="AT8" i="1"/>
  <c r="AU7" i="1"/>
  <c r="AV7" i="1"/>
  <c r="AW7" i="1"/>
  <c r="AX7" i="1"/>
  <c r="AU6" i="1"/>
  <c r="AV6" i="1"/>
  <c r="AW6" i="1"/>
  <c r="AX6" i="1"/>
  <c r="AU5" i="1"/>
  <c r="AV5" i="1"/>
  <c r="AW5" i="1"/>
  <c r="AX5" i="1"/>
  <c r="AP6" i="1"/>
  <c r="AP5" i="1"/>
  <c r="AO6" i="1"/>
  <c r="AO5" i="1"/>
  <c r="AO7" i="1"/>
  <c r="AO9" i="1" s="1"/>
  <c r="AK6" i="1"/>
  <c r="AK5" i="1"/>
  <c r="AJ6" i="1"/>
  <c r="AJ5" i="1"/>
  <c r="AF6" i="1"/>
  <c r="AF5" i="1"/>
  <c r="AE6" i="1"/>
  <c r="AE5" i="1"/>
  <c r="AA6" i="1"/>
  <c r="AA8" i="1"/>
  <c r="Z12" i="1"/>
  <c r="AA5" i="1"/>
  <c r="AA7" i="1"/>
  <c r="Z6" i="1"/>
  <c r="Z5" i="1"/>
  <c r="V6" i="1"/>
  <c r="V8" i="1"/>
  <c r="U12" i="1"/>
  <c r="U6" i="1"/>
  <c r="U5" i="1"/>
  <c r="Q6" i="1"/>
  <c r="Q8" i="1"/>
  <c r="P12" i="1"/>
  <c r="Q5" i="1"/>
  <c r="P6" i="1"/>
  <c r="P5" i="1"/>
  <c r="Q30" i="1"/>
  <c r="R5" i="1"/>
  <c r="R7" i="1"/>
  <c r="Q42" i="1"/>
  <c r="R42" i="1"/>
  <c r="S42" i="1"/>
  <c r="T42" i="1"/>
  <c r="P42" i="1"/>
  <c r="R30" i="1"/>
  <c r="S30" i="1"/>
  <c r="R31" i="1"/>
  <c r="S5" i="1"/>
  <c r="S7" i="1"/>
  <c r="T5" i="1"/>
  <c r="T7" i="1"/>
  <c r="AQ5" i="1"/>
  <c r="AQ7" i="1"/>
  <c r="AR5" i="1"/>
  <c r="AR7" i="1"/>
  <c r="AS5" i="1"/>
  <c r="AS7" i="1"/>
  <c r="AQ6" i="1"/>
  <c r="AQ8" i="1"/>
  <c r="AR6" i="1"/>
  <c r="AR8" i="1"/>
  <c r="AS6" i="1"/>
  <c r="AS8" i="1"/>
  <c r="AL5" i="1"/>
  <c r="AL7" i="1"/>
  <c r="AM5" i="1"/>
  <c r="AM7" i="1"/>
  <c r="AN5" i="1"/>
  <c r="AN7" i="1"/>
  <c r="AL6" i="1"/>
  <c r="AL8" i="1"/>
  <c r="AM6" i="1"/>
  <c r="AM8" i="1"/>
  <c r="AN6" i="1"/>
  <c r="AN8" i="1"/>
  <c r="AG5" i="1"/>
  <c r="AG7" i="1"/>
  <c r="AH5" i="1"/>
  <c r="AH7" i="1"/>
  <c r="AI5" i="1"/>
  <c r="AI7" i="1"/>
  <c r="AG6" i="1"/>
  <c r="AG8" i="1"/>
  <c r="AH6" i="1"/>
  <c r="AH8" i="1"/>
  <c r="AI6" i="1"/>
  <c r="AI8" i="1"/>
  <c r="AB5" i="1"/>
  <c r="AB7" i="1"/>
  <c r="AC5" i="1"/>
  <c r="AC7" i="1"/>
  <c r="AD5" i="1"/>
  <c r="AD7" i="1"/>
  <c r="AB6" i="1"/>
  <c r="AB8" i="1"/>
  <c r="AC6" i="1"/>
  <c r="AC8" i="1"/>
  <c r="AD6" i="1"/>
  <c r="AD8" i="1"/>
  <c r="W5" i="1"/>
  <c r="W7" i="1"/>
  <c r="X5" i="1"/>
  <c r="X7" i="1"/>
  <c r="Y5" i="1"/>
  <c r="Y7" i="1"/>
  <c r="W6" i="1"/>
  <c r="W8" i="1"/>
  <c r="X6" i="1"/>
  <c r="X8" i="1"/>
  <c r="Y6" i="1"/>
  <c r="Y8" i="1"/>
  <c r="R6" i="1"/>
  <c r="R8" i="1"/>
  <c r="S6" i="1"/>
  <c r="S8" i="1"/>
  <c r="T6" i="1"/>
  <c r="T8" i="1"/>
  <c r="AR21" i="2"/>
  <c r="BJ21" i="2" s="1"/>
  <c r="AR89" i="2"/>
  <c r="BJ89" i="2" s="1"/>
  <c r="D61" i="6"/>
  <c r="D53" i="6"/>
  <c r="D59" i="6"/>
  <c r="I61" i="6"/>
  <c r="H61" i="6"/>
  <c r="D71" i="6"/>
  <c r="D63" i="6"/>
  <c r="I55" i="6"/>
  <c r="I47" i="6"/>
  <c r="I29" i="6"/>
  <c r="H29" i="6"/>
  <c r="I54" i="6"/>
  <c r="I46" i="6"/>
  <c r="H46" i="6"/>
  <c r="I28" i="6"/>
  <c r="D65" i="6"/>
  <c r="D57" i="6"/>
  <c r="I49" i="6"/>
  <c r="I45" i="6"/>
  <c r="I31" i="6"/>
  <c r="I27" i="6"/>
  <c r="I23" i="6"/>
  <c r="H23" i="6"/>
  <c r="I59" i="6"/>
  <c r="I51" i="6"/>
  <c r="I43" i="6"/>
  <c r="H43" i="6"/>
  <c r="H25" i="6"/>
  <c r="I58" i="6"/>
  <c r="H58" i="6"/>
  <c r="I50" i="6"/>
  <c r="H42" i="6"/>
  <c r="I42" i="6"/>
  <c r="I24" i="6"/>
  <c r="H24" i="6"/>
  <c r="D68" i="6"/>
  <c r="D64" i="6"/>
  <c r="D60" i="6"/>
  <c r="D56" i="6"/>
  <c r="D52" i="6"/>
  <c r="I48" i="6"/>
  <c r="I44" i="6"/>
  <c r="H44" i="6"/>
  <c r="I30" i="6"/>
  <c r="I22" i="6"/>
  <c r="H22" i="6"/>
  <c r="Z11" i="1"/>
  <c r="U11" i="1"/>
  <c r="AC27" i="2"/>
  <c r="AD23" i="2"/>
  <c r="AC11" i="2"/>
  <c r="AD13" i="2"/>
  <c r="AC13" i="2"/>
  <c r="AD26" i="2"/>
  <c r="AD11" i="2"/>
  <c r="AB13" i="2"/>
  <c r="AC19" i="2"/>
  <c r="AD21" i="2"/>
  <c r="AC18" i="2"/>
  <c r="AD27" i="2"/>
  <c r="AD18" i="2"/>
  <c r="AB23" i="2"/>
  <c r="AB15" i="2"/>
  <c r="AD12" i="2"/>
  <c r="AD16" i="2"/>
  <c r="AD20" i="2"/>
  <c r="AD24" i="2"/>
  <c r="AD28" i="2"/>
  <c r="AC24" i="2"/>
  <c r="AD9" i="2"/>
  <c r="AD14" i="2"/>
  <c r="AD19" i="2"/>
  <c r="AD25" i="2"/>
  <c r="AC15" i="2"/>
  <c r="AC21" i="2"/>
  <c r="AD22" i="2"/>
  <c r="AD15" i="2"/>
  <c r="D69" i="6"/>
  <c r="H59" i="6"/>
  <c r="I53" i="6"/>
  <c r="I63" i="6"/>
  <c r="D73" i="6"/>
  <c r="I60" i="6"/>
  <c r="H60" i="6"/>
  <c r="D70" i="6"/>
  <c r="I64" i="6"/>
  <c r="D74" i="6"/>
  <c r="I57" i="6"/>
  <c r="H57" i="6"/>
  <c r="D67" i="6"/>
  <c r="I56" i="6"/>
  <c r="D66" i="6"/>
  <c r="I52" i="6"/>
  <c r="D62" i="6"/>
  <c r="I68" i="6"/>
  <c r="D78" i="6"/>
  <c r="I65" i="6"/>
  <c r="H65" i="6"/>
  <c r="D75" i="6"/>
  <c r="I71" i="6"/>
  <c r="D81" i="6"/>
  <c r="Q14" i="5"/>
  <c r="D79" i="6"/>
  <c r="I69" i="6"/>
  <c r="I75" i="6"/>
  <c r="H75" i="6"/>
  <c r="D85" i="6"/>
  <c r="I78" i="6"/>
  <c r="D88" i="6"/>
  <c r="I66" i="6"/>
  <c r="H66" i="6"/>
  <c r="D76" i="6"/>
  <c r="I81" i="6"/>
  <c r="D91" i="6"/>
  <c r="I70" i="6"/>
  <c r="D80" i="6"/>
  <c r="I74" i="6"/>
  <c r="H74" i="6"/>
  <c r="D84" i="6"/>
  <c r="I73" i="6"/>
  <c r="H73" i="6"/>
  <c r="D83" i="6"/>
  <c r="I62" i="6"/>
  <c r="D72" i="6"/>
  <c r="I67" i="6"/>
  <c r="D77" i="6"/>
  <c r="N30" i="5"/>
  <c r="S94" i="5"/>
  <c r="T8" i="5"/>
  <c r="AT69" i="2"/>
  <c r="F7" i="5"/>
  <c r="E7" i="5"/>
  <c r="T7" i="5"/>
  <c r="I67" i="5"/>
  <c r="Z87" i="5"/>
  <c r="AV57" i="2"/>
  <c r="AV96" i="2"/>
  <c r="O3" i="5"/>
  <c r="T82" i="5"/>
  <c r="Y79" i="5"/>
  <c r="U7" i="5"/>
  <c r="O7" i="5"/>
  <c r="K7" i="5"/>
  <c r="R7" i="5"/>
  <c r="P7" i="5"/>
  <c r="V15" i="5"/>
  <c r="Q78" i="5"/>
  <c r="J7" i="5"/>
  <c r="Z7" i="5"/>
  <c r="Y7" i="5"/>
  <c r="G7" i="5"/>
  <c r="X7" i="5"/>
  <c r="M7" i="5"/>
  <c r="N7" i="5"/>
  <c r="I7" i="5"/>
  <c r="H7" i="5"/>
  <c r="Q7" i="5"/>
  <c r="L7" i="5"/>
  <c r="S7" i="5"/>
  <c r="W7" i="5"/>
  <c r="V7" i="5"/>
  <c r="H14" i="5"/>
  <c r="AV89" i="2"/>
  <c r="Q5" i="5"/>
  <c r="G15" i="5"/>
  <c r="X15" i="5"/>
  <c r="W15" i="5"/>
  <c r="Y15" i="5"/>
  <c r="G30" i="5"/>
  <c r="AS77" i="2"/>
  <c r="I15" i="5"/>
  <c r="W30" i="5"/>
  <c r="O14" i="5"/>
  <c r="N14" i="5"/>
  <c r="T39" i="5"/>
  <c r="N19" i="5"/>
  <c r="I31" i="5"/>
  <c r="AS20" i="2"/>
  <c r="AT20" i="2"/>
  <c r="AV20" i="2"/>
  <c r="AV21" i="2"/>
  <c r="AS21" i="2"/>
  <c r="AT21" i="2"/>
  <c r="BE21" i="2"/>
  <c r="E15" i="5"/>
  <c r="U15" i="5"/>
  <c r="S15" i="5"/>
  <c r="Z14" i="5"/>
  <c r="J14" i="5"/>
  <c r="H4" i="5"/>
  <c r="X4" i="5"/>
  <c r="P94" i="5"/>
  <c r="U34" i="5"/>
  <c r="T15" i="5"/>
  <c r="Z15" i="5"/>
  <c r="N15" i="5"/>
  <c r="L15" i="5"/>
  <c r="O15" i="5"/>
  <c r="R14" i="5"/>
  <c r="F14" i="5"/>
  <c r="M14" i="5"/>
  <c r="Y14" i="5"/>
  <c r="W14" i="5"/>
  <c r="G14" i="5"/>
  <c r="L30" i="5"/>
  <c r="O4" i="5"/>
  <c r="W81" i="5"/>
  <c r="J15" i="5"/>
  <c r="Q15" i="5"/>
  <c r="P14" i="5"/>
  <c r="V14" i="5"/>
  <c r="I14" i="5"/>
  <c r="K14" i="5"/>
  <c r="L27" i="5"/>
  <c r="M15" i="5"/>
  <c r="P15" i="5"/>
  <c r="R15" i="5"/>
  <c r="H15" i="5"/>
  <c r="F15" i="5"/>
  <c r="K15" i="5"/>
  <c r="L14" i="5"/>
  <c r="U14" i="5"/>
  <c r="X14" i="5"/>
  <c r="T14" i="5"/>
  <c r="S14" i="5"/>
  <c r="M30" i="5"/>
  <c r="Q94" i="5"/>
  <c r="L4" i="5"/>
  <c r="AV13" i="2"/>
  <c r="AS13" i="2"/>
  <c r="AT13" i="2"/>
  <c r="D89" i="6"/>
  <c r="I79" i="6"/>
  <c r="I83" i="6"/>
  <c r="H83" i="6"/>
  <c r="D93" i="6"/>
  <c r="I76" i="6"/>
  <c r="H76" i="6"/>
  <c r="D86" i="6"/>
  <c r="I85" i="6"/>
  <c r="D95" i="6"/>
  <c r="I80" i="6"/>
  <c r="D90" i="6"/>
  <c r="I72" i="6"/>
  <c r="H72" i="6"/>
  <c r="D82" i="6"/>
  <c r="I84" i="6"/>
  <c r="H84" i="6"/>
  <c r="D94" i="6"/>
  <c r="I77" i="6"/>
  <c r="D87" i="6"/>
  <c r="I91" i="6"/>
  <c r="H91" i="6"/>
  <c r="D101" i="6"/>
  <c r="I88" i="6"/>
  <c r="D98" i="6"/>
  <c r="I30" i="5"/>
  <c r="AT36" i="2"/>
  <c r="BE36" i="2"/>
  <c r="H30" i="5"/>
  <c r="Q30" i="5"/>
  <c r="F5" i="5"/>
  <c r="K30" i="5"/>
  <c r="E30" i="5"/>
  <c r="U52" i="5"/>
  <c r="R94" i="5"/>
  <c r="W62" i="5"/>
  <c r="N62" i="5"/>
  <c r="S62" i="5"/>
  <c r="AS60" i="2"/>
  <c r="X62" i="5"/>
  <c r="U62" i="5"/>
  <c r="T71" i="5"/>
  <c r="Z94" i="5"/>
  <c r="F94" i="5"/>
  <c r="L94" i="5"/>
  <c r="J94" i="5"/>
  <c r="L52" i="5"/>
  <c r="X94" i="5"/>
  <c r="H52" i="5"/>
  <c r="G52" i="5"/>
  <c r="AS68" i="2"/>
  <c r="Y94" i="5"/>
  <c r="Y84" i="5"/>
  <c r="W52" i="5"/>
  <c r="H67" i="5"/>
  <c r="F30" i="5"/>
  <c r="Y30" i="5"/>
  <c r="AV36" i="2"/>
  <c r="AS36" i="2"/>
  <c r="U30" i="5"/>
  <c r="V30" i="5"/>
  <c r="O30" i="5"/>
  <c r="X66" i="5"/>
  <c r="J30" i="5"/>
  <c r="X30" i="5"/>
  <c r="T30" i="5"/>
  <c r="P30" i="5"/>
  <c r="Z30" i="5"/>
  <c r="R30" i="5"/>
  <c r="S30" i="5"/>
  <c r="AV68" i="2"/>
  <c r="AT68" i="2"/>
  <c r="BE68" i="2"/>
  <c r="F62" i="5"/>
  <c r="L62" i="5"/>
  <c r="Q62" i="5"/>
  <c r="N66" i="5"/>
  <c r="Z62" i="5"/>
  <c r="K62" i="5"/>
  <c r="O62" i="5"/>
  <c r="I62" i="5"/>
  <c r="V62" i="5"/>
  <c r="T62" i="5"/>
  <c r="R62" i="5"/>
  <c r="J62" i="5"/>
  <c r="H62" i="5"/>
  <c r="M62" i="5"/>
  <c r="P62" i="5"/>
  <c r="G62" i="5"/>
  <c r="Y62" i="5"/>
  <c r="T66" i="5"/>
  <c r="V94" i="5"/>
  <c r="W94" i="5"/>
  <c r="AT100" i="2"/>
  <c r="BE100" i="2"/>
  <c r="N94" i="5"/>
  <c r="Q80" i="5"/>
  <c r="G66" i="5"/>
  <c r="S66" i="5"/>
  <c r="K94" i="5"/>
  <c r="E80" i="5"/>
  <c r="K79" i="5"/>
  <c r="L78" i="5"/>
  <c r="E66" i="5"/>
  <c r="AS72" i="2"/>
  <c r="H12" i="5"/>
  <c r="G94" i="5"/>
  <c r="U94" i="5"/>
  <c r="AV100" i="2"/>
  <c r="U96" i="5"/>
  <c r="W79" i="5"/>
  <c r="M94" i="5"/>
  <c r="O94" i="5"/>
  <c r="R66" i="5"/>
  <c r="M66" i="5"/>
  <c r="Z66" i="5"/>
  <c r="AV72" i="2"/>
  <c r="AT72" i="2"/>
  <c r="BE72" i="2"/>
  <c r="M79" i="5"/>
  <c r="U66" i="5"/>
  <c r="Q66" i="5"/>
  <c r="I66" i="5"/>
  <c r="I80" i="5"/>
  <c r="P66" i="5"/>
  <c r="AT86" i="2"/>
  <c r="H94" i="5"/>
  <c r="T94" i="5"/>
  <c r="I94" i="5"/>
  <c r="AS100" i="2"/>
  <c r="M67" i="5"/>
  <c r="Y66" i="5"/>
  <c r="O66" i="5"/>
  <c r="F66" i="5"/>
  <c r="V66" i="5"/>
  <c r="H66" i="5"/>
  <c r="P80" i="5"/>
  <c r="F12" i="5"/>
  <c r="R67" i="5"/>
  <c r="X67" i="5"/>
  <c r="F20" i="5"/>
  <c r="L67" i="5"/>
  <c r="F67" i="5"/>
  <c r="H96" i="5"/>
  <c r="Z67" i="5"/>
  <c r="Q31" i="5"/>
  <c r="AV26" i="2"/>
  <c r="S67" i="5"/>
  <c r="Z96" i="5"/>
  <c r="G20" i="5"/>
  <c r="Q3" i="5"/>
  <c r="Z79" i="5"/>
  <c r="G63" i="5"/>
  <c r="J79" i="5"/>
  <c r="Z64" i="5"/>
  <c r="P64" i="5"/>
  <c r="AT89" i="2"/>
  <c r="I78" i="5"/>
  <c r="U67" i="5"/>
  <c r="AT18" i="2"/>
  <c r="BE18" i="2"/>
  <c r="I77" i="5"/>
  <c r="AT73" i="2"/>
  <c r="AS57" i="2"/>
  <c r="G51" i="5"/>
  <c r="W67" i="5"/>
  <c r="I20" i="5"/>
  <c r="P20" i="5"/>
  <c r="T67" i="5"/>
  <c r="AV18" i="2"/>
  <c r="Y67" i="5"/>
  <c r="K96" i="5"/>
  <c r="N67" i="5"/>
  <c r="Y82" i="5"/>
  <c r="V20" i="5"/>
  <c r="V85" i="5"/>
  <c r="AV90" i="2"/>
  <c r="E56" i="5"/>
  <c r="U63" i="5"/>
  <c r="Z84" i="5"/>
  <c r="M84" i="5"/>
  <c r="Q71" i="5"/>
  <c r="AT91" i="2"/>
  <c r="BE91" i="2"/>
  <c r="N56" i="5"/>
  <c r="V51" i="5"/>
  <c r="V78" i="5"/>
  <c r="X34" i="5"/>
  <c r="V71" i="5"/>
  <c r="F51" i="5"/>
  <c r="E51" i="5"/>
  <c r="Q40" i="5"/>
  <c r="M90" i="5"/>
  <c r="U82" i="5"/>
  <c r="W71" i="5"/>
  <c r="AV88" i="2"/>
  <c r="N51" i="5"/>
  <c r="AS34" i="2"/>
  <c r="M24" i="5"/>
  <c r="Y56" i="5"/>
  <c r="G56" i="5"/>
  <c r="X56" i="5"/>
  <c r="K92" i="5"/>
  <c r="S24" i="5"/>
  <c r="Q56" i="5"/>
  <c r="R79" i="5"/>
  <c r="O79" i="5"/>
  <c r="AS85" i="2"/>
  <c r="X79" i="5"/>
  <c r="T79" i="5"/>
  <c r="K63" i="5"/>
  <c r="X63" i="5"/>
  <c r="M63" i="5"/>
  <c r="O63" i="5"/>
  <c r="R63" i="5"/>
  <c r="L63" i="5"/>
  <c r="H63" i="5"/>
  <c r="X64" i="5"/>
  <c r="K64" i="5"/>
  <c r="R64" i="5"/>
  <c r="J64" i="5"/>
  <c r="W8" i="5"/>
  <c r="E8" i="5"/>
  <c r="Z8" i="5"/>
  <c r="X8" i="5"/>
  <c r="E76" i="5"/>
  <c r="T63" i="5"/>
  <c r="AT62" i="2"/>
  <c r="U79" i="5"/>
  <c r="H64" i="5"/>
  <c r="Y8" i="5"/>
  <c r="J82" i="5"/>
  <c r="L82" i="5"/>
  <c r="W82" i="5"/>
  <c r="O82" i="5"/>
  <c r="R82" i="5"/>
  <c r="Q82" i="5"/>
  <c r="M82" i="5"/>
  <c r="F82" i="5"/>
  <c r="G22" i="5"/>
  <c r="U76" i="5"/>
  <c r="R76" i="5"/>
  <c r="AV69" i="2"/>
  <c r="Q79" i="5"/>
  <c r="Y63" i="5"/>
  <c r="AV85" i="2"/>
  <c r="I63" i="5"/>
  <c r="Y78" i="5"/>
  <c r="O78" i="5"/>
  <c r="F90" i="5"/>
  <c r="Y20" i="5"/>
  <c r="AT88" i="2"/>
  <c r="P67" i="5"/>
  <c r="M40" i="5"/>
  <c r="E63" i="5"/>
  <c r="G12" i="5"/>
  <c r="AS46" i="2"/>
  <c r="AS73" i="2"/>
  <c r="J67" i="5"/>
  <c r="J63" i="5"/>
  <c r="F96" i="5"/>
  <c r="AV102" i="2"/>
  <c r="Z63" i="5"/>
  <c r="F63" i="5"/>
  <c r="Q67" i="5"/>
  <c r="X82" i="5"/>
  <c r="V82" i="5"/>
  <c r="R46" i="5"/>
  <c r="K67" i="5"/>
  <c r="W63" i="5"/>
  <c r="I34" i="5"/>
  <c r="AS88" i="2"/>
  <c r="E67" i="5"/>
  <c r="P63" i="5"/>
  <c r="AS69" i="2"/>
  <c r="X12" i="5"/>
  <c r="E12" i="5"/>
  <c r="O67" i="5"/>
  <c r="AV73" i="2"/>
  <c r="W93" i="5"/>
  <c r="V67" i="5"/>
  <c r="U40" i="5"/>
  <c r="V63" i="5"/>
  <c r="L96" i="5"/>
  <c r="O96" i="5"/>
  <c r="G67" i="5"/>
  <c r="S63" i="5"/>
  <c r="E40" i="5"/>
  <c r="G82" i="5"/>
  <c r="I82" i="5"/>
  <c r="S82" i="5"/>
  <c r="Q63" i="5"/>
  <c r="N63" i="5"/>
  <c r="K82" i="5"/>
  <c r="K86" i="5"/>
  <c r="AV92" i="2"/>
  <c r="F78" i="5"/>
  <c r="AT84" i="2"/>
  <c r="N78" i="5"/>
  <c r="Z78" i="5"/>
  <c r="Z88" i="5"/>
  <c r="AS94" i="2"/>
  <c r="V101" i="5"/>
  <c r="AT85" i="2"/>
  <c r="S79" i="5"/>
  <c r="V79" i="5"/>
  <c r="L79" i="5"/>
  <c r="H79" i="5"/>
  <c r="P79" i="5"/>
  <c r="I79" i="5"/>
  <c r="N79" i="5"/>
  <c r="F79" i="5"/>
  <c r="E79" i="5"/>
  <c r="G79" i="5"/>
  <c r="S76" i="5"/>
  <c r="Q76" i="5"/>
  <c r="H76" i="5"/>
  <c r="M76" i="5"/>
  <c r="W24" i="5"/>
  <c r="T24" i="5"/>
  <c r="T3" i="5"/>
  <c r="Z3" i="5"/>
  <c r="M51" i="5"/>
  <c r="W51" i="5"/>
  <c r="U51" i="5"/>
  <c r="H51" i="5"/>
  <c r="O51" i="5"/>
  <c r="L51" i="5"/>
  <c r="Q51" i="5"/>
  <c r="F46" i="5"/>
  <c r="J46" i="5"/>
  <c r="T46" i="5"/>
  <c r="P46" i="5"/>
  <c r="Z46" i="5"/>
  <c r="U46" i="5"/>
  <c r="I46" i="5"/>
  <c r="O46" i="5"/>
  <c r="Y46" i="5"/>
  <c r="AT52" i="2"/>
  <c r="L46" i="5"/>
  <c r="S46" i="5"/>
  <c r="K46" i="5"/>
  <c r="H46" i="5"/>
  <c r="Q46" i="5"/>
  <c r="V46" i="5"/>
  <c r="X46" i="5"/>
  <c r="N46" i="5"/>
  <c r="S32" i="5"/>
  <c r="R32" i="5"/>
  <c r="L32" i="5"/>
  <c r="U32" i="5"/>
  <c r="V32" i="5"/>
  <c r="AS38" i="2"/>
  <c r="G46" i="5"/>
  <c r="M46" i="5"/>
  <c r="T90" i="5"/>
  <c r="N90" i="5"/>
  <c r="Q90" i="5"/>
  <c r="Z90" i="5"/>
  <c r="O90" i="5"/>
  <c r="L90" i="5"/>
  <c r="H90" i="5"/>
  <c r="P90" i="5"/>
  <c r="J90" i="5"/>
  <c r="X90" i="5"/>
  <c r="AS96" i="2"/>
  <c r="W90" i="5"/>
  <c r="Y90" i="5"/>
  <c r="V90" i="5"/>
  <c r="I90" i="5"/>
  <c r="K90" i="5"/>
  <c r="AT96" i="2"/>
  <c r="BE96" i="2"/>
  <c r="S90" i="5"/>
  <c r="R90" i="5"/>
  <c r="G11" i="5"/>
  <c r="AS9" i="2"/>
  <c r="AV52" i="2"/>
  <c r="E87" i="5"/>
  <c r="AS93" i="2"/>
  <c r="U90" i="5"/>
  <c r="W46" i="5"/>
  <c r="M3" i="5"/>
  <c r="H32" i="5"/>
  <c r="W3" i="5"/>
  <c r="J2" i="5"/>
  <c r="AV8" i="2"/>
  <c r="K87" i="5"/>
  <c r="X87" i="5"/>
  <c r="F87" i="5"/>
  <c r="M87" i="5"/>
  <c r="L87" i="5"/>
  <c r="AV93" i="2"/>
  <c r="H87" i="5"/>
  <c r="N87" i="5"/>
  <c r="V87" i="5"/>
  <c r="W87" i="5"/>
  <c r="P87" i="5"/>
  <c r="U87" i="5"/>
  <c r="J87" i="5"/>
  <c r="G87" i="5"/>
  <c r="O87" i="5"/>
  <c r="AS52" i="2"/>
  <c r="R16" i="5"/>
  <c r="V3" i="5"/>
  <c r="AV9" i="2"/>
  <c r="F3" i="5"/>
  <c r="H3" i="5"/>
  <c r="Y3" i="5"/>
  <c r="N3" i="5"/>
  <c r="K3" i="5"/>
  <c r="R3" i="5"/>
  <c r="AT9" i="2"/>
  <c r="U3" i="5"/>
  <c r="P3" i="5"/>
  <c r="E3" i="5"/>
  <c r="X3" i="5"/>
  <c r="L3" i="5"/>
  <c r="I3" i="5"/>
  <c r="S3" i="5"/>
  <c r="J3" i="5"/>
  <c r="G3" i="5"/>
  <c r="I87" i="5"/>
  <c r="AS89" i="2"/>
  <c r="J32" i="5"/>
  <c r="G90" i="5"/>
  <c r="N31" i="5"/>
  <c r="Z51" i="5"/>
  <c r="R51" i="5"/>
  <c r="V40" i="5"/>
  <c r="S51" i="5"/>
  <c r="Y51" i="5"/>
  <c r="T51" i="5"/>
  <c r="AT57" i="2"/>
  <c r="BE57" i="2"/>
  <c r="J40" i="5"/>
  <c r="W40" i="5"/>
  <c r="AT46" i="2"/>
  <c r="BE46" i="2"/>
  <c r="J51" i="5"/>
  <c r="I51" i="5"/>
  <c r="P51" i="5"/>
  <c r="K51" i="5"/>
  <c r="X51" i="5"/>
  <c r="K40" i="5"/>
  <c r="N82" i="5"/>
  <c r="P82" i="5"/>
  <c r="H82" i="5"/>
  <c r="Z82" i="5"/>
  <c r="G2" i="5"/>
  <c r="AT66" i="2"/>
  <c r="BE66" i="2"/>
  <c r="Y16" i="5"/>
  <c r="O71" i="5"/>
  <c r="S71" i="5"/>
  <c r="U89" i="5"/>
  <c r="J71" i="5"/>
  <c r="G71" i="5"/>
  <c r="F89" i="5"/>
  <c r="Y89" i="5"/>
  <c r="Q2" i="5"/>
  <c r="F2" i="5"/>
  <c r="S2" i="5"/>
  <c r="R2" i="5"/>
  <c r="AT8" i="2"/>
  <c r="Y2" i="5"/>
  <c r="X2" i="5"/>
  <c r="W2" i="5"/>
  <c r="P2" i="5"/>
  <c r="K2" i="5"/>
  <c r="M2" i="5"/>
  <c r="U2" i="5"/>
  <c r="K11" i="5"/>
  <c r="S23" i="5"/>
  <c r="S19" i="5"/>
  <c r="K22" i="5"/>
  <c r="T28" i="5"/>
  <c r="J28" i="5"/>
  <c r="P22" i="5"/>
  <c r="V19" i="5"/>
  <c r="O19" i="5"/>
  <c r="V16" i="5"/>
  <c r="G16" i="5"/>
  <c r="J11" i="5"/>
  <c r="N23" i="5"/>
  <c r="O23" i="5"/>
  <c r="T13" i="5"/>
  <c r="S28" i="5"/>
  <c r="N28" i="5"/>
  <c r="E28" i="5"/>
  <c r="Y28" i="5"/>
  <c r="Z39" i="5"/>
  <c r="V88" i="5"/>
  <c r="Y22" i="5"/>
  <c r="X19" i="5"/>
  <c r="T16" i="5"/>
  <c r="P16" i="5"/>
  <c r="Y11" i="5"/>
  <c r="Z23" i="5"/>
  <c r="X78" i="5"/>
  <c r="F86" i="5"/>
  <c r="G88" i="5"/>
  <c r="G27" i="5"/>
  <c r="R78" i="5"/>
  <c r="AS39" i="2"/>
  <c r="K78" i="5"/>
  <c r="P78" i="5"/>
  <c r="H78" i="5"/>
  <c r="AS84" i="2"/>
  <c r="J86" i="5"/>
  <c r="K31" i="5"/>
  <c r="G28" i="5"/>
  <c r="S88" i="5"/>
  <c r="S78" i="5"/>
  <c r="P53" i="5"/>
  <c r="T2" i="5"/>
  <c r="N2" i="5"/>
  <c r="O2" i="5"/>
  <c r="H2" i="5"/>
  <c r="V2" i="5"/>
  <c r="X31" i="5"/>
  <c r="Q22" i="5"/>
  <c r="W22" i="5"/>
  <c r="R19" i="5"/>
  <c r="Z16" i="5"/>
  <c r="F11" i="5"/>
  <c r="W11" i="5"/>
  <c r="R23" i="5"/>
  <c r="AS53" i="2"/>
  <c r="W101" i="5"/>
  <c r="G78" i="5"/>
  <c r="Z86" i="5"/>
  <c r="L2" i="5"/>
  <c r="H88" i="5"/>
  <c r="F88" i="5"/>
  <c r="AT34" i="2"/>
  <c r="AS8" i="2"/>
  <c r="J78" i="5"/>
  <c r="W78" i="5"/>
  <c r="M78" i="5"/>
  <c r="AV84" i="2"/>
  <c r="Y101" i="5"/>
  <c r="Z2" i="5"/>
  <c r="AT92" i="2"/>
  <c r="X101" i="5"/>
  <c r="W39" i="5"/>
  <c r="T78" i="5"/>
  <c r="I2" i="5"/>
  <c r="U97" i="5"/>
  <c r="AV77" i="2"/>
  <c r="U78" i="5"/>
  <c r="Y33" i="5"/>
  <c r="M36" i="5"/>
  <c r="T36" i="5"/>
  <c r="N36" i="5"/>
  <c r="X36" i="5"/>
  <c r="W36" i="5"/>
  <c r="U36" i="5"/>
  <c r="Y36" i="5"/>
  <c r="Q36" i="5"/>
  <c r="J36" i="5"/>
  <c r="G36" i="5"/>
  <c r="T47" i="5"/>
  <c r="S47" i="5"/>
  <c r="V47" i="5"/>
  <c r="E47" i="5"/>
  <c r="M47" i="5"/>
  <c r="H47" i="5"/>
  <c r="X47" i="5"/>
  <c r="Y47" i="5"/>
  <c r="J47" i="5"/>
  <c r="K47" i="5"/>
  <c r="R47" i="5"/>
  <c r="I47" i="5"/>
  <c r="Q47" i="5"/>
  <c r="U47" i="5"/>
  <c r="N47" i="5"/>
  <c r="W47" i="5"/>
  <c r="L47" i="5"/>
  <c r="G47" i="5"/>
  <c r="Z47" i="5"/>
  <c r="P47" i="5"/>
  <c r="O47" i="5"/>
  <c r="F47" i="5"/>
  <c r="Z22" i="5"/>
  <c r="V22" i="5"/>
  <c r="U22" i="5"/>
  <c r="T22" i="5"/>
  <c r="S22" i="5"/>
  <c r="J19" i="5"/>
  <c r="H19" i="5"/>
  <c r="P19" i="5"/>
  <c r="L19" i="5"/>
  <c r="I19" i="5"/>
  <c r="K19" i="5"/>
  <c r="Z27" i="5"/>
  <c r="K27" i="5"/>
  <c r="U11" i="5"/>
  <c r="L11" i="5"/>
  <c r="V11" i="5"/>
  <c r="T11" i="5"/>
  <c r="S11" i="5"/>
  <c r="T23" i="5"/>
  <c r="M23" i="5"/>
  <c r="P23" i="5"/>
  <c r="J23" i="5"/>
  <c r="F23" i="5"/>
  <c r="K23" i="5"/>
  <c r="AV53" i="2"/>
  <c r="Y92" i="5"/>
  <c r="AS42" i="2"/>
  <c r="R33" i="5"/>
  <c r="G86" i="5"/>
  <c r="N86" i="5"/>
  <c r="H86" i="5"/>
  <c r="E97" i="5"/>
  <c r="W44" i="5"/>
  <c r="N44" i="5"/>
  <c r="Z44" i="5"/>
  <c r="R44" i="5"/>
  <c r="I44" i="5"/>
  <c r="Y44" i="5"/>
  <c r="Q44" i="5"/>
  <c r="G44" i="5"/>
  <c r="J44" i="5"/>
  <c r="S44" i="5"/>
  <c r="H22" i="5"/>
  <c r="J22" i="5"/>
  <c r="M22" i="5"/>
  <c r="N22" i="5"/>
  <c r="O22" i="5"/>
  <c r="Q19" i="5"/>
  <c r="U19" i="5"/>
  <c r="F19" i="5"/>
  <c r="Y19" i="5"/>
  <c r="W19" i="5"/>
  <c r="G19" i="5"/>
  <c r="I27" i="5"/>
  <c r="E11" i="5"/>
  <c r="Q11" i="5"/>
  <c r="P11" i="5"/>
  <c r="N11" i="5"/>
  <c r="O11" i="5"/>
  <c r="X23" i="5"/>
  <c r="U23" i="5"/>
  <c r="H23" i="5"/>
  <c r="V23" i="5"/>
  <c r="W23" i="5"/>
  <c r="G23" i="5"/>
  <c r="Q92" i="5"/>
  <c r="AS98" i="2"/>
  <c r="E33" i="5"/>
  <c r="U86" i="5"/>
  <c r="N33" i="5"/>
  <c r="P86" i="5"/>
  <c r="R86" i="5"/>
  <c r="AS92" i="2"/>
  <c r="AV45" i="2"/>
  <c r="Q86" i="5"/>
  <c r="S86" i="5"/>
  <c r="X86" i="5"/>
  <c r="T97" i="5"/>
  <c r="Z31" i="5"/>
  <c r="L22" i="5"/>
  <c r="X22" i="5"/>
  <c r="F22" i="5"/>
  <c r="I22" i="5"/>
  <c r="E19" i="5"/>
  <c r="M19" i="5"/>
  <c r="Z19" i="5"/>
  <c r="T19" i="5"/>
  <c r="E16" i="5"/>
  <c r="J16" i="5"/>
  <c r="H16" i="5"/>
  <c r="J27" i="5"/>
  <c r="X11" i="5"/>
  <c r="M11" i="5"/>
  <c r="R11" i="5"/>
  <c r="H11" i="5"/>
  <c r="I11" i="5"/>
  <c r="E23" i="5"/>
  <c r="I23" i="5"/>
  <c r="Y23" i="5"/>
  <c r="Q23" i="5"/>
  <c r="AT53" i="2"/>
  <c r="BE53" i="2"/>
  <c r="L92" i="5"/>
  <c r="AV60" i="2"/>
  <c r="E71" i="5"/>
  <c r="I71" i="5"/>
  <c r="I49" i="5"/>
  <c r="AV42" i="2"/>
  <c r="W86" i="5"/>
  <c r="Z69" i="5"/>
  <c r="S69" i="5"/>
  <c r="I39" i="5"/>
  <c r="I86" i="5"/>
  <c r="T86" i="5"/>
  <c r="M86" i="5"/>
  <c r="Q60" i="5"/>
  <c r="Z60" i="5"/>
  <c r="E60" i="5"/>
  <c r="W60" i="5"/>
  <c r="F60" i="5"/>
  <c r="X60" i="5"/>
  <c r="T60" i="5"/>
  <c r="L60" i="5"/>
  <c r="Y60" i="5"/>
  <c r="H60" i="5"/>
  <c r="R60" i="5"/>
  <c r="I83" i="5"/>
  <c r="Y83" i="5"/>
  <c r="V83" i="5"/>
  <c r="U83" i="5"/>
  <c r="G83" i="5"/>
  <c r="E83" i="5"/>
  <c r="Z83" i="5"/>
  <c r="T83" i="5"/>
  <c r="F83" i="5"/>
  <c r="L83" i="5"/>
  <c r="H83" i="5"/>
  <c r="J83" i="5"/>
  <c r="Q83" i="5"/>
  <c r="W83" i="5"/>
  <c r="O83" i="5"/>
  <c r="K83" i="5"/>
  <c r="S83" i="5"/>
  <c r="P83" i="5"/>
  <c r="N83" i="5"/>
  <c r="M83" i="5"/>
  <c r="R83" i="5"/>
  <c r="X83" i="5"/>
  <c r="Q57" i="5"/>
  <c r="L57" i="5"/>
  <c r="S57" i="5"/>
  <c r="M57" i="5"/>
  <c r="N39" i="5"/>
  <c r="J39" i="5"/>
  <c r="V39" i="5"/>
  <c r="L39" i="5"/>
  <c r="U39" i="5"/>
  <c r="M39" i="5"/>
  <c r="E39" i="5"/>
  <c r="E31" i="5"/>
  <c r="P31" i="5"/>
  <c r="O31" i="5"/>
  <c r="H27" i="5"/>
  <c r="X27" i="5"/>
  <c r="F27" i="5"/>
  <c r="M34" i="5"/>
  <c r="L34" i="5"/>
  <c r="S34" i="5"/>
  <c r="V9" i="5"/>
  <c r="X71" i="5"/>
  <c r="Y71" i="5"/>
  <c r="P71" i="5"/>
  <c r="M71" i="5"/>
  <c r="N71" i="5"/>
  <c r="R71" i="5"/>
  <c r="AT77" i="2"/>
  <c r="BE77" i="2"/>
  <c r="H49" i="5"/>
  <c r="AV55" i="2"/>
  <c r="K39" i="5"/>
  <c r="O39" i="5"/>
  <c r="G39" i="5"/>
  <c r="X39" i="5"/>
  <c r="R39" i="5"/>
  <c r="AT45" i="2"/>
  <c r="BE45" i="2"/>
  <c r="R41" i="5"/>
  <c r="S41" i="5"/>
  <c r="L41" i="5"/>
  <c r="K61" i="5"/>
  <c r="O61" i="5"/>
  <c r="N61" i="5"/>
  <c r="P39" i="5"/>
  <c r="Y39" i="5"/>
  <c r="S21" i="5"/>
  <c r="X21" i="5"/>
  <c r="P21" i="5"/>
  <c r="E21" i="5"/>
  <c r="J21" i="5"/>
  <c r="U54" i="5"/>
  <c r="S54" i="5"/>
  <c r="W54" i="5"/>
  <c r="Z54" i="5"/>
  <c r="O54" i="5"/>
  <c r="Y54" i="5"/>
  <c r="J54" i="5"/>
  <c r="R54" i="5"/>
  <c r="V54" i="5"/>
  <c r="N54" i="5"/>
  <c r="T54" i="5"/>
  <c r="Q54" i="5"/>
  <c r="X54" i="5"/>
  <c r="L54" i="5"/>
  <c r="I54" i="5"/>
  <c r="H54" i="5"/>
  <c r="P54" i="5"/>
  <c r="F54" i="5"/>
  <c r="G54" i="5"/>
  <c r="M54" i="5"/>
  <c r="E54" i="5"/>
  <c r="K54" i="5"/>
  <c r="U31" i="5"/>
  <c r="H31" i="5"/>
  <c r="E27" i="5"/>
  <c r="R27" i="5"/>
  <c r="O27" i="5"/>
  <c r="H34" i="5"/>
  <c r="J34" i="5"/>
  <c r="G34" i="5"/>
  <c r="O9" i="5"/>
  <c r="F71" i="5"/>
  <c r="Z71" i="5"/>
  <c r="U71" i="5"/>
  <c r="H71" i="5"/>
  <c r="K71" i="5"/>
  <c r="L71" i="5"/>
  <c r="K49" i="5"/>
  <c r="Z49" i="5"/>
  <c r="Q39" i="5"/>
  <c r="F39" i="5"/>
  <c r="H39" i="5"/>
  <c r="S39" i="5"/>
  <c r="AS45" i="2"/>
  <c r="AS104" i="2"/>
  <c r="L98" i="5"/>
  <c r="J98" i="5"/>
  <c r="R98" i="5"/>
  <c r="H98" i="5"/>
  <c r="X98" i="5"/>
  <c r="F98" i="5"/>
  <c r="P98" i="5"/>
  <c r="K98" i="5"/>
  <c r="S98" i="5"/>
  <c r="N98" i="5"/>
  <c r="O98" i="5"/>
  <c r="AS44" i="2"/>
  <c r="AT44" i="2"/>
  <c r="BE44" i="2"/>
  <c r="AV44" i="2"/>
  <c r="T38" i="5"/>
  <c r="R38" i="5"/>
  <c r="V38" i="5"/>
  <c r="N38" i="5"/>
  <c r="J38" i="5"/>
  <c r="L38" i="5"/>
  <c r="I38" i="5"/>
  <c r="U38" i="5"/>
  <c r="Q38" i="5"/>
  <c r="H38" i="5"/>
  <c r="X38" i="5"/>
  <c r="W38" i="5"/>
  <c r="K38" i="5"/>
  <c r="Y38" i="5"/>
  <c r="Z38" i="5"/>
  <c r="G38" i="5"/>
  <c r="S38" i="5"/>
  <c r="P38" i="5"/>
  <c r="F38" i="5"/>
  <c r="M38" i="5"/>
  <c r="O38" i="5"/>
  <c r="AS101" i="2"/>
  <c r="AV101" i="2"/>
  <c r="AT101" i="2"/>
  <c r="BE101" i="2"/>
  <c r="T95" i="5"/>
  <c r="Q95" i="5"/>
  <c r="N95" i="5"/>
  <c r="K95" i="5"/>
  <c r="O95" i="5"/>
  <c r="H95" i="5"/>
  <c r="X95" i="5"/>
  <c r="U95" i="5"/>
  <c r="V95" i="5"/>
  <c r="W95" i="5"/>
  <c r="Z95" i="5"/>
  <c r="M95" i="5"/>
  <c r="S95" i="5"/>
  <c r="F95" i="5"/>
  <c r="J95" i="5"/>
  <c r="L95" i="5"/>
  <c r="Y95" i="5"/>
  <c r="G95" i="5"/>
  <c r="P95" i="5"/>
  <c r="R95" i="5"/>
  <c r="I95" i="5"/>
  <c r="E95" i="5"/>
  <c r="AS12" i="2"/>
  <c r="AT12" i="2"/>
  <c r="AV12" i="2"/>
  <c r="L6" i="5"/>
  <c r="G6" i="5"/>
  <c r="K6" i="5"/>
  <c r="V6" i="5"/>
  <c r="I6" i="5"/>
  <c r="U6" i="5"/>
  <c r="P6" i="5"/>
  <c r="M6" i="5"/>
  <c r="S6" i="5"/>
  <c r="F6" i="5"/>
  <c r="T6" i="5"/>
  <c r="Z6" i="5"/>
  <c r="J6" i="5"/>
  <c r="R6" i="5"/>
  <c r="Q6" i="5"/>
  <c r="W6" i="5"/>
  <c r="X6" i="5"/>
  <c r="N6" i="5"/>
  <c r="Y6" i="5"/>
  <c r="H6" i="5"/>
  <c r="O6" i="5"/>
  <c r="AV23" i="2"/>
  <c r="AS23" i="2"/>
  <c r="E17" i="5"/>
  <c r="S17" i="5"/>
  <c r="L17" i="5"/>
  <c r="N17" i="5"/>
  <c r="J17" i="5"/>
  <c r="AS106" i="2"/>
  <c r="AV106" i="2"/>
  <c r="I100" i="5"/>
  <c r="Y100" i="5"/>
  <c r="E100" i="5"/>
  <c r="P100" i="5"/>
  <c r="W100" i="5"/>
  <c r="F100" i="5"/>
  <c r="Z100" i="5"/>
  <c r="U100" i="5"/>
  <c r="Q100" i="5"/>
  <c r="G100" i="5"/>
  <c r="O100" i="5"/>
  <c r="AT43" i="2"/>
  <c r="BE43" i="2"/>
  <c r="E37" i="5"/>
  <c r="H37" i="5"/>
  <c r="G37" i="5"/>
  <c r="S37" i="5"/>
  <c r="J37" i="5"/>
  <c r="K37" i="5"/>
  <c r="AS78" i="2"/>
  <c r="U72" i="5"/>
  <c r="F72" i="5"/>
  <c r="G72" i="5"/>
  <c r="X72" i="5"/>
  <c r="K72" i="5"/>
  <c r="N72" i="5"/>
  <c r="Z72" i="5"/>
  <c r="E72" i="5"/>
  <c r="M72" i="5"/>
  <c r="Q72" i="5"/>
  <c r="P72" i="5"/>
  <c r="AV15" i="2"/>
  <c r="AV37" i="2"/>
  <c r="AS37" i="2"/>
  <c r="AT37" i="2"/>
  <c r="K73" i="5"/>
  <c r="M31" i="5"/>
  <c r="J31" i="5"/>
  <c r="F31" i="5"/>
  <c r="Y31" i="5"/>
  <c r="W31" i="5"/>
  <c r="G31" i="5"/>
  <c r="T27" i="5"/>
  <c r="M27" i="5"/>
  <c r="N27" i="5"/>
  <c r="V27" i="5"/>
  <c r="W27" i="5"/>
  <c r="Z34" i="5"/>
  <c r="R34" i="5"/>
  <c r="W34" i="5"/>
  <c r="T34" i="5"/>
  <c r="I9" i="5"/>
  <c r="T9" i="5"/>
  <c r="N9" i="5"/>
  <c r="AV54" i="2"/>
  <c r="N48" i="5"/>
  <c r="Q48" i="5"/>
  <c r="E48" i="5"/>
  <c r="H48" i="5"/>
  <c r="F48" i="5"/>
  <c r="W48" i="5"/>
  <c r="U48" i="5"/>
  <c r="I48" i="5"/>
  <c r="K48" i="5"/>
  <c r="M48" i="5"/>
  <c r="T48" i="5"/>
  <c r="Y48" i="5"/>
  <c r="AS48" i="2"/>
  <c r="AT48" i="2"/>
  <c r="BE48" i="2"/>
  <c r="AV48" i="2"/>
  <c r="T42" i="5"/>
  <c r="R42" i="5"/>
  <c r="Z42" i="5"/>
  <c r="U42" i="5"/>
  <c r="O42" i="5"/>
  <c r="H42" i="5"/>
  <c r="X42" i="5"/>
  <c r="W42" i="5"/>
  <c r="I42" i="5"/>
  <c r="Y42" i="5"/>
  <c r="L42" i="5"/>
  <c r="K42" i="5"/>
  <c r="V42" i="5"/>
  <c r="G42" i="5"/>
  <c r="Q42" i="5"/>
  <c r="N42" i="5"/>
  <c r="P42" i="5"/>
  <c r="S42" i="5"/>
  <c r="J42" i="5"/>
  <c r="F42" i="5"/>
  <c r="M42" i="5"/>
  <c r="AS31" i="2"/>
  <c r="O25" i="5"/>
  <c r="P25" i="5"/>
  <c r="Q25" i="5"/>
  <c r="V25" i="5"/>
  <c r="Z25" i="5"/>
  <c r="J25" i="5"/>
  <c r="K25" i="5"/>
  <c r="E25" i="5"/>
  <c r="AV81" i="2"/>
  <c r="AS81" i="2"/>
  <c r="AT81" i="2"/>
  <c r="BE81" i="2"/>
  <c r="U75" i="5"/>
  <c r="P75" i="5"/>
  <c r="R75" i="5"/>
  <c r="S75" i="5"/>
  <c r="O75" i="5"/>
  <c r="I75" i="5"/>
  <c r="Y75" i="5"/>
  <c r="V75" i="5"/>
  <c r="W75" i="5"/>
  <c r="T75" i="5"/>
  <c r="N75" i="5"/>
  <c r="M75" i="5"/>
  <c r="G75" i="5"/>
  <c r="J75" i="5"/>
  <c r="E75" i="5"/>
  <c r="K75" i="5"/>
  <c r="Q75" i="5"/>
  <c r="L75" i="5"/>
  <c r="X75" i="5"/>
  <c r="F75" i="5"/>
  <c r="Z75" i="5"/>
  <c r="H75" i="5"/>
  <c r="AT51" i="2"/>
  <c r="BE51" i="2"/>
  <c r="AS51" i="2"/>
  <c r="Z45" i="5"/>
  <c r="H45" i="5"/>
  <c r="X45" i="5"/>
  <c r="W45" i="5"/>
  <c r="E45" i="5"/>
  <c r="M45" i="5"/>
  <c r="U45" i="5"/>
  <c r="S45" i="5"/>
  <c r="AS16" i="2"/>
  <c r="AT16" i="2"/>
  <c r="BE16" i="2"/>
  <c r="AV16" i="2"/>
  <c r="K10" i="5"/>
  <c r="F10" i="5"/>
  <c r="M10" i="5"/>
  <c r="P10" i="5"/>
  <c r="N10" i="5"/>
  <c r="O10" i="5"/>
  <c r="L10" i="5"/>
  <c r="T10" i="5"/>
  <c r="Y10" i="5"/>
  <c r="I10" i="5"/>
  <c r="S10" i="5"/>
  <c r="Z10" i="5"/>
  <c r="X10" i="5"/>
  <c r="R10" i="5"/>
  <c r="V10" i="5"/>
  <c r="W10" i="5"/>
  <c r="H10" i="5"/>
  <c r="J10" i="5"/>
  <c r="Q10" i="5"/>
  <c r="G10" i="5"/>
  <c r="U10" i="5"/>
  <c r="F65" i="5"/>
  <c r="Z65" i="5"/>
  <c r="W65" i="5"/>
  <c r="T65" i="5"/>
  <c r="H65" i="5"/>
  <c r="I65" i="5"/>
  <c r="AV49" i="2"/>
  <c r="AS49" i="2"/>
  <c r="AT49" i="2"/>
  <c r="BE49" i="2"/>
  <c r="L43" i="5"/>
  <c r="I43" i="5"/>
  <c r="F43" i="5"/>
  <c r="O43" i="5"/>
  <c r="Q43" i="5"/>
  <c r="J43" i="5"/>
  <c r="P43" i="5"/>
  <c r="N43" i="5"/>
  <c r="M43" i="5"/>
  <c r="V43" i="5"/>
  <c r="W43" i="5"/>
  <c r="S43" i="5"/>
  <c r="E43" i="5"/>
  <c r="T43" i="5"/>
  <c r="Z43" i="5"/>
  <c r="G43" i="5"/>
  <c r="K43" i="5"/>
  <c r="H43" i="5"/>
  <c r="Y43" i="5"/>
  <c r="R43" i="5"/>
  <c r="U43" i="5"/>
  <c r="X43" i="5"/>
  <c r="AS32" i="2"/>
  <c r="AT32" i="2"/>
  <c r="BE32" i="2"/>
  <c r="AV32" i="2"/>
  <c r="G26" i="5"/>
  <c r="W26" i="5"/>
  <c r="Y26" i="5"/>
  <c r="L26" i="5"/>
  <c r="H26" i="5"/>
  <c r="O26" i="5"/>
  <c r="M26" i="5"/>
  <c r="Z26" i="5"/>
  <c r="K26" i="5"/>
  <c r="I26" i="5"/>
  <c r="F26" i="5"/>
  <c r="V26" i="5"/>
  <c r="P26" i="5"/>
  <c r="R26" i="5"/>
  <c r="N26" i="5"/>
  <c r="J26" i="5"/>
  <c r="T26" i="5"/>
  <c r="U26" i="5"/>
  <c r="X26" i="5"/>
  <c r="S26" i="5"/>
  <c r="Q26" i="5"/>
  <c r="AV80" i="2"/>
  <c r="AT80" i="2"/>
  <c r="BE80" i="2"/>
  <c r="AS80" i="2"/>
  <c r="M74" i="5"/>
  <c r="H74" i="5"/>
  <c r="Z74" i="5"/>
  <c r="F74" i="5"/>
  <c r="G74" i="5"/>
  <c r="Q74" i="5"/>
  <c r="N74" i="5"/>
  <c r="J74" i="5"/>
  <c r="K74" i="5"/>
  <c r="R74" i="5"/>
  <c r="S74" i="5"/>
  <c r="V74" i="5"/>
  <c r="O74" i="5"/>
  <c r="Y74" i="5"/>
  <c r="L74" i="5"/>
  <c r="I74" i="5"/>
  <c r="X74" i="5"/>
  <c r="P74" i="5"/>
  <c r="U74" i="5"/>
  <c r="W74" i="5"/>
  <c r="T74" i="5"/>
  <c r="AS35" i="2"/>
  <c r="AV35" i="2"/>
  <c r="X29" i="5"/>
  <c r="W29" i="5"/>
  <c r="Z29" i="5"/>
  <c r="E29" i="5"/>
  <c r="H29" i="5"/>
  <c r="I29" i="5"/>
  <c r="R29" i="5"/>
  <c r="AT76" i="2"/>
  <c r="BE76" i="2"/>
  <c r="AV76" i="2"/>
  <c r="AS76" i="2"/>
  <c r="M70" i="5"/>
  <c r="H70" i="5"/>
  <c r="J70" i="5"/>
  <c r="K70" i="5"/>
  <c r="T70" i="5"/>
  <c r="V70" i="5"/>
  <c r="S70" i="5"/>
  <c r="Z70" i="5"/>
  <c r="Q70" i="5"/>
  <c r="N70" i="5"/>
  <c r="P70" i="5"/>
  <c r="R70" i="5"/>
  <c r="L70" i="5"/>
  <c r="U70" i="5"/>
  <c r="W70" i="5"/>
  <c r="O70" i="5"/>
  <c r="X70" i="5"/>
  <c r="I70" i="5"/>
  <c r="F70" i="5"/>
  <c r="Y70" i="5"/>
  <c r="G70" i="5"/>
  <c r="AT105" i="2"/>
  <c r="BE105" i="2"/>
  <c r="AV105" i="2"/>
  <c r="AS105" i="2"/>
  <c r="T99" i="5"/>
  <c r="Q99" i="5"/>
  <c r="N99" i="5"/>
  <c r="O99" i="5"/>
  <c r="E99" i="5"/>
  <c r="Y99" i="5"/>
  <c r="W99" i="5"/>
  <c r="H99" i="5"/>
  <c r="X99" i="5"/>
  <c r="U99" i="5"/>
  <c r="V99" i="5"/>
  <c r="Z99" i="5"/>
  <c r="K99" i="5"/>
  <c r="L99" i="5"/>
  <c r="I99" i="5"/>
  <c r="G99" i="5"/>
  <c r="J99" i="5"/>
  <c r="R99" i="5"/>
  <c r="P99" i="5"/>
  <c r="S99" i="5"/>
  <c r="M99" i="5"/>
  <c r="F99" i="5"/>
  <c r="AV33" i="2"/>
  <c r="AS33" i="2"/>
  <c r="AT33" i="2"/>
  <c r="AS40" i="2"/>
  <c r="AT40" i="2"/>
  <c r="BE40" i="2"/>
  <c r="AV40" i="2"/>
  <c r="AT79" i="2"/>
  <c r="BE79" i="2"/>
  <c r="H73" i="5"/>
  <c r="G73" i="5"/>
  <c r="L31" i="5"/>
  <c r="R31" i="5"/>
  <c r="V31" i="5"/>
  <c r="T31" i="5"/>
  <c r="S31" i="5"/>
  <c r="P27" i="5"/>
  <c r="U27" i="5"/>
  <c r="Y27" i="5"/>
  <c r="Q27" i="5"/>
  <c r="S27" i="5"/>
  <c r="P34" i="5"/>
  <c r="V34" i="5"/>
  <c r="F34" i="5"/>
  <c r="Q34" i="5"/>
  <c r="N34" i="5"/>
  <c r="K34" i="5"/>
  <c r="Q9" i="5"/>
  <c r="Z9" i="5"/>
  <c r="J9" i="5"/>
  <c r="AT64" i="2"/>
  <c r="BE64" i="2"/>
  <c r="AV64" i="2"/>
  <c r="AS64" i="2"/>
  <c r="Q58" i="5"/>
  <c r="N58" i="5"/>
  <c r="P58" i="5"/>
  <c r="R58" i="5"/>
  <c r="L58" i="5"/>
  <c r="Y58" i="5"/>
  <c r="X58" i="5"/>
  <c r="F58" i="5"/>
  <c r="U58" i="5"/>
  <c r="S58" i="5"/>
  <c r="W58" i="5"/>
  <c r="Z58" i="5"/>
  <c r="O58" i="5"/>
  <c r="I58" i="5"/>
  <c r="V58" i="5"/>
  <c r="H58" i="5"/>
  <c r="G58" i="5"/>
  <c r="K58" i="5"/>
  <c r="M58" i="5"/>
  <c r="T58" i="5"/>
  <c r="J58" i="5"/>
  <c r="AT74" i="2"/>
  <c r="M68" i="5"/>
  <c r="R68" i="5"/>
  <c r="L68" i="5"/>
  <c r="N68" i="5"/>
  <c r="P68" i="5"/>
  <c r="S68" i="5"/>
  <c r="F68" i="5"/>
  <c r="X68" i="5"/>
  <c r="T68" i="5"/>
  <c r="Y68" i="5"/>
  <c r="K68" i="5"/>
  <c r="AS61" i="2"/>
  <c r="AV61" i="2"/>
  <c r="AT61" i="2"/>
  <c r="BE61" i="2"/>
  <c r="M55" i="5"/>
  <c r="F55" i="5"/>
  <c r="G55" i="5"/>
  <c r="O55" i="5"/>
  <c r="X55" i="5"/>
  <c r="R55" i="5"/>
  <c r="Q55" i="5"/>
  <c r="K55" i="5"/>
  <c r="N55" i="5"/>
  <c r="W55" i="5"/>
  <c r="Z55" i="5"/>
  <c r="P55" i="5"/>
  <c r="E55" i="5"/>
  <c r="U55" i="5"/>
  <c r="L55" i="5"/>
  <c r="H55" i="5"/>
  <c r="I55" i="5"/>
  <c r="V55" i="5"/>
  <c r="J55" i="5"/>
  <c r="T55" i="5"/>
  <c r="Y55" i="5"/>
  <c r="S55" i="5"/>
  <c r="AT56" i="2"/>
  <c r="BE56" i="2"/>
  <c r="AV56" i="2"/>
  <c r="AS56" i="2"/>
  <c r="T50" i="5"/>
  <c r="R50" i="5"/>
  <c r="V50" i="5"/>
  <c r="Y50" i="5"/>
  <c r="U50" i="5"/>
  <c r="L50" i="5"/>
  <c r="I50" i="5"/>
  <c r="K50" i="5"/>
  <c r="M50" i="5"/>
  <c r="Q50" i="5"/>
  <c r="H50" i="5"/>
  <c r="X50" i="5"/>
  <c r="W50" i="5"/>
  <c r="S50" i="5"/>
  <c r="F50" i="5"/>
  <c r="G50" i="5"/>
  <c r="J50" i="5"/>
  <c r="Z50" i="5"/>
  <c r="P50" i="5"/>
  <c r="O50" i="5"/>
  <c r="N50" i="5"/>
  <c r="AS65" i="2"/>
  <c r="AV65" i="2"/>
  <c r="AT65" i="2"/>
  <c r="M59" i="5"/>
  <c r="F59" i="5"/>
  <c r="G59" i="5"/>
  <c r="O59" i="5"/>
  <c r="X59" i="5"/>
  <c r="R59" i="5"/>
  <c r="Q59" i="5"/>
  <c r="K59" i="5"/>
  <c r="N59" i="5"/>
  <c r="W59" i="5"/>
  <c r="Z59" i="5"/>
  <c r="Y59" i="5"/>
  <c r="H59" i="5"/>
  <c r="S59" i="5"/>
  <c r="J59" i="5"/>
  <c r="U59" i="5"/>
  <c r="L59" i="5"/>
  <c r="P59" i="5"/>
  <c r="E59" i="5"/>
  <c r="I59" i="5"/>
  <c r="V59" i="5"/>
  <c r="T59" i="5"/>
  <c r="AT22" i="2"/>
  <c r="BE22" i="2"/>
  <c r="AT19" i="2"/>
  <c r="BE19" i="2"/>
  <c r="AV17" i="2"/>
  <c r="AS17" i="2"/>
  <c r="AT17" i="2"/>
  <c r="AS24" i="2"/>
  <c r="AT24" i="2"/>
  <c r="BE24" i="2"/>
  <c r="AV24" i="2"/>
  <c r="K18" i="5"/>
  <c r="F18" i="5"/>
  <c r="I18" i="5"/>
  <c r="U18" i="5"/>
  <c r="Y18" i="5"/>
  <c r="S18" i="5"/>
  <c r="X18" i="5"/>
  <c r="T18" i="5"/>
  <c r="G18" i="5"/>
  <c r="V18" i="5"/>
  <c r="J18" i="5"/>
  <c r="O18" i="5"/>
  <c r="L18" i="5"/>
  <c r="P18" i="5"/>
  <c r="N18" i="5"/>
  <c r="R18" i="5"/>
  <c r="Q18" i="5"/>
  <c r="Z18" i="5"/>
  <c r="W18" i="5"/>
  <c r="M18" i="5"/>
  <c r="H18" i="5"/>
  <c r="AT97" i="2"/>
  <c r="AV97" i="2"/>
  <c r="AS97" i="2"/>
  <c r="L91" i="5"/>
  <c r="I91" i="5"/>
  <c r="Y91" i="5"/>
  <c r="V91" i="5"/>
  <c r="J91" i="5"/>
  <c r="R91" i="5"/>
  <c r="P91" i="5"/>
  <c r="M91" i="5"/>
  <c r="E91" i="5"/>
  <c r="K91" i="5"/>
  <c r="S91" i="5"/>
  <c r="T91" i="5"/>
  <c r="F91" i="5"/>
  <c r="O91" i="5"/>
  <c r="Q91" i="5"/>
  <c r="H91" i="5"/>
  <c r="Z91" i="5"/>
  <c r="X91" i="5"/>
  <c r="N91" i="5"/>
  <c r="G91" i="5"/>
  <c r="W91" i="5"/>
  <c r="U91" i="5"/>
  <c r="AV29" i="2"/>
  <c r="AS29" i="2"/>
  <c r="AT29" i="2"/>
  <c r="AV41" i="2"/>
  <c r="AS41" i="2"/>
  <c r="AT41" i="2"/>
  <c r="BE41" i="2"/>
  <c r="T35" i="5"/>
  <c r="S35" i="5"/>
  <c r="V35" i="5"/>
  <c r="U35" i="5"/>
  <c r="Q35" i="5"/>
  <c r="H35" i="5"/>
  <c r="X35" i="5"/>
  <c r="Y35" i="5"/>
  <c r="J35" i="5"/>
  <c r="E35" i="5"/>
  <c r="W35" i="5"/>
  <c r="I35" i="5"/>
  <c r="R35" i="5"/>
  <c r="M35" i="5"/>
  <c r="G35" i="5"/>
  <c r="P35" i="5"/>
  <c r="Z35" i="5"/>
  <c r="N35" i="5"/>
  <c r="K35" i="5"/>
  <c r="L35" i="5"/>
  <c r="F35" i="5"/>
  <c r="O35" i="5"/>
  <c r="AV25" i="2"/>
  <c r="AS25" i="2"/>
  <c r="AT25" i="2"/>
  <c r="AS28" i="2"/>
  <c r="AT28" i="2"/>
  <c r="BE28" i="2"/>
  <c r="AV28" i="2"/>
  <c r="H89" i="6"/>
  <c r="I89" i="6"/>
  <c r="D99" i="6"/>
  <c r="H98" i="6"/>
  <c r="I98" i="6"/>
  <c r="D108" i="6"/>
  <c r="I101" i="6"/>
  <c r="H101" i="6"/>
  <c r="D111" i="6"/>
  <c r="I94" i="6"/>
  <c r="D104" i="6"/>
  <c r="I86" i="6"/>
  <c r="H86" i="6"/>
  <c r="D96" i="6"/>
  <c r="H82" i="6"/>
  <c r="I82" i="6"/>
  <c r="D92" i="6"/>
  <c r="I87" i="6"/>
  <c r="D97" i="6"/>
  <c r="I95" i="6"/>
  <c r="D105" i="6"/>
  <c r="I93" i="6"/>
  <c r="H93" i="6"/>
  <c r="D103" i="6"/>
  <c r="I90" i="6"/>
  <c r="H90" i="6"/>
  <c r="D100" i="6"/>
  <c r="BE89" i="2"/>
  <c r="BE88" i="2"/>
  <c r="BE17" i="2"/>
  <c r="BE29" i="2"/>
  <c r="BE33" i="2"/>
  <c r="BE25" i="2"/>
  <c r="BE37" i="2"/>
  <c r="BE92" i="2"/>
  <c r="BE84" i="2"/>
  <c r="BE52" i="2"/>
  <c r="D109" i="6"/>
  <c r="I99" i="6"/>
  <c r="H99" i="6"/>
  <c r="I97" i="6"/>
  <c r="H97" i="6"/>
  <c r="D107" i="6"/>
  <c r="I108" i="6"/>
  <c r="H108" i="6"/>
  <c r="D118" i="6"/>
  <c r="I92" i="6"/>
  <c r="D102" i="6"/>
  <c r="I105" i="6"/>
  <c r="H105" i="6"/>
  <c r="D115" i="6"/>
  <c r="I96" i="6"/>
  <c r="H96" i="6"/>
  <c r="D106" i="6"/>
  <c r="I111" i="6"/>
  <c r="H111" i="6"/>
  <c r="D121" i="6"/>
  <c r="I100" i="6"/>
  <c r="H100" i="6"/>
  <c r="D110" i="6"/>
  <c r="I103" i="6"/>
  <c r="D113" i="6"/>
  <c r="I104" i="6"/>
  <c r="D114" i="6"/>
  <c r="I109" i="6"/>
  <c r="H109" i="6"/>
  <c r="D119" i="6"/>
  <c r="I115" i="6"/>
  <c r="H115" i="6"/>
  <c r="D125" i="6"/>
  <c r="I121" i="6"/>
  <c r="D131" i="6"/>
  <c r="I107" i="6"/>
  <c r="H107" i="6"/>
  <c r="D117" i="6"/>
  <c r="I106" i="6"/>
  <c r="H106" i="6"/>
  <c r="D116" i="6"/>
  <c r="I110" i="6"/>
  <c r="D120" i="6"/>
  <c r="I118" i="6"/>
  <c r="H118" i="6"/>
  <c r="D128" i="6"/>
  <c r="H114" i="6"/>
  <c r="I114" i="6"/>
  <c r="D124" i="6"/>
  <c r="I113" i="6"/>
  <c r="H113" i="6"/>
  <c r="D123" i="6"/>
  <c r="I102" i="6"/>
  <c r="D112" i="6"/>
  <c r="H119" i="6"/>
  <c r="D129" i="6"/>
  <c r="I119" i="6"/>
  <c r="I128" i="6"/>
  <c r="D138" i="6"/>
  <c r="I125" i="6"/>
  <c r="H125" i="6"/>
  <c r="D135" i="6"/>
  <c r="I124" i="6"/>
  <c r="H124" i="6"/>
  <c r="D134" i="6"/>
  <c r="I120" i="6"/>
  <c r="D130" i="6"/>
  <c r="I123" i="6"/>
  <c r="H123" i="6"/>
  <c r="D133" i="6"/>
  <c r="I117" i="6"/>
  <c r="H117" i="6"/>
  <c r="D127" i="6"/>
  <c r="I131" i="6"/>
  <c r="H131" i="6"/>
  <c r="D141" i="6"/>
  <c r="I112" i="6"/>
  <c r="H112" i="6"/>
  <c r="D122" i="6"/>
  <c r="I116" i="6"/>
  <c r="H116" i="6"/>
  <c r="D126" i="6"/>
  <c r="I129" i="6"/>
  <c r="D139" i="6"/>
  <c r="I134" i="6"/>
  <c r="D144" i="6"/>
  <c r="I135" i="6"/>
  <c r="H135" i="6"/>
  <c r="D145" i="6"/>
  <c r="I126" i="6"/>
  <c r="H126" i="6"/>
  <c r="D136" i="6"/>
  <c r="I122" i="6"/>
  <c r="H122" i="6"/>
  <c r="D132" i="6"/>
  <c r="I127" i="6"/>
  <c r="D137" i="6"/>
  <c r="I138" i="6"/>
  <c r="H138" i="6"/>
  <c r="D148" i="6"/>
  <c r="I141" i="6"/>
  <c r="H141" i="6"/>
  <c r="D151" i="6"/>
  <c r="I130" i="6"/>
  <c r="H130" i="6"/>
  <c r="D140" i="6"/>
  <c r="I133" i="6"/>
  <c r="D143" i="6"/>
  <c r="D149" i="6"/>
  <c r="I139" i="6"/>
  <c r="H139" i="6"/>
  <c r="I137" i="6"/>
  <c r="H137" i="6"/>
  <c r="D147" i="6"/>
  <c r="I144" i="6"/>
  <c r="H144" i="6"/>
  <c r="D154" i="6"/>
  <c r="I132" i="6"/>
  <c r="D142" i="6"/>
  <c r="I145" i="6"/>
  <c r="H145" i="6"/>
  <c r="D155" i="6"/>
  <c r="I140" i="6"/>
  <c r="H140" i="6"/>
  <c r="D150" i="6"/>
  <c r="I148" i="6"/>
  <c r="H148" i="6"/>
  <c r="D158" i="6"/>
  <c r="I143" i="6"/>
  <c r="D153" i="6"/>
  <c r="I151" i="6"/>
  <c r="D161" i="6"/>
  <c r="I136" i="6"/>
  <c r="D146" i="6"/>
  <c r="D159" i="6"/>
  <c r="H149" i="6"/>
  <c r="I149" i="6"/>
  <c r="I154" i="6"/>
  <c r="H154" i="6"/>
  <c r="D164" i="6"/>
  <c r="I147" i="6"/>
  <c r="H147" i="6"/>
  <c r="D157" i="6"/>
  <c r="I142" i="6"/>
  <c r="D152" i="6"/>
  <c r="I150" i="6"/>
  <c r="H150" i="6"/>
  <c r="D160" i="6"/>
  <c r="I153" i="6"/>
  <c r="H153" i="6"/>
  <c r="D163" i="6"/>
  <c r="I146" i="6"/>
  <c r="H146" i="6"/>
  <c r="D156" i="6"/>
  <c r="I161" i="6"/>
  <c r="D171" i="6"/>
  <c r="I158" i="6"/>
  <c r="H158" i="6"/>
  <c r="D168" i="6"/>
  <c r="I155" i="6"/>
  <c r="H155" i="6"/>
  <c r="D165" i="6"/>
  <c r="D169" i="6"/>
  <c r="I159" i="6"/>
  <c r="H159" i="6"/>
  <c r="I168" i="6"/>
  <c r="D178" i="6"/>
  <c r="I157" i="6"/>
  <c r="D167" i="6"/>
  <c r="I156" i="6"/>
  <c r="H156" i="6"/>
  <c r="D166" i="6"/>
  <c r="I160" i="6"/>
  <c r="H160" i="6"/>
  <c r="D170" i="6"/>
  <c r="I164" i="6"/>
  <c r="H164" i="6"/>
  <c r="D174" i="6"/>
  <c r="I165" i="6"/>
  <c r="D175" i="6"/>
  <c r="I171" i="6"/>
  <c r="H171" i="6"/>
  <c r="D181" i="6"/>
  <c r="I152" i="6"/>
  <c r="H152" i="6"/>
  <c r="D162" i="6"/>
  <c r="I163" i="6"/>
  <c r="H163" i="6"/>
  <c r="D173" i="6"/>
  <c r="I169" i="6"/>
  <c r="D179" i="6"/>
  <c r="I166" i="6"/>
  <c r="D176" i="6"/>
  <c r="I167" i="6"/>
  <c r="H167" i="6"/>
  <c r="D177" i="6"/>
  <c r="I162" i="6"/>
  <c r="H162" i="6"/>
  <c r="D172" i="6"/>
  <c r="I175" i="6"/>
  <c r="D185" i="6"/>
  <c r="I181" i="6"/>
  <c r="H181" i="6"/>
  <c r="D191" i="6"/>
  <c r="H170" i="6"/>
  <c r="I170" i="6"/>
  <c r="J170" i="6"/>
  <c r="D180" i="6"/>
  <c r="I173" i="6"/>
  <c r="H173" i="6"/>
  <c r="D183" i="6"/>
  <c r="I174" i="6"/>
  <c r="D184" i="6"/>
  <c r="I178" i="6"/>
  <c r="D188" i="6"/>
  <c r="AB185" i="6"/>
  <c r="AF185" i="6"/>
  <c r="AC185" i="6"/>
  <c r="AE185" i="6"/>
  <c r="AD185" i="6"/>
  <c r="AC188" i="6"/>
  <c r="AD188" i="6"/>
  <c r="AF188" i="6"/>
  <c r="AB188" i="6"/>
  <c r="AE188" i="6"/>
  <c r="AD191" i="6"/>
  <c r="AE191" i="6"/>
  <c r="AB191" i="6"/>
  <c r="AF191" i="6"/>
  <c r="AC191" i="6"/>
  <c r="I179" i="6"/>
  <c r="H179" i="6"/>
  <c r="D189" i="6"/>
  <c r="I172" i="6"/>
  <c r="D182" i="6"/>
  <c r="I185" i="6"/>
  <c r="H185" i="6"/>
  <c r="D195" i="6"/>
  <c r="I176" i="6"/>
  <c r="H176" i="6"/>
  <c r="D186" i="6"/>
  <c r="I184" i="6"/>
  <c r="H184" i="6"/>
  <c r="D194" i="6"/>
  <c r="I183" i="6"/>
  <c r="D193" i="6"/>
  <c r="H191" i="6"/>
  <c r="I191" i="6"/>
  <c r="D201" i="6"/>
  <c r="H188" i="6"/>
  <c r="I188" i="6"/>
  <c r="J188" i="6"/>
  <c r="D198" i="6"/>
  <c r="I180" i="6"/>
  <c r="H180" i="6"/>
  <c r="D190" i="6"/>
  <c r="I177" i="6"/>
  <c r="H177" i="6"/>
  <c r="D187" i="6"/>
  <c r="AE198" i="6"/>
  <c r="AB198" i="6"/>
  <c r="AF198" i="6"/>
  <c r="AD198" i="6"/>
  <c r="AC198" i="6"/>
  <c r="AB193" i="6"/>
  <c r="AF193" i="6"/>
  <c r="AC193" i="6"/>
  <c r="AE193" i="6"/>
  <c r="AD193" i="6"/>
  <c r="AB201" i="6"/>
  <c r="AF201" i="6"/>
  <c r="AC201" i="6"/>
  <c r="AE201" i="6"/>
  <c r="AD201" i="6"/>
  <c r="AB189" i="6"/>
  <c r="AF189" i="6"/>
  <c r="AC189" i="6"/>
  <c r="AD189" i="6"/>
  <c r="AE189" i="6"/>
  <c r="I189" i="6"/>
  <c r="H189" i="6"/>
  <c r="D199" i="6"/>
  <c r="AD187" i="6"/>
  <c r="AE187" i="6"/>
  <c r="AC187" i="6"/>
  <c r="AF187" i="6"/>
  <c r="AB187" i="6"/>
  <c r="AE190" i="6"/>
  <c r="AB190" i="6"/>
  <c r="AF190" i="6"/>
  <c r="AD190" i="6"/>
  <c r="AC190" i="6"/>
  <c r="AE186" i="6"/>
  <c r="AB186" i="6"/>
  <c r="AF186" i="6"/>
  <c r="AC186" i="6"/>
  <c r="AD186" i="6"/>
  <c r="AD195" i="6"/>
  <c r="AE195" i="6"/>
  <c r="AC195" i="6"/>
  <c r="AF195" i="6"/>
  <c r="AB195" i="6"/>
  <c r="AE194" i="6"/>
  <c r="AB194" i="6"/>
  <c r="AF194" i="6"/>
  <c r="AC194" i="6"/>
  <c r="AD194" i="6"/>
  <c r="I193" i="6"/>
  <c r="H193" i="6"/>
  <c r="I182" i="6"/>
  <c r="D192" i="6"/>
  <c r="I201" i="6"/>
  <c r="H201" i="6"/>
  <c r="H194" i="6"/>
  <c r="I194" i="6"/>
  <c r="H198" i="6"/>
  <c r="I198" i="6"/>
  <c r="H187" i="6"/>
  <c r="I187" i="6"/>
  <c r="D197" i="6"/>
  <c r="H190" i="6"/>
  <c r="I190" i="6"/>
  <c r="D200" i="6"/>
  <c r="H186" i="6"/>
  <c r="I186" i="6"/>
  <c r="D196" i="6"/>
  <c r="H195" i="6"/>
  <c r="I195" i="6"/>
  <c r="J195" i="6"/>
  <c r="AC192" i="6"/>
  <c r="AD192" i="6"/>
  <c r="AB192" i="6"/>
  <c r="AE192" i="6"/>
  <c r="AF192" i="6"/>
  <c r="AD199" i="6"/>
  <c r="AE199" i="6"/>
  <c r="AB199" i="6"/>
  <c r="AC199" i="6"/>
  <c r="AF199" i="6"/>
  <c r="I199" i="6"/>
  <c r="H199" i="6"/>
  <c r="AB197" i="6"/>
  <c r="AF197" i="6"/>
  <c r="AC197" i="6"/>
  <c r="AD197" i="6"/>
  <c r="AE197" i="6"/>
  <c r="AC196" i="6"/>
  <c r="AD196" i="6"/>
  <c r="AF196" i="6"/>
  <c r="AE196" i="6"/>
  <c r="AB196" i="6"/>
  <c r="AC200" i="6"/>
  <c r="AD200" i="6"/>
  <c r="AB200" i="6"/>
  <c r="AE200" i="6"/>
  <c r="AF200" i="6"/>
  <c r="H196" i="6"/>
  <c r="I196" i="6"/>
  <c r="H200" i="6"/>
  <c r="I200" i="6"/>
  <c r="I192" i="6"/>
  <c r="H192" i="6"/>
  <c r="D202" i="6"/>
  <c r="I197" i="6"/>
  <c r="H197" i="6"/>
  <c r="AE202" i="6"/>
  <c r="AB202" i="6"/>
  <c r="AF202" i="6"/>
  <c r="AC202" i="6"/>
  <c r="AD202" i="6"/>
  <c r="AP202" i="6"/>
  <c r="H202" i="6"/>
  <c r="I202" i="6"/>
  <c r="BC8" i="2"/>
  <c r="BE8" i="2"/>
  <c r="A2" i="5"/>
  <c r="E2" i="5"/>
  <c r="AL28" i="6"/>
  <c r="P11" i="1"/>
  <c r="AC9" i="2"/>
  <c r="AF99" i="2"/>
  <c r="AR10" i="2"/>
  <c r="BJ10" i="2" s="1"/>
  <c r="AT60" i="2"/>
  <c r="BE60" i="2"/>
  <c r="BE65" i="2"/>
  <c r="AR101" i="2"/>
  <c r="BJ101" i="2" s="1"/>
  <c r="AC23" i="2"/>
  <c r="AB16" i="2"/>
  <c r="AC14" i="2"/>
  <c r="AF57" i="2"/>
  <c r="AM31" i="6"/>
  <c r="AN31" i="6"/>
  <c r="AL31" i="6"/>
  <c r="AM30" i="6"/>
  <c r="AN30" i="6"/>
  <c r="AL29" i="6"/>
  <c r="AN29" i="6"/>
  <c r="AM29" i="6"/>
  <c r="I26" i="6"/>
  <c r="AL27" i="6"/>
  <c r="AM27" i="6"/>
  <c r="AN27" i="6"/>
  <c r="AL26" i="6"/>
  <c r="AM26" i="6"/>
  <c r="AM22" i="6"/>
  <c r="J164" i="6"/>
  <c r="J159" i="6"/>
  <c r="J155" i="6"/>
  <c r="J146" i="6"/>
  <c r="J145" i="6"/>
  <c r="J137" i="6"/>
  <c r="J130" i="6"/>
  <c r="J116" i="6"/>
  <c r="J123" i="6"/>
  <c r="J125" i="6"/>
  <c r="J118" i="6"/>
  <c r="J107" i="6"/>
  <c r="J109" i="6"/>
  <c r="J105" i="6"/>
  <c r="J60" i="6"/>
  <c r="AP197" i="6"/>
  <c r="J180" i="6"/>
  <c r="J173" i="6"/>
  <c r="J152" i="6"/>
  <c r="J97" i="6"/>
  <c r="J86" i="6"/>
  <c r="J89" i="6"/>
  <c r="J91" i="6"/>
  <c r="J72" i="6"/>
  <c r="J58" i="6"/>
  <c r="J43" i="6"/>
  <c r="J23" i="6"/>
  <c r="J29" i="6"/>
  <c r="J33" i="6"/>
  <c r="J19" i="6"/>
  <c r="J4" i="6"/>
  <c r="K202" i="6"/>
  <c r="J202" i="6"/>
  <c r="K200" i="6"/>
  <c r="J200" i="6"/>
  <c r="K187" i="6"/>
  <c r="J187" i="6"/>
  <c r="K194" i="6"/>
  <c r="J194" i="6"/>
  <c r="J177" i="6"/>
  <c r="J185" i="6"/>
  <c r="J163" i="6"/>
  <c r="J149" i="6"/>
  <c r="J140" i="6"/>
  <c r="J144" i="6"/>
  <c r="J135" i="6"/>
  <c r="J117" i="6"/>
  <c r="J124" i="6"/>
  <c r="J106" i="6"/>
  <c r="J115" i="6"/>
  <c r="J96" i="6"/>
  <c r="J108" i="6"/>
  <c r="J101" i="6"/>
  <c r="J98" i="6"/>
  <c r="J84" i="6"/>
  <c r="J66" i="6"/>
  <c r="J59" i="6"/>
  <c r="J46" i="6"/>
  <c r="J34" i="6"/>
  <c r="J32" i="6"/>
  <c r="J18" i="6"/>
  <c r="K192" i="6"/>
  <c r="N184" i="6"/>
  <c r="J192" i="6"/>
  <c r="K190" i="6"/>
  <c r="J190" i="6"/>
  <c r="K201" i="6"/>
  <c r="J201" i="6"/>
  <c r="K193" i="6"/>
  <c r="J193" i="6"/>
  <c r="K189" i="6"/>
  <c r="J189" i="6"/>
  <c r="J176" i="6"/>
  <c r="J179" i="6"/>
  <c r="J181" i="6"/>
  <c r="J167" i="6"/>
  <c r="J156" i="6"/>
  <c r="J150" i="6"/>
  <c r="J154" i="6"/>
  <c r="J148" i="6"/>
  <c r="J139" i="6"/>
  <c r="J138" i="6"/>
  <c r="J126" i="6"/>
  <c r="J131" i="6"/>
  <c r="J119" i="6"/>
  <c r="J113" i="6"/>
  <c r="J114" i="6"/>
  <c r="J111" i="6"/>
  <c r="J99" i="6"/>
  <c r="J93" i="6"/>
  <c r="J82" i="6"/>
  <c r="J83" i="6"/>
  <c r="J74" i="6"/>
  <c r="J75" i="6"/>
  <c r="J65" i="6"/>
  <c r="J42" i="6"/>
  <c r="J25" i="6"/>
  <c r="J61" i="6"/>
  <c r="J3" i="6"/>
  <c r="J17" i="6"/>
  <c r="J7" i="6"/>
  <c r="K197" i="6"/>
  <c r="J197" i="6"/>
  <c r="J196" i="6"/>
  <c r="K199" i="6"/>
  <c r="J199" i="6"/>
  <c r="J186" i="6"/>
  <c r="J198" i="6"/>
  <c r="J191" i="6"/>
  <c r="J184" i="6"/>
  <c r="J162" i="6"/>
  <c r="J171" i="6"/>
  <c r="J160" i="6"/>
  <c r="J158" i="6"/>
  <c r="J153" i="6"/>
  <c r="J147" i="6"/>
  <c r="J141" i="6"/>
  <c r="J122" i="6"/>
  <c r="J112" i="6"/>
  <c r="J100" i="6"/>
  <c r="J90" i="6"/>
  <c r="J76" i="6"/>
  <c r="J73" i="6"/>
  <c r="J57" i="6"/>
  <c r="J22" i="6"/>
  <c r="J44" i="6"/>
  <c r="J24" i="6"/>
  <c r="J36" i="6"/>
  <c r="J11" i="6"/>
  <c r="J8" i="6"/>
  <c r="K196" i="6"/>
  <c r="K195" i="6"/>
  <c r="K188" i="6"/>
  <c r="AP199" i="6"/>
  <c r="K185" i="6"/>
  <c r="K186" i="6"/>
  <c r="K198" i="6"/>
  <c r="K191" i="6"/>
  <c r="AP187" i="6"/>
  <c r="AP185" i="6"/>
  <c r="AL46" i="6"/>
  <c r="AL45" i="6"/>
  <c r="AL38" i="6"/>
  <c r="AL37" i="6"/>
  <c r="AL39" i="6"/>
  <c r="AL15" i="6"/>
  <c r="AL14" i="6"/>
  <c r="AS107" i="2"/>
  <c r="K101" i="5"/>
  <c r="Q101" i="5"/>
  <c r="N101" i="5"/>
  <c r="AV107" i="2"/>
  <c r="H101" i="5"/>
  <c r="Z101" i="5"/>
  <c r="I101" i="5"/>
  <c r="O101" i="5"/>
  <c r="R101" i="5"/>
  <c r="P101" i="5"/>
  <c r="F101" i="5"/>
  <c r="L101" i="5"/>
  <c r="H182" i="6"/>
  <c r="M101" i="5"/>
  <c r="S101" i="5"/>
  <c r="E101" i="5"/>
  <c r="H183" i="6"/>
  <c r="T101" i="5"/>
  <c r="U101" i="5"/>
  <c r="G101" i="5"/>
  <c r="F97" i="5"/>
  <c r="AT103" i="2"/>
  <c r="BE103" i="2"/>
  <c r="J97" i="5"/>
  <c r="W97" i="5"/>
  <c r="L97" i="5"/>
  <c r="G97" i="5"/>
  <c r="AV103" i="2"/>
  <c r="X97" i="5"/>
  <c r="S97" i="5"/>
  <c r="Q97" i="5"/>
  <c r="V97" i="5"/>
  <c r="R97" i="5"/>
  <c r="H97" i="5"/>
  <c r="K97" i="5"/>
  <c r="O97" i="5"/>
  <c r="Y97" i="5"/>
  <c r="P97" i="5"/>
  <c r="M97" i="5"/>
  <c r="Z97" i="5"/>
  <c r="I97" i="5"/>
  <c r="N97" i="5"/>
  <c r="H175" i="6"/>
  <c r="AS103" i="2"/>
  <c r="V93" i="5"/>
  <c r="F93" i="5"/>
  <c r="Y93" i="5"/>
  <c r="U93" i="5"/>
  <c r="Z93" i="5"/>
  <c r="R93" i="5"/>
  <c r="M93" i="5"/>
  <c r="H93" i="5"/>
  <c r="S93" i="5"/>
  <c r="N93" i="5"/>
  <c r="E93" i="5"/>
  <c r="AV99" i="2"/>
  <c r="X93" i="5"/>
  <c r="AS99" i="2"/>
  <c r="Q93" i="5"/>
  <c r="J93" i="5"/>
  <c r="O93" i="5"/>
  <c r="K93" i="5"/>
  <c r="I93" i="5"/>
  <c r="H169" i="6"/>
  <c r="T93" i="5"/>
  <c r="L93" i="5"/>
  <c r="G93" i="5"/>
  <c r="AT99" i="2"/>
  <c r="BE99" i="2"/>
  <c r="H168" i="6"/>
  <c r="P93" i="5"/>
  <c r="H89" i="5"/>
  <c r="O89" i="5"/>
  <c r="Z89" i="5"/>
  <c r="P89" i="5"/>
  <c r="AT95" i="2"/>
  <c r="BE95" i="2"/>
  <c r="E89" i="5"/>
  <c r="Q89" i="5"/>
  <c r="M89" i="5"/>
  <c r="AV95" i="2"/>
  <c r="W89" i="5"/>
  <c r="X89" i="5"/>
  <c r="L89" i="5"/>
  <c r="V89" i="5"/>
  <c r="K89" i="5"/>
  <c r="AR95" i="2"/>
  <c r="BJ95" i="2" s="1"/>
  <c r="AS95" i="2"/>
  <c r="R89" i="5"/>
  <c r="N89" i="5"/>
  <c r="S89" i="5"/>
  <c r="L85" i="5"/>
  <c r="E85" i="5"/>
  <c r="U85" i="5"/>
  <c r="W85" i="5"/>
  <c r="S85" i="5"/>
  <c r="O85" i="5"/>
  <c r="AS91" i="2"/>
  <c r="G85" i="5"/>
  <c r="M85" i="5"/>
  <c r="R85" i="5"/>
  <c r="X85" i="5"/>
  <c r="T85" i="5"/>
  <c r="N85" i="5"/>
  <c r="J85" i="5"/>
  <c r="P85" i="5"/>
  <c r="F85" i="5"/>
  <c r="H85" i="5"/>
  <c r="AV91" i="2"/>
  <c r="Q85" i="5"/>
  <c r="I85" i="5"/>
  <c r="Z85" i="5"/>
  <c r="K85" i="5"/>
  <c r="AV87" i="2"/>
  <c r="L81" i="5"/>
  <c r="V81" i="5"/>
  <c r="H81" i="5"/>
  <c r="J81" i="5"/>
  <c r="O81" i="5"/>
  <c r="T81" i="5"/>
  <c r="S81" i="5"/>
  <c r="AS87" i="2"/>
  <c r="X81" i="5"/>
  <c r="F81" i="5"/>
  <c r="I81" i="5"/>
  <c r="Z81" i="5"/>
  <c r="AT87" i="2"/>
  <c r="BE87" i="2"/>
  <c r="E81" i="5"/>
  <c r="R81" i="5"/>
  <c r="Q81" i="5"/>
  <c r="M81" i="5"/>
  <c r="Y81" i="5"/>
  <c r="N81" i="5"/>
  <c r="G81" i="5"/>
  <c r="P81" i="5"/>
  <c r="U81" i="5"/>
  <c r="H143" i="6"/>
  <c r="T77" i="5"/>
  <c r="K77" i="5"/>
  <c r="O77" i="5"/>
  <c r="M77" i="5"/>
  <c r="Z77" i="5"/>
  <c r="J77" i="5"/>
  <c r="W77" i="5"/>
  <c r="AV83" i="2"/>
  <c r="P77" i="5"/>
  <c r="X77" i="5"/>
  <c r="G77" i="5"/>
  <c r="AT83" i="2"/>
  <c r="BE83" i="2"/>
  <c r="E77" i="5"/>
  <c r="Y77" i="5"/>
  <c r="H77" i="5"/>
  <c r="S77" i="5"/>
  <c r="Q77" i="5"/>
  <c r="P73" i="5"/>
  <c r="T73" i="5"/>
  <c r="I73" i="5"/>
  <c r="V73" i="5"/>
  <c r="O73" i="5"/>
  <c r="R73" i="5"/>
  <c r="S73" i="5"/>
  <c r="E73" i="5"/>
  <c r="F73" i="5"/>
  <c r="H128" i="6"/>
  <c r="H129" i="6"/>
  <c r="H127" i="6"/>
  <c r="J73" i="5"/>
  <c r="Q73" i="5"/>
  <c r="W73" i="5"/>
  <c r="U73" i="5"/>
  <c r="L73" i="5"/>
  <c r="AS79" i="2"/>
  <c r="X73" i="5"/>
  <c r="M73" i="5"/>
  <c r="R69" i="5"/>
  <c r="F69" i="5"/>
  <c r="V69" i="5"/>
  <c r="M69" i="5"/>
  <c r="AS75" i="2"/>
  <c r="O69" i="5"/>
  <c r="L69" i="5"/>
  <c r="G69" i="5"/>
  <c r="AT75" i="2"/>
  <c r="BE75" i="2"/>
  <c r="J69" i="5"/>
  <c r="Y69" i="5"/>
  <c r="N69" i="5"/>
  <c r="Q69" i="5"/>
  <c r="T69" i="5"/>
  <c r="AV75" i="2"/>
  <c r="U69" i="5"/>
  <c r="H120" i="6"/>
  <c r="W69" i="5"/>
  <c r="X69" i="5"/>
  <c r="H69" i="5"/>
  <c r="AS71" i="2"/>
  <c r="G65" i="5"/>
  <c r="Q65" i="5"/>
  <c r="L65" i="5"/>
  <c r="P65" i="5"/>
  <c r="S65" i="5"/>
  <c r="AV71" i="2"/>
  <c r="O65" i="5"/>
  <c r="K65" i="5"/>
  <c r="U65" i="5"/>
  <c r="V65" i="5"/>
  <c r="J65" i="5"/>
  <c r="P61" i="5"/>
  <c r="E61" i="5"/>
  <c r="AS67" i="2"/>
  <c r="AV67" i="2"/>
  <c r="S61" i="5"/>
  <c r="M61" i="5"/>
  <c r="F61" i="5"/>
  <c r="L61" i="5"/>
  <c r="H103" i="6"/>
  <c r="H102" i="6"/>
  <c r="T61" i="5"/>
  <c r="V61" i="5"/>
  <c r="U61" i="5"/>
  <c r="H61" i="5"/>
  <c r="AT67" i="2"/>
  <c r="BE67" i="2"/>
  <c r="Y61" i="5"/>
  <c r="I61" i="5"/>
  <c r="Z61" i="5"/>
  <c r="R61" i="5"/>
  <c r="AR63" i="2"/>
  <c r="BJ63" i="2" s="1"/>
  <c r="AV63" i="2"/>
  <c r="K57" i="5"/>
  <c r="Y57" i="5"/>
  <c r="I57" i="5"/>
  <c r="R57" i="5"/>
  <c r="H57" i="5"/>
  <c r="Z57" i="5"/>
  <c r="H95" i="6"/>
  <c r="AS63" i="2"/>
  <c r="W57" i="5"/>
  <c r="J57" i="5"/>
  <c r="T57" i="5"/>
  <c r="N57" i="5"/>
  <c r="G57" i="5"/>
  <c r="F57" i="5"/>
  <c r="V57" i="5"/>
  <c r="U57" i="5"/>
  <c r="AR59" i="2"/>
  <c r="BJ59" i="2" s="1"/>
  <c r="J53" i="5"/>
  <c r="F53" i="5"/>
  <c r="X53" i="5"/>
  <c r="I53" i="5"/>
  <c r="Y53" i="5"/>
  <c r="Z53" i="5"/>
  <c r="N53" i="5"/>
  <c r="U53" i="5"/>
  <c r="AV59" i="2"/>
  <c r="AS59" i="2"/>
  <c r="Q53" i="5"/>
  <c r="K53" i="5"/>
  <c r="S53" i="5"/>
  <c r="M53" i="5"/>
  <c r="R53" i="5"/>
  <c r="W53" i="5"/>
  <c r="G53" i="5"/>
  <c r="T53" i="5"/>
  <c r="AT59" i="2"/>
  <c r="BE59" i="2"/>
  <c r="H53" i="5"/>
  <c r="H87" i="6"/>
  <c r="H88" i="6"/>
  <c r="L53" i="5"/>
  <c r="H81" i="6"/>
  <c r="H80" i="6"/>
  <c r="AT55" i="2"/>
  <c r="BE55" i="2"/>
  <c r="S49" i="5"/>
  <c r="O49" i="5"/>
  <c r="Q49" i="5"/>
  <c r="T49" i="5"/>
  <c r="P49" i="5"/>
  <c r="X49" i="5"/>
  <c r="J49" i="5"/>
  <c r="AS55" i="2"/>
  <c r="V49" i="5"/>
  <c r="W49" i="5"/>
  <c r="Y49" i="5"/>
  <c r="L49" i="5"/>
  <c r="G49" i="5"/>
  <c r="F49" i="5"/>
  <c r="E49" i="5"/>
  <c r="R49" i="5"/>
  <c r="AV51" i="2"/>
  <c r="R45" i="5"/>
  <c r="V45" i="5"/>
  <c r="F45" i="5"/>
  <c r="P45" i="5"/>
  <c r="L45" i="5"/>
  <c r="T45" i="5"/>
  <c r="O45" i="5"/>
  <c r="G45" i="5"/>
  <c r="N45" i="5"/>
  <c r="J45" i="5"/>
  <c r="Y45" i="5"/>
  <c r="H64" i="6"/>
  <c r="H62" i="6"/>
  <c r="J62" i="6"/>
  <c r="H63" i="6"/>
  <c r="H41" i="5"/>
  <c r="AT47" i="2"/>
  <c r="BE47" i="2"/>
  <c r="U41" i="5"/>
  <c r="X41" i="5"/>
  <c r="AV47" i="2"/>
  <c r="N41" i="5"/>
  <c r="Q41" i="5"/>
  <c r="AS47" i="2"/>
  <c r="G41" i="5"/>
  <c r="V41" i="5"/>
  <c r="W41" i="5"/>
  <c r="J41" i="5"/>
  <c r="K41" i="5"/>
  <c r="Y41" i="5"/>
  <c r="M41" i="5"/>
  <c r="T41" i="5"/>
  <c r="F41" i="5"/>
  <c r="O41" i="5"/>
  <c r="E41" i="5"/>
  <c r="H55" i="6"/>
  <c r="AV43" i="2"/>
  <c r="U37" i="5"/>
  <c r="X37" i="5"/>
  <c r="I37" i="5"/>
  <c r="W37" i="5"/>
  <c r="Z37" i="5"/>
  <c r="AS43" i="2"/>
  <c r="Y37" i="5"/>
  <c r="V37" i="5"/>
  <c r="L37" i="5"/>
  <c r="O37" i="5"/>
  <c r="F37" i="5"/>
  <c r="H56" i="6"/>
  <c r="H47" i="6"/>
  <c r="H49" i="6"/>
  <c r="H48" i="6"/>
  <c r="U33" i="5"/>
  <c r="G33" i="5"/>
  <c r="K33" i="5"/>
  <c r="L33" i="5"/>
  <c r="I33" i="5"/>
  <c r="AT39" i="2"/>
  <c r="BE39" i="2"/>
  <c r="X33" i="5"/>
  <c r="AV39" i="2"/>
  <c r="M33" i="5"/>
  <c r="V33" i="5"/>
  <c r="W33" i="5"/>
  <c r="T33" i="5"/>
  <c r="J33" i="5"/>
  <c r="Z33" i="5"/>
  <c r="S33" i="5"/>
  <c r="P33" i="5"/>
  <c r="H33" i="5"/>
  <c r="O33" i="5"/>
  <c r="Q33" i="5"/>
  <c r="H40" i="6"/>
  <c r="H41" i="6"/>
  <c r="AR35" i="2"/>
  <c r="BJ35" i="2" s="1"/>
  <c r="S29" i="5"/>
  <c r="F29" i="5"/>
  <c r="L29" i="5"/>
  <c r="Q29" i="5"/>
  <c r="J29" i="5"/>
  <c r="K29" i="5"/>
  <c r="AT35" i="2"/>
  <c r="BE35" i="2"/>
  <c r="U29" i="5"/>
  <c r="G29" i="5"/>
  <c r="M29" i="5"/>
  <c r="N29" i="5"/>
  <c r="T29" i="5"/>
  <c r="Y29" i="5"/>
  <c r="AT31" i="2"/>
  <c r="BE31" i="2"/>
  <c r="M25" i="5"/>
  <c r="W25" i="5"/>
  <c r="S25" i="5"/>
  <c r="N25" i="5"/>
  <c r="I25" i="5"/>
  <c r="U25" i="5"/>
  <c r="AV31" i="2"/>
  <c r="T25" i="5"/>
  <c r="X25" i="5"/>
  <c r="R25" i="5"/>
  <c r="G25" i="5"/>
  <c r="H25" i="5"/>
  <c r="H28" i="6"/>
  <c r="H27" i="6"/>
  <c r="AV27" i="2"/>
  <c r="R21" i="5"/>
  <c r="G21" i="5"/>
  <c r="I21" i="5"/>
  <c r="Q21" i="5"/>
  <c r="O21" i="5"/>
  <c r="M21" i="5"/>
  <c r="AH27" i="2"/>
  <c r="AS27" i="2"/>
  <c r="AT27" i="2"/>
  <c r="BE27" i="2"/>
  <c r="Z21" i="5"/>
  <c r="W21" i="5"/>
  <c r="N21" i="5"/>
  <c r="H21" i="5"/>
  <c r="T21" i="5"/>
  <c r="H21" i="6"/>
  <c r="AR23" i="2"/>
  <c r="BJ23" i="2" s="1"/>
  <c r="O17" i="5"/>
  <c r="Y17" i="5"/>
  <c r="U17" i="5"/>
  <c r="G17" i="5"/>
  <c r="K17" i="5"/>
  <c r="V17" i="5"/>
  <c r="AT23" i="2"/>
  <c r="BE23" i="2"/>
  <c r="P17" i="5"/>
  <c r="Z17" i="5"/>
  <c r="T17" i="5"/>
  <c r="W17" i="5"/>
  <c r="Q17" i="5"/>
  <c r="I17" i="5"/>
  <c r="H16" i="6"/>
  <c r="R13" i="5"/>
  <c r="O13" i="5"/>
  <c r="K13" i="5"/>
  <c r="G13" i="5"/>
  <c r="P13" i="5"/>
  <c r="Q13" i="5"/>
  <c r="V13" i="5"/>
  <c r="Z13" i="5"/>
  <c r="I13" i="5"/>
  <c r="AS19" i="2"/>
  <c r="U13" i="5"/>
  <c r="X13" i="5"/>
  <c r="M13" i="5"/>
  <c r="W13" i="5"/>
  <c r="L13" i="5"/>
  <c r="E13" i="5"/>
  <c r="H13" i="5"/>
  <c r="AV19" i="2"/>
  <c r="F13" i="5"/>
  <c r="M9" i="5"/>
  <c r="R9" i="5"/>
  <c r="Y9" i="5"/>
  <c r="G9" i="5"/>
  <c r="K9" i="5"/>
  <c r="L9" i="5"/>
  <c r="S9" i="5"/>
  <c r="P9" i="5"/>
  <c r="U9" i="5"/>
  <c r="AT15" i="2"/>
  <c r="BE15" i="2"/>
  <c r="H9" i="5"/>
  <c r="X9" i="5"/>
  <c r="H6" i="6"/>
  <c r="V5" i="5"/>
  <c r="K5" i="5"/>
  <c r="Y5" i="5"/>
  <c r="T5" i="5"/>
  <c r="M5" i="5"/>
  <c r="N5" i="5"/>
  <c r="S5" i="5"/>
  <c r="G5" i="5"/>
  <c r="Z5" i="5"/>
  <c r="O5" i="5"/>
  <c r="P5" i="5"/>
  <c r="AS11" i="2"/>
  <c r="X5" i="5"/>
  <c r="R5" i="5"/>
  <c r="W5" i="5"/>
  <c r="L5" i="5"/>
  <c r="U5" i="5"/>
  <c r="AT11" i="2"/>
  <c r="BE11" i="2"/>
  <c r="I5" i="5"/>
  <c r="J5" i="5"/>
  <c r="H5" i="5"/>
  <c r="E5" i="5"/>
  <c r="AP195" i="6"/>
  <c r="AP189" i="6"/>
  <c r="AP201" i="6"/>
  <c r="H161" i="6"/>
  <c r="H142" i="6"/>
  <c r="J142" i="6"/>
  <c r="H136" i="6"/>
  <c r="H121" i="6"/>
  <c r="H104" i="6"/>
  <c r="E9" i="5"/>
  <c r="AV79" i="2"/>
  <c r="P29" i="5"/>
  <c r="O29" i="5"/>
  <c r="V29" i="5"/>
  <c r="Y65" i="5"/>
  <c r="N65" i="5"/>
  <c r="M65" i="5"/>
  <c r="K45" i="5"/>
  <c r="I45" i="5"/>
  <c r="Q45" i="5"/>
  <c r="L25" i="5"/>
  <c r="F25" i="5"/>
  <c r="Y25" i="5"/>
  <c r="N73" i="5"/>
  <c r="AS15" i="2"/>
  <c r="N37" i="5"/>
  <c r="R37" i="5"/>
  <c r="Q37" i="5"/>
  <c r="F17" i="5"/>
  <c r="X17" i="5"/>
  <c r="H17" i="5"/>
  <c r="U49" i="5"/>
  <c r="W9" i="5"/>
  <c r="V21" i="5"/>
  <c r="L21" i="5"/>
  <c r="F21" i="5"/>
  <c r="G61" i="5"/>
  <c r="Z41" i="5"/>
  <c r="P41" i="5"/>
  <c r="M49" i="5"/>
  <c r="Y73" i="5"/>
  <c r="P57" i="5"/>
  <c r="X57" i="5"/>
  <c r="F33" i="5"/>
  <c r="Y13" i="5"/>
  <c r="I69" i="5"/>
  <c r="E69" i="5"/>
  <c r="J89" i="5"/>
  <c r="O53" i="5"/>
  <c r="J61" i="5"/>
  <c r="AT107" i="2"/>
  <c r="BE107" i="2"/>
  <c r="J101" i="5"/>
  <c r="V53" i="5"/>
  <c r="I89" i="5"/>
  <c r="T89" i="5"/>
  <c r="N13" i="5"/>
  <c r="G89" i="5"/>
  <c r="R77" i="5"/>
  <c r="K81" i="5"/>
  <c r="AV11" i="2"/>
  <c r="H10" i="6"/>
  <c r="AV104" i="2"/>
  <c r="U98" i="5"/>
  <c r="M98" i="5"/>
  <c r="Q98" i="5"/>
  <c r="I98" i="5"/>
  <c r="T98" i="5"/>
  <c r="H178" i="6"/>
  <c r="AT104" i="2"/>
  <c r="BE104" i="2"/>
  <c r="W98" i="5"/>
  <c r="V98" i="5"/>
  <c r="Z98" i="5"/>
  <c r="Y98" i="5"/>
  <c r="G98" i="5"/>
  <c r="G92" i="5"/>
  <c r="W92" i="5"/>
  <c r="X92" i="5"/>
  <c r="AR98" i="2"/>
  <c r="BJ98" i="2" s="1"/>
  <c r="E92" i="5"/>
  <c r="F92" i="5"/>
  <c r="I92" i="5"/>
  <c r="O92" i="5"/>
  <c r="R92" i="5"/>
  <c r="H165" i="6"/>
  <c r="H166" i="6"/>
  <c r="S92" i="5"/>
  <c r="P92" i="5"/>
  <c r="T92" i="5"/>
  <c r="V92" i="5"/>
  <c r="Z92" i="5"/>
  <c r="M92" i="5"/>
  <c r="N92" i="5"/>
  <c r="H92" i="5"/>
  <c r="J92" i="5"/>
  <c r="AV98" i="2"/>
  <c r="AT98" i="2"/>
  <c r="U92" i="5"/>
  <c r="AR54" i="2"/>
  <c r="BJ54" i="2" s="1"/>
  <c r="H78" i="6"/>
  <c r="H79" i="6"/>
  <c r="AS54" i="2"/>
  <c r="V48" i="5"/>
  <c r="X48" i="5"/>
  <c r="O48" i="5"/>
  <c r="L48" i="5"/>
  <c r="P48" i="5"/>
  <c r="H77" i="6"/>
  <c r="AT54" i="2"/>
  <c r="BE54" i="2"/>
  <c r="G48" i="5"/>
  <c r="Z48" i="5"/>
  <c r="S48" i="5"/>
  <c r="J48" i="5"/>
  <c r="R48" i="5"/>
  <c r="X65" i="5"/>
  <c r="R65" i="5"/>
  <c r="E65" i="5"/>
  <c r="AT71" i="2"/>
  <c r="BE71" i="2"/>
  <c r="P37" i="5"/>
  <c r="M37" i="5"/>
  <c r="T37" i="5"/>
  <c r="R17" i="5"/>
  <c r="M17" i="5"/>
  <c r="Z73" i="5"/>
  <c r="U21" i="5"/>
  <c r="K21" i="5"/>
  <c r="Y21" i="5"/>
  <c r="Q61" i="5"/>
  <c r="W61" i="5"/>
  <c r="I41" i="5"/>
  <c r="N49" i="5"/>
  <c r="O57" i="5"/>
  <c r="E57" i="5"/>
  <c r="P69" i="5"/>
  <c r="K69" i="5"/>
  <c r="F9" i="5"/>
  <c r="S13" i="5"/>
  <c r="X61" i="5"/>
  <c r="J13" i="5"/>
  <c r="E53" i="5"/>
  <c r="AT63" i="2"/>
  <c r="BE63" i="2"/>
  <c r="Y85" i="5"/>
  <c r="L77" i="5"/>
  <c r="U77" i="5"/>
  <c r="F77" i="5"/>
  <c r="N77" i="5"/>
  <c r="V77" i="5"/>
  <c r="AS83" i="2"/>
  <c r="X71" i="2"/>
  <c r="AF71" i="2"/>
  <c r="AF61" i="2"/>
  <c r="AM180" i="6"/>
  <c r="AM181" i="6"/>
  <c r="AM162" i="6"/>
  <c r="AM163" i="6"/>
  <c r="AM164" i="6"/>
  <c r="AM141" i="6"/>
  <c r="AM140" i="6"/>
  <c r="AM115" i="6"/>
  <c r="AM116" i="6"/>
  <c r="AL82" i="6"/>
  <c r="AL84" i="6"/>
  <c r="AL83" i="6"/>
  <c r="H132" i="6"/>
  <c r="J132" i="6"/>
  <c r="H133" i="6"/>
  <c r="BE97" i="2"/>
  <c r="AS22" i="2"/>
  <c r="W68" i="5"/>
  <c r="I68" i="5"/>
  <c r="E68" i="5"/>
  <c r="Q68" i="5"/>
  <c r="J68" i="5"/>
  <c r="AS74" i="2"/>
  <c r="L72" i="5"/>
  <c r="H72" i="5"/>
  <c r="V72" i="5"/>
  <c r="Y72" i="5"/>
  <c r="W72" i="5"/>
  <c r="AV78" i="2"/>
  <c r="R100" i="5"/>
  <c r="S100" i="5"/>
  <c r="J100" i="5"/>
  <c r="K100" i="5"/>
  <c r="N100" i="5"/>
  <c r="L100" i="5"/>
  <c r="V60" i="5"/>
  <c r="J60" i="5"/>
  <c r="I60" i="5"/>
  <c r="S60" i="5"/>
  <c r="AS50" i="2"/>
  <c r="I16" i="5"/>
  <c r="AT42" i="2"/>
  <c r="BE42" i="2"/>
  <c r="E44" i="5"/>
  <c r="K44" i="5"/>
  <c r="H44" i="5"/>
  <c r="X44" i="5"/>
  <c r="P44" i="5"/>
  <c r="U44" i="5"/>
  <c r="I36" i="5"/>
  <c r="H36" i="5"/>
  <c r="V36" i="5"/>
  <c r="S36" i="5"/>
  <c r="AV94" i="2"/>
  <c r="Z28" i="5"/>
  <c r="S16" i="5"/>
  <c r="M88" i="5"/>
  <c r="O88" i="5"/>
  <c r="K88" i="5"/>
  <c r="W28" i="5"/>
  <c r="U16" i="5"/>
  <c r="V28" i="5"/>
  <c r="X40" i="5"/>
  <c r="W32" i="5"/>
  <c r="Q24" i="5"/>
  <c r="Y24" i="5"/>
  <c r="L76" i="5"/>
  <c r="Z76" i="5"/>
  <c r="N88" i="5"/>
  <c r="M96" i="5"/>
  <c r="U12" i="5"/>
  <c r="Y96" i="5"/>
  <c r="O12" i="5"/>
  <c r="H8" i="5"/>
  <c r="S64" i="5"/>
  <c r="AV62" i="2"/>
  <c r="AS70" i="2"/>
  <c r="J8" i="5"/>
  <c r="L56" i="5"/>
  <c r="L8" i="5"/>
  <c r="N64" i="5"/>
  <c r="AT70" i="2"/>
  <c r="N76" i="5"/>
  <c r="AS62" i="2"/>
  <c r="S84" i="5"/>
  <c r="AS90" i="2"/>
  <c r="V84" i="5"/>
  <c r="N12" i="5"/>
  <c r="J20" i="5"/>
  <c r="Q8" i="5"/>
  <c r="H84" i="5"/>
  <c r="W84" i="5"/>
  <c r="F76" i="5"/>
  <c r="G80" i="5"/>
  <c r="O80" i="5"/>
  <c r="K80" i="5"/>
  <c r="J52" i="5"/>
  <c r="I52" i="5"/>
  <c r="N52" i="5"/>
  <c r="AF105" i="2"/>
  <c r="AF102" i="2"/>
  <c r="AF98" i="2"/>
  <c r="AF81" i="2"/>
  <c r="W65" i="2"/>
  <c r="AF55" i="2"/>
  <c r="H51" i="6"/>
  <c r="H50" i="6"/>
  <c r="O34" i="5"/>
  <c r="Y34" i="5"/>
  <c r="AF86" i="2"/>
  <c r="W96" i="2"/>
  <c r="AM148" i="6"/>
  <c r="AM149" i="6"/>
  <c r="AM147" i="6"/>
  <c r="AM108" i="6"/>
  <c r="BE69" i="2"/>
  <c r="AM100" i="6"/>
  <c r="AM101" i="6"/>
  <c r="AM82" i="6"/>
  <c r="AM83" i="6"/>
  <c r="AM68" i="6"/>
  <c r="AM69" i="6"/>
  <c r="AM67" i="6"/>
  <c r="AM61" i="6"/>
  <c r="AM60" i="6"/>
  <c r="AM35" i="6"/>
  <c r="AM36" i="6"/>
  <c r="AL180" i="6"/>
  <c r="AL181" i="6"/>
  <c r="AL165" i="6"/>
  <c r="AL166" i="6"/>
  <c r="AL146" i="6"/>
  <c r="AL145" i="6"/>
  <c r="AL138" i="6"/>
  <c r="AL139" i="6"/>
  <c r="AL137" i="6"/>
  <c r="AL130" i="6"/>
  <c r="AL131" i="6"/>
  <c r="AL61" i="6"/>
  <c r="AL60" i="6"/>
  <c r="AL25" i="6"/>
  <c r="AL24" i="6"/>
  <c r="AL12" i="6"/>
  <c r="AL13" i="6"/>
  <c r="AR102" i="2"/>
  <c r="BJ102" i="2" s="1"/>
  <c r="P96" i="5"/>
  <c r="T96" i="5"/>
  <c r="I96" i="5"/>
  <c r="J96" i="5"/>
  <c r="S96" i="5"/>
  <c r="G96" i="5"/>
  <c r="V96" i="5"/>
  <c r="AT102" i="2"/>
  <c r="BE102" i="2"/>
  <c r="X96" i="5"/>
  <c r="Q96" i="5"/>
  <c r="AR94" i="2"/>
  <c r="BJ94" i="2" s="1"/>
  <c r="R88" i="5"/>
  <c r="U88" i="5"/>
  <c r="Q88" i="5"/>
  <c r="X88" i="5"/>
  <c r="AT94" i="2"/>
  <c r="BE94" i="2"/>
  <c r="J88" i="5"/>
  <c r="P88" i="5"/>
  <c r="E88" i="5"/>
  <c r="P84" i="5"/>
  <c r="G84" i="5"/>
  <c r="O84" i="5"/>
  <c r="L84" i="5"/>
  <c r="E84" i="5"/>
  <c r="AT90" i="2"/>
  <c r="J84" i="5"/>
  <c r="I84" i="5"/>
  <c r="T84" i="5"/>
  <c r="N84" i="5"/>
  <c r="X84" i="5"/>
  <c r="K84" i="5"/>
  <c r="R80" i="5"/>
  <c r="H80" i="5"/>
  <c r="Y80" i="5"/>
  <c r="F80" i="5"/>
  <c r="L80" i="5"/>
  <c r="AS86" i="2"/>
  <c r="V80" i="5"/>
  <c r="S80" i="5"/>
  <c r="M80" i="5"/>
  <c r="N80" i="5"/>
  <c r="J80" i="5"/>
  <c r="AV86" i="2"/>
  <c r="T80" i="5"/>
  <c r="X76" i="5"/>
  <c r="AV82" i="2"/>
  <c r="T76" i="5"/>
  <c r="J76" i="5"/>
  <c r="W76" i="5"/>
  <c r="O76" i="5"/>
  <c r="I76" i="5"/>
  <c r="Y76" i="5"/>
  <c r="P76" i="5"/>
  <c r="V76" i="5"/>
  <c r="K76" i="5"/>
  <c r="L64" i="5"/>
  <c r="M64" i="5"/>
  <c r="F64" i="5"/>
  <c r="T64" i="5"/>
  <c r="U64" i="5"/>
  <c r="Q64" i="5"/>
  <c r="E64" i="5"/>
  <c r="G64" i="5"/>
  <c r="W64" i="5"/>
  <c r="Y64" i="5"/>
  <c r="AS66" i="2"/>
  <c r="T56" i="5"/>
  <c r="J56" i="5"/>
  <c r="F56" i="5"/>
  <c r="U56" i="5"/>
  <c r="O56" i="5"/>
  <c r="Z56" i="5"/>
  <c r="M56" i="5"/>
  <c r="K56" i="5"/>
  <c r="I56" i="5"/>
  <c r="P56" i="5"/>
  <c r="Q52" i="5"/>
  <c r="R52" i="5"/>
  <c r="AS58" i="2"/>
  <c r="S52" i="5"/>
  <c r="F52" i="5"/>
  <c r="Y52" i="5"/>
  <c r="AV58" i="2"/>
  <c r="E52" i="5"/>
  <c r="M52" i="5"/>
  <c r="T52" i="5"/>
  <c r="K52" i="5"/>
  <c r="H85" i="6"/>
  <c r="AT58" i="2"/>
  <c r="X52" i="5"/>
  <c r="P52" i="5"/>
  <c r="V52" i="5"/>
  <c r="H70" i="6"/>
  <c r="H71" i="6"/>
  <c r="L40" i="5"/>
  <c r="P40" i="5"/>
  <c r="S40" i="5"/>
  <c r="AV46" i="2"/>
  <c r="Y40" i="5"/>
  <c r="N40" i="5"/>
  <c r="R40" i="5"/>
  <c r="F40" i="5"/>
  <c r="T40" i="5"/>
  <c r="H54" i="6"/>
  <c r="H53" i="6"/>
  <c r="H52" i="6"/>
  <c r="J52" i="6"/>
  <c r="P36" i="5"/>
  <c r="E36" i="5"/>
  <c r="O32" i="5"/>
  <c r="T32" i="5"/>
  <c r="X32" i="5"/>
  <c r="Q32" i="5"/>
  <c r="AT38" i="2"/>
  <c r="BE38" i="2"/>
  <c r="N32" i="5"/>
  <c r="P32" i="5"/>
  <c r="F32" i="5"/>
  <c r="I32" i="5"/>
  <c r="G32" i="5"/>
  <c r="K32" i="5"/>
  <c r="Z32" i="5"/>
  <c r="H45" i="6"/>
  <c r="H37" i="6"/>
  <c r="H38" i="6"/>
  <c r="P28" i="5"/>
  <c r="H39" i="6"/>
  <c r="I28" i="5"/>
  <c r="U28" i="5"/>
  <c r="K28" i="5"/>
  <c r="AV34" i="2"/>
  <c r="H28" i="5"/>
  <c r="R28" i="5"/>
  <c r="X28" i="5"/>
  <c r="M28" i="5"/>
  <c r="Q28" i="5"/>
  <c r="AR30" i="2"/>
  <c r="BJ30" i="2" s="1"/>
  <c r="H31" i="6"/>
  <c r="O24" i="5"/>
  <c r="Z24" i="5"/>
  <c r="K24" i="5"/>
  <c r="N24" i="5"/>
  <c r="F24" i="5"/>
  <c r="E24" i="5"/>
  <c r="U24" i="5"/>
  <c r="P24" i="5"/>
  <c r="L24" i="5"/>
  <c r="AS30" i="2"/>
  <c r="AV30" i="2"/>
  <c r="G24" i="5"/>
  <c r="R24" i="5"/>
  <c r="H26" i="6"/>
  <c r="M20" i="5"/>
  <c r="E20" i="5"/>
  <c r="AT26" i="2"/>
  <c r="BE26" i="2"/>
  <c r="W20" i="5"/>
  <c r="H20" i="5"/>
  <c r="S20" i="5"/>
  <c r="Z20" i="5"/>
  <c r="O20" i="5"/>
  <c r="N20" i="5"/>
  <c r="R20" i="5"/>
  <c r="U20" i="5"/>
  <c r="Q20" i="5"/>
  <c r="K20" i="5"/>
  <c r="H20" i="6"/>
  <c r="O16" i="5"/>
  <c r="M16" i="5"/>
  <c r="L16" i="5"/>
  <c r="N16" i="5"/>
  <c r="H14" i="6"/>
  <c r="AR18" i="2"/>
  <c r="BJ18" i="2" s="1"/>
  <c r="H15" i="6"/>
  <c r="P12" i="5"/>
  <c r="I12" i="5"/>
  <c r="Y12" i="5"/>
  <c r="M12" i="5"/>
  <c r="V12" i="5"/>
  <c r="T12" i="5"/>
  <c r="Q12" i="5"/>
  <c r="R12" i="5"/>
  <c r="L12" i="5"/>
  <c r="AS18" i="2"/>
  <c r="Z12" i="5"/>
  <c r="H9" i="6"/>
  <c r="AS14" i="2"/>
  <c r="G8" i="5"/>
  <c r="P8" i="5"/>
  <c r="I8" i="5"/>
  <c r="AV14" i="2"/>
  <c r="F8" i="5"/>
  <c r="V8" i="5"/>
  <c r="S8" i="5"/>
  <c r="N8" i="5"/>
  <c r="O8" i="5"/>
  <c r="AT14" i="2"/>
  <c r="BE14" i="2"/>
  <c r="H5" i="6"/>
  <c r="K4" i="5"/>
  <c r="AS10" i="2"/>
  <c r="W4" i="5"/>
  <c r="Y4" i="5"/>
  <c r="M4" i="5"/>
  <c r="AV10" i="2"/>
  <c r="T4" i="5"/>
  <c r="V4" i="5"/>
  <c r="J4" i="5"/>
  <c r="P4" i="5"/>
  <c r="R4" i="5"/>
  <c r="I4" i="5"/>
  <c r="U4" i="5"/>
  <c r="E4" i="5"/>
  <c r="F4" i="5"/>
  <c r="N4" i="5"/>
  <c r="AT10" i="2"/>
  <c r="BE10" i="2"/>
  <c r="G4" i="5"/>
  <c r="S4" i="5"/>
  <c r="AP193" i="6"/>
  <c r="H172" i="6"/>
  <c r="J172" i="6"/>
  <c r="H174" i="6"/>
  <c r="AP191" i="6"/>
  <c r="H157" i="6"/>
  <c r="H151" i="6"/>
  <c r="H134" i="6"/>
  <c r="H110" i="6"/>
  <c r="H92" i="6"/>
  <c r="BE85" i="2"/>
  <c r="H94" i="6"/>
  <c r="AV22" i="2"/>
  <c r="G68" i="5"/>
  <c r="U68" i="5"/>
  <c r="O68" i="5"/>
  <c r="Z68" i="5"/>
  <c r="V68" i="5"/>
  <c r="H68" i="5"/>
  <c r="AV74" i="2"/>
  <c r="R72" i="5"/>
  <c r="J72" i="5"/>
  <c r="O72" i="5"/>
  <c r="T72" i="5"/>
  <c r="I72" i="5"/>
  <c r="S72" i="5"/>
  <c r="AT78" i="2"/>
  <c r="BE78" i="2"/>
  <c r="H100" i="5"/>
  <c r="T100" i="5"/>
  <c r="X100" i="5"/>
  <c r="M100" i="5"/>
  <c r="V100" i="5"/>
  <c r="AT106" i="2"/>
  <c r="BE106" i="2"/>
  <c r="G60" i="5"/>
  <c r="K60" i="5"/>
  <c r="M60" i="5"/>
  <c r="O60" i="5"/>
  <c r="U60" i="5"/>
  <c r="N60" i="5"/>
  <c r="Q16" i="5"/>
  <c r="AT50" i="2"/>
  <c r="O44" i="5"/>
  <c r="L44" i="5"/>
  <c r="M44" i="5"/>
  <c r="F44" i="5"/>
  <c r="V44" i="5"/>
  <c r="T44" i="5"/>
  <c r="L36" i="5"/>
  <c r="F36" i="5"/>
  <c r="K36" i="5"/>
  <c r="Z36" i="5"/>
  <c r="O36" i="5"/>
  <c r="I88" i="5"/>
  <c r="F28" i="5"/>
  <c r="X16" i="5"/>
  <c r="W88" i="5"/>
  <c r="L88" i="5"/>
  <c r="W16" i="5"/>
  <c r="O28" i="5"/>
  <c r="K16" i="5"/>
  <c r="H40" i="5"/>
  <c r="AV66" i="2"/>
  <c r="E32" i="5"/>
  <c r="AV38" i="2"/>
  <c r="M32" i="5"/>
  <c r="AT30" i="2"/>
  <c r="BE30" i="2"/>
  <c r="J24" i="5"/>
  <c r="AS82" i="2"/>
  <c r="AT82" i="2"/>
  <c r="BE82" i="2"/>
  <c r="Y88" i="5"/>
  <c r="G40" i="5"/>
  <c r="I40" i="5"/>
  <c r="AS102" i="2"/>
  <c r="N96" i="5"/>
  <c r="J12" i="5"/>
  <c r="K8" i="5"/>
  <c r="V56" i="5"/>
  <c r="H56" i="5"/>
  <c r="U8" i="5"/>
  <c r="X24" i="5"/>
  <c r="R8" i="5"/>
  <c r="V64" i="5"/>
  <c r="O64" i="5"/>
  <c r="I24" i="5"/>
  <c r="R56" i="5"/>
  <c r="V24" i="5"/>
  <c r="O40" i="5"/>
  <c r="X20" i="5"/>
  <c r="E96" i="5"/>
  <c r="K12" i="5"/>
  <c r="AS26" i="2"/>
  <c r="W96" i="5"/>
  <c r="Q84" i="5"/>
  <c r="F84" i="5"/>
  <c r="U84" i="5"/>
  <c r="AV70" i="2"/>
  <c r="L20" i="5"/>
  <c r="U80" i="5"/>
  <c r="S12" i="5"/>
  <c r="X80" i="5"/>
  <c r="S56" i="5"/>
  <c r="Z80" i="5"/>
  <c r="Z52" i="5"/>
  <c r="Q4" i="5"/>
  <c r="Y86" i="5"/>
  <c r="L86" i="5"/>
  <c r="O86" i="5"/>
  <c r="V86" i="5"/>
  <c r="AM84" i="6"/>
  <c r="AF63" i="2"/>
  <c r="AF59" i="2"/>
  <c r="AF51" i="2"/>
  <c r="AF107" i="2"/>
  <c r="L23" i="5"/>
  <c r="H30" i="6"/>
  <c r="X106" i="2"/>
  <c r="AF106" i="2"/>
  <c r="AR93" i="2"/>
  <c r="BJ93" i="2" s="1"/>
  <c r="Y87" i="5"/>
  <c r="AT93" i="2"/>
  <c r="BE93" i="2"/>
  <c r="S87" i="5"/>
  <c r="Q87" i="5"/>
  <c r="R87" i="5"/>
  <c r="T87" i="5"/>
  <c r="AR72" i="2"/>
  <c r="BJ72" i="2" s="1"/>
  <c r="K66" i="5"/>
  <c r="W66" i="5"/>
  <c r="J66" i="5"/>
  <c r="L66" i="5"/>
  <c r="H68" i="6"/>
  <c r="H69" i="6"/>
  <c r="H67" i="6"/>
  <c r="BE73" i="2"/>
  <c r="AC20" i="2"/>
  <c r="AH20" i="2"/>
  <c r="AB26" i="2"/>
  <c r="AC26" i="2"/>
  <c r="AH26" i="2"/>
  <c r="AF83" i="2"/>
  <c r="H13" i="6"/>
  <c r="H12" i="6"/>
  <c r="Z11" i="5"/>
  <c r="AH13" i="2"/>
  <c r="AU61" i="2"/>
  <c r="AF95" i="2"/>
  <c r="W67" i="2"/>
  <c r="AR33" i="2"/>
  <c r="BJ33" i="2" s="1"/>
  <c r="H35" i="6"/>
  <c r="AN108" i="6"/>
  <c r="AN150" i="6"/>
  <c r="AN151" i="6"/>
  <c r="AN134" i="6"/>
  <c r="AN132" i="6"/>
  <c r="AN94" i="6"/>
  <c r="AN92" i="6"/>
  <c r="AN86" i="6"/>
  <c r="AN85" i="6"/>
  <c r="AN63" i="6"/>
  <c r="AN62" i="6"/>
  <c r="AN17" i="6"/>
  <c r="AN18" i="6"/>
  <c r="AL127" i="6"/>
  <c r="AL129" i="6"/>
  <c r="AL99" i="6"/>
  <c r="AL98" i="6"/>
  <c r="AL97" i="6"/>
  <c r="AL91" i="6"/>
  <c r="AL90" i="6"/>
  <c r="AF103" i="2"/>
  <c r="W80" i="2"/>
  <c r="X90" i="2"/>
  <c r="AF70" i="2"/>
  <c r="AN24" i="6"/>
  <c r="AN25" i="6"/>
  <c r="AN181" i="6"/>
  <c r="AN180" i="6"/>
  <c r="AN164" i="6"/>
  <c r="AN163" i="6"/>
  <c r="AM118" i="6"/>
  <c r="AM117" i="6"/>
  <c r="AM85" i="6"/>
  <c r="AM86" i="6"/>
  <c r="AF87" i="2"/>
  <c r="E78" i="5"/>
  <c r="E46" i="5"/>
  <c r="AR40" i="2"/>
  <c r="BJ40" i="2" s="1"/>
  <c r="E14" i="5"/>
  <c r="AN182" i="6"/>
  <c r="AM175" i="6"/>
  <c r="AP196" i="6"/>
  <c r="AP188" i="6"/>
  <c r="AN179" i="6"/>
  <c r="AN178" i="6"/>
  <c r="AN177" i="6"/>
  <c r="AN152" i="6"/>
  <c r="AN154" i="6"/>
  <c r="AN153" i="6"/>
  <c r="AN131" i="6"/>
  <c r="AN130" i="6"/>
  <c r="AN70" i="6"/>
  <c r="AN71" i="6"/>
  <c r="AB22" i="2"/>
  <c r="AH22" i="2"/>
  <c r="AN91" i="6"/>
  <c r="AN90" i="6"/>
  <c r="AN48" i="6"/>
  <c r="AN47" i="6"/>
  <c r="AN49" i="6"/>
  <c r="X104" i="2"/>
  <c r="AF104" i="2"/>
  <c r="AF94" i="2"/>
  <c r="AF58" i="2"/>
  <c r="X68" i="2"/>
  <c r="AF68" i="2"/>
  <c r="AN170" i="6"/>
  <c r="AN171" i="6"/>
  <c r="AN146" i="6"/>
  <c r="AN145" i="6"/>
  <c r="AN138" i="6"/>
  <c r="AN139" i="6"/>
  <c r="AN137" i="6"/>
  <c r="AN113" i="6"/>
  <c r="AN114" i="6"/>
  <c r="AN112" i="6"/>
  <c r="AN99" i="6"/>
  <c r="AN97" i="6"/>
  <c r="AN98" i="6"/>
  <c r="AN80" i="6"/>
  <c r="AN81" i="6"/>
  <c r="AN57" i="6"/>
  <c r="AN58" i="6"/>
  <c r="AN59" i="6"/>
  <c r="AN38" i="6"/>
  <c r="AN39" i="6"/>
  <c r="AN37" i="6"/>
  <c r="AL23" i="6"/>
  <c r="AL22" i="6"/>
  <c r="AP200" i="6"/>
  <c r="N198" i="6"/>
  <c r="AP192" i="6"/>
  <c r="AP194" i="6"/>
  <c r="AP190" i="6"/>
  <c r="AN105" i="6"/>
  <c r="AB28" i="2"/>
  <c r="AC28" i="2"/>
  <c r="AB10" i="2"/>
  <c r="AC10" i="2"/>
  <c r="X76" i="2"/>
  <c r="AF76" i="2"/>
  <c r="AF66" i="2"/>
  <c r="AF90" i="2"/>
  <c r="AB12" i="2"/>
  <c r="AC12" i="2"/>
  <c r="X92" i="2"/>
  <c r="AF92" i="2"/>
  <c r="AF82" i="2"/>
  <c r="AF74" i="2"/>
  <c r="X84" i="2"/>
  <c r="AF84" i="2"/>
  <c r="X72" i="2"/>
  <c r="AF72" i="2"/>
  <c r="AF62" i="2"/>
  <c r="AN12" i="6"/>
  <c r="AN13" i="6"/>
  <c r="AN82" i="6"/>
  <c r="AN84" i="6"/>
  <c r="AM95" i="6"/>
  <c r="AL143" i="6"/>
  <c r="AL144" i="6"/>
  <c r="AL142" i="6"/>
  <c r="AL135" i="6"/>
  <c r="AL136" i="6"/>
  <c r="AL121" i="6"/>
  <c r="AL120" i="6"/>
  <c r="AC25" i="2"/>
  <c r="AB25" i="2"/>
  <c r="AF96" i="2"/>
  <c r="X100" i="2"/>
  <c r="AF100" i="2"/>
  <c r="X88" i="2"/>
  <c r="AF88" i="2"/>
  <c r="AF78" i="2"/>
  <c r="AM182" i="6"/>
  <c r="AM183" i="6"/>
  <c r="AM184" i="6"/>
  <c r="AM168" i="6"/>
  <c r="AM167" i="6"/>
  <c r="AM160" i="6"/>
  <c r="AM161" i="6"/>
  <c r="AM143" i="6"/>
  <c r="AM142" i="6"/>
  <c r="AM136" i="6"/>
  <c r="AM135" i="6"/>
  <c r="AM128" i="6"/>
  <c r="AM129" i="6"/>
  <c r="AM102" i="6"/>
  <c r="AM103" i="6"/>
  <c r="AM104" i="6"/>
  <c r="AM88" i="6"/>
  <c r="AM87" i="6"/>
  <c r="AM80" i="6"/>
  <c r="AM81" i="6"/>
  <c r="AM63" i="6"/>
  <c r="AM62" i="6"/>
  <c r="AM56" i="6"/>
  <c r="AM55" i="6"/>
  <c r="AM48" i="6"/>
  <c r="AM49" i="6"/>
  <c r="AM15" i="6"/>
  <c r="AM14" i="6"/>
  <c r="AL79" i="6"/>
  <c r="AL78" i="6"/>
  <c r="AL77" i="6"/>
  <c r="AH18" i="2"/>
  <c r="AI98" i="2"/>
  <c r="AH14" i="2"/>
  <c r="AN157" i="6"/>
  <c r="AQ39" i="2"/>
  <c r="AH24" i="2"/>
  <c r="BE86" i="2"/>
  <c r="AL118" i="6"/>
  <c r="AM3" i="6"/>
  <c r="BE98" i="2"/>
  <c r="BE90" i="2"/>
  <c r="E58" i="5"/>
  <c r="BE50" i="2"/>
  <c r="BE62" i="2"/>
  <c r="BE58" i="2"/>
  <c r="AN101" i="6"/>
  <c r="AN122" i="6"/>
  <c r="AN115" i="6"/>
  <c r="AN147" i="6"/>
  <c r="AN107" i="6"/>
  <c r="AM39" i="6"/>
  <c r="AM110" i="6"/>
  <c r="AM134" i="6"/>
  <c r="AM165" i="6"/>
  <c r="AL141" i="6"/>
  <c r="AL154" i="6"/>
  <c r="AL86" i="6"/>
  <c r="AL134" i="6"/>
  <c r="AL62" i="6"/>
  <c r="AL63" i="6"/>
  <c r="AL153" i="6"/>
  <c r="AL148" i="6"/>
  <c r="AL133" i="6"/>
  <c r="AL57" i="6"/>
  <c r="AP198" i="6"/>
  <c r="BE74" i="2"/>
  <c r="E98" i="5"/>
  <c r="E82" i="5"/>
  <c r="BE70" i="2"/>
  <c r="E94" i="5"/>
  <c r="AN50" i="6"/>
  <c r="AN156" i="6"/>
  <c r="AN141" i="6"/>
  <c r="AN162" i="6"/>
  <c r="AN148" i="6"/>
  <c r="AM54" i="6"/>
  <c r="AM119" i="6"/>
  <c r="AM28" i="6"/>
  <c r="AL58" i="6"/>
  <c r="AP186" i="6"/>
  <c r="BE9" i="2"/>
  <c r="BE34" i="2"/>
  <c r="BE12" i="2"/>
  <c r="E34" i="5"/>
  <c r="AM37" i="6"/>
  <c r="AM71" i="6"/>
  <c r="AM132" i="6"/>
  <c r="N195" i="6"/>
  <c r="N201" i="6"/>
  <c r="AQ74" i="2"/>
  <c r="AI74" i="2"/>
  <c r="AQ18" i="2"/>
  <c r="AI18" i="2"/>
  <c r="AH19" i="2"/>
  <c r="AH21" i="2"/>
  <c r="AH16" i="2"/>
  <c r="AU106" i="2"/>
  <c r="AU104" i="2"/>
  <c r="AU101" i="2"/>
  <c r="AU98" i="2"/>
  <c r="AU96" i="2"/>
  <c r="AU93" i="2"/>
  <c r="AU90" i="2"/>
  <c r="AU88" i="2"/>
  <c r="AU85" i="2"/>
  <c r="AU82" i="2"/>
  <c r="AU80" i="2"/>
  <c r="AU77" i="2"/>
  <c r="AU74" i="2"/>
  <c r="AU72" i="2"/>
  <c r="AU69" i="2"/>
  <c r="AU66" i="2"/>
  <c r="AU64" i="2"/>
  <c r="AH25" i="2"/>
  <c r="AU11" i="2"/>
  <c r="AU19" i="2"/>
  <c r="AU27" i="2"/>
  <c r="AU8" i="2"/>
  <c r="AU39" i="2"/>
  <c r="AU47" i="2"/>
  <c r="AU55" i="2"/>
  <c r="AU63" i="2"/>
  <c r="AU71" i="2"/>
  <c r="AU79" i="2"/>
  <c r="AU87" i="2"/>
  <c r="AU95" i="2"/>
  <c r="AU103" i="2"/>
  <c r="AU9" i="2"/>
  <c r="AU12" i="2"/>
  <c r="AU14" i="2"/>
  <c r="AU17" i="2"/>
  <c r="AU20" i="2"/>
  <c r="AU22" i="2"/>
  <c r="AU25" i="2"/>
  <c r="AU28" i="2"/>
  <c r="AU30" i="2"/>
  <c r="AU33" i="2"/>
  <c r="AU36" i="2"/>
  <c r="AU38" i="2"/>
  <c r="AU41" i="2"/>
  <c r="AU44" i="2"/>
  <c r="AU46" i="2"/>
  <c r="AU49" i="2"/>
  <c r="AU52" i="2"/>
  <c r="AU54" i="2"/>
  <c r="AU57" i="2"/>
  <c r="AU15" i="2"/>
  <c r="AU23" i="2"/>
  <c r="AU31" i="2"/>
  <c r="AU35" i="2"/>
  <c r="AU43" i="2"/>
  <c r="AU51" i="2"/>
  <c r="AU59" i="2"/>
  <c r="AU67" i="2"/>
  <c r="AU75" i="2"/>
  <c r="AU83" i="2"/>
  <c r="AU91" i="2"/>
  <c r="AU99" i="2"/>
  <c r="AU107" i="2"/>
  <c r="AU10" i="2"/>
  <c r="AU13" i="2"/>
  <c r="AU16" i="2"/>
  <c r="AU18" i="2"/>
  <c r="AU21" i="2"/>
  <c r="AU24" i="2"/>
  <c r="AU26" i="2"/>
  <c r="AU29" i="2"/>
  <c r="AU32" i="2"/>
  <c r="AU34" i="2"/>
  <c r="AU37" i="2"/>
  <c r="AU40" i="2"/>
  <c r="AU42" i="2"/>
  <c r="AU45" i="2"/>
  <c r="AU48" i="2"/>
  <c r="AU50" i="2"/>
  <c r="AU53" i="2"/>
  <c r="AU56" i="2"/>
  <c r="AU58" i="2"/>
  <c r="AH23" i="2"/>
  <c r="AH11" i="2"/>
  <c r="AH9" i="2"/>
  <c r="AU105" i="2"/>
  <c r="AU102" i="2"/>
  <c r="AU100" i="2"/>
  <c r="AU97" i="2"/>
  <c r="AU94" i="2"/>
  <c r="AU92" i="2"/>
  <c r="AU89" i="2"/>
  <c r="AU86" i="2"/>
  <c r="AU84" i="2"/>
  <c r="AU81" i="2"/>
  <c r="AU78" i="2"/>
  <c r="AU76" i="2"/>
  <c r="AU73" i="2"/>
  <c r="AU70" i="2"/>
  <c r="AU68" i="2"/>
  <c r="AU65" i="2"/>
  <c r="AU62" i="2"/>
  <c r="AU60" i="2"/>
  <c r="AH15" i="2"/>
  <c r="AH17" i="2"/>
  <c r="AL184" i="6"/>
  <c r="AL183" i="6"/>
  <c r="AL182" i="6"/>
  <c r="AL126" i="6"/>
  <c r="AL125" i="6"/>
  <c r="AL100" i="6"/>
  <c r="AL66" i="6"/>
  <c r="AL101" i="6"/>
  <c r="AN16" i="6"/>
  <c r="AN6" i="6"/>
  <c r="AN10" i="6"/>
  <c r="AM18" i="6"/>
  <c r="AM17" i="6"/>
  <c r="BE20" i="2"/>
  <c r="AM13" i="6"/>
  <c r="AM12" i="6"/>
  <c r="AL161" i="6"/>
  <c r="AL21" i="6"/>
  <c r="AM8" i="6"/>
  <c r="BE13" i="2"/>
  <c r="AL109" i="6"/>
  <c r="AL108" i="6"/>
  <c r="AL94" i="6"/>
  <c r="AL93" i="6"/>
  <c r="AL74" i="6"/>
  <c r="AL73" i="6"/>
  <c r="AL54" i="6"/>
  <c r="AL52" i="6"/>
  <c r="AL17" i="6"/>
  <c r="AL18" i="6"/>
  <c r="E90" i="5"/>
  <c r="E86" i="5"/>
  <c r="E74" i="5"/>
  <c r="AR76" i="2"/>
  <c r="BJ76" i="2" s="1"/>
  <c r="E70" i="5"/>
  <c r="E62" i="5"/>
  <c r="E50" i="5"/>
  <c r="E42" i="5"/>
  <c r="E38" i="5"/>
  <c r="E26" i="5"/>
  <c r="E22" i="5"/>
  <c r="E18" i="5"/>
  <c r="E10" i="5"/>
  <c r="E6" i="5"/>
  <c r="AN60" i="6"/>
  <c r="AN61" i="6"/>
  <c r="AN26" i="6"/>
  <c r="AL80" i="6"/>
  <c r="AL172" i="6"/>
  <c r="AL174" i="6"/>
  <c r="AL173" i="6"/>
  <c r="AL110" i="6"/>
  <c r="AL111" i="6"/>
  <c r="AL92" i="6"/>
  <c r="AL89" i="6"/>
  <c r="AL88" i="6"/>
  <c r="AL75" i="6"/>
  <c r="AL68" i="6"/>
  <c r="AL69" i="6"/>
  <c r="AL67" i="6"/>
  <c r="AL53" i="6"/>
  <c r="AL48" i="6"/>
  <c r="AL49" i="6"/>
  <c r="AN67" i="6"/>
  <c r="AN68" i="6"/>
  <c r="AN126" i="6"/>
  <c r="AN168" i="6"/>
  <c r="AN167" i="6"/>
  <c r="AN143" i="6"/>
  <c r="AN144" i="6"/>
  <c r="AN121" i="6"/>
  <c r="AN120" i="6"/>
  <c r="AN88" i="6"/>
  <c r="AN87" i="6"/>
  <c r="AN77" i="6"/>
  <c r="AN79" i="6"/>
  <c r="AN56" i="6"/>
  <c r="AN55" i="6"/>
  <c r="AN46" i="6"/>
  <c r="AN45" i="6"/>
  <c r="AN23" i="6"/>
  <c r="AN22" i="6"/>
  <c r="AM174" i="6"/>
  <c r="AM172" i="6"/>
  <c r="AM159" i="6"/>
  <c r="AM157" i="6"/>
  <c r="AM125" i="6"/>
  <c r="AM126" i="6"/>
  <c r="AM94" i="6"/>
  <c r="AM92" i="6"/>
  <c r="AM79" i="6"/>
  <c r="AM77" i="6"/>
  <c r="AM45" i="6"/>
  <c r="AM46" i="6"/>
  <c r="AM24" i="6"/>
  <c r="AM25" i="6"/>
  <c r="AL112" i="6"/>
  <c r="AL113" i="6"/>
  <c r="AN174" i="6"/>
  <c r="AN172" i="6"/>
  <c r="AN118" i="6"/>
  <c r="AN117" i="6"/>
  <c r="AN111" i="6"/>
  <c r="AN110" i="6"/>
  <c r="AN72" i="6"/>
  <c r="AN74" i="6"/>
  <c r="AM155" i="6"/>
  <c r="AM156" i="6"/>
  <c r="AM123" i="6"/>
  <c r="AM124" i="6"/>
  <c r="AM109" i="6"/>
  <c r="AM107" i="6"/>
  <c r="AM75" i="6"/>
  <c r="AM76" i="6"/>
  <c r="AM43" i="6"/>
  <c r="AM44" i="6"/>
  <c r="AL169" i="6"/>
  <c r="AL168" i="6"/>
  <c r="AL155" i="6"/>
  <c r="AL156" i="6"/>
  <c r="AL151" i="6"/>
  <c r="AL150" i="6"/>
  <c r="AL43" i="6"/>
  <c r="AL44" i="6"/>
  <c r="AL42" i="6"/>
  <c r="AL36" i="6"/>
  <c r="AL35" i="6"/>
  <c r="N188" i="6"/>
  <c r="O198" i="6"/>
  <c r="AH12" i="2"/>
  <c r="AI12" i="2"/>
  <c r="AH10" i="2"/>
  <c r="AQ31" i="2"/>
  <c r="AN71" i="2"/>
  <c r="M44" i="6"/>
  <c r="M48" i="6"/>
  <c r="M52" i="6"/>
  <c r="M45" i="6"/>
  <c r="M49" i="6"/>
  <c r="M46" i="6"/>
  <c r="M50" i="6"/>
  <c r="M43" i="6"/>
  <c r="M47" i="6"/>
  <c r="M51" i="6"/>
  <c r="M116" i="6"/>
  <c r="M120" i="6"/>
  <c r="M113" i="6"/>
  <c r="M117" i="6"/>
  <c r="M121" i="6"/>
  <c r="M114" i="6"/>
  <c r="M118" i="6"/>
  <c r="M122" i="6"/>
  <c r="M115" i="6"/>
  <c r="M119" i="6"/>
  <c r="M64" i="6"/>
  <c r="M68" i="6"/>
  <c r="M72" i="6"/>
  <c r="M65" i="6"/>
  <c r="M69" i="6"/>
  <c r="M66" i="6"/>
  <c r="M70" i="6"/>
  <c r="P80" i="6" s="1"/>
  <c r="M63" i="6"/>
  <c r="M67" i="6"/>
  <c r="M71" i="6"/>
  <c r="M164" i="6"/>
  <c r="M168" i="6"/>
  <c r="M172" i="6"/>
  <c r="M165" i="6"/>
  <c r="M169" i="6"/>
  <c r="M166" i="6"/>
  <c r="M170" i="6"/>
  <c r="M163" i="6"/>
  <c r="M167" i="6"/>
  <c r="M171" i="6"/>
  <c r="M156" i="6"/>
  <c r="P166" i="6" s="1"/>
  <c r="M160" i="6"/>
  <c r="M153" i="6"/>
  <c r="M157" i="6"/>
  <c r="M161" i="6"/>
  <c r="M154" i="6"/>
  <c r="M158" i="6"/>
  <c r="M162" i="6"/>
  <c r="M155" i="6"/>
  <c r="M159" i="6"/>
  <c r="M76" i="6"/>
  <c r="P76" i="6" s="1"/>
  <c r="M80" i="6"/>
  <c r="M73" i="6"/>
  <c r="M77" i="6"/>
  <c r="M81" i="6"/>
  <c r="P81" i="6" s="1"/>
  <c r="M74" i="6"/>
  <c r="M78" i="6"/>
  <c r="P78" i="6" s="1"/>
  <c r="M82" i="6"/>
  <c r="M75" i="6"/>
  <c r="M79" i="6"/>
  <c r="M196" i="6"/>
  <c r="M200" i="6"/>
  <c r="M202" i="6"/>
  <c r="M193" i="6"/>
  <c r="M197" i="6"/>
  <c r="M201" i="6"/>
  <c r="M194" i="6"/>
  <c r="M198" i="6"/>
  <c r="M195" i="6"/>
  <c r="M199" i="6"/>
  <c r="M124" i="6"/>
  <c r="P124" i="6" s="1"/>
  <c r="M128" i="6"/>
  <c r="M132" i="6"/>
  <c r="M125" i="6"/>
  <c r="M129" i="6"/>
  <c r="P129" i="6" s="1"/>
  <c r="M126" i="6"/>
  <c r="M130" i="6"/>
  <c r="M123" i="6"/>
  <c r="M127" i="6"/>
  <c r="M131" i="6"/>
  <c r="M136" i="6"/>
  <c r="P146" i="6" s="1"/>
  <c r="M140" i="6"/>
  <c r="M133" i="6"/>
  <c r="P133" i="6" s="1"/>
  <c r="M137" i="6"/>
  <c r="M141" i="6"/>
  <c r="M134" i="6"/>
  <c r="M138" i="6"/>
  <c r="M142" i="6"/>
  <c r="M135" i="6"/>
  <c r="P145" i="6" s="1"/>
  <c r="M139" i="6"/>
  <c r="M56" i="6"/>
  <c r="M60" i="6"/>
  <c r="M53" i="6"/>
  <c r="P63" i="6" s="1"/>
  <c r="M57" i="6"/>
  <c r="M61" i="6"/>
  <c r="P61" i="6" s="1"/>
  <c r="M54" i="6"/>
  <c r="M58" i="6"/>
  <c r="M62" i="6"/>
  <c r="M55" i="6"/>
  <c r="P65" i="6" s="1"/>
  <c r="M59" i="6"/>
  <c r="M16" i="6"/>
  <c r="P26" i="6" s="1"/>
  <c r="M20" i="6"/>
  <c r="M13" i="6"/>
  <c r="M17" i="6"/>
  <c r="M21" i="6"/>
  <c r="M14" i="6"/>
  <c r="M18" i="6"/>
  <c r="M22" i="6"/>
  <c r="M15" i="6"/>
  <c r="M19" i="6"/>
  <c r="M144" i="6"/>
  <c r="P144" i="6" s="1"/>
  <c r="M148" i="6"/>
  <c r="M152" i="6"/>
  <c r="M145" i="6"/>
  <c r="M149" i="6"/>
  <c r="M146" i="6"/>
  <c r="M150" i="6"/>
  <c r="P150" i="6" s="1"/>
  <c r="M143" i="6"/>
  <c r="M147" i="6"/>
  <c r="P157" i="6" s="1"/>
  <c r="M151" i="6"/>
  <c r="M104" i="6"/>
  <c r="M108" i="6"/>
  <c r="M112" i="6"/>
  <c r="M105" i="6"/>
  <c r="M109" i="6"/>
  <c r="P119" i="6" s="1"/>
  <c r="M106" i="6"/>
  <c r="M110" i="6"/>
  <c r="P120" i="6" s="1"/>
  <c r="M103" i="6"/>
  <c r="M107" i="6"/>
  <c r="M111" i="6"/>
  <c r="M36" i="6"/>
  <c r="M40" i="6"/>
  <c r="M33" i="6"/>
  <c r="P43" i="6" s="1"/>
  <c r="M37" i="6"/>
  <c r="M41" i="6"/>
  <c r="P41" i="6" s="1"/>
  <c r="M34" i="6"/>
  <c r="M38" i="6"/>
  <c r="M42" i="6"/>
  <c r="M35" i="6"/>
  <c r="P45" i="6" s="1"/>
  <c r="M39" i="6"/>
  <c r="M184" i="6"/>
  <c r="M188" i="6"/>
  <c r="M192" i="6"/>
  <c r="P202" i="6" s="1"/>
  <c r="M185" i="6"/>
  <c r="M189" i="6"/>
  <c r="M186" i="6"/>
  <c r="M190" i="6"/>
  <c r="M183" i="6"/>
  <c r="M187" i="6"/>
  <c r="M191" i="6"/>
  <c r="M24" i="6"/>
  <c r="P24" i="6" s="1"/>
  <c r="BA24" i="6" s="1"/>
  <c r="M28" i="6"/>
  <c r="M32" i="6"/>
  <c r="M25" i="6"/>
  <c r="M29" i="6"/>
  <c r="P39" i="6" s="1"/>
  <c r="M26" i="6"/>
  <c r="M30" i="6"/>
  <c r="P40" i="6" s="1"/>
  <c r="M23" i="6"/>
  <c r="M27" i="6"/>
  <c r="P37" i="6" s="1"/>
  <c r="M31" i="6"/>
  <c r="J68" i="6"/>
  <c r="J151" i="6"/>
  <c r="J14" i="6"/>
  <c r="J71" i="6"/>
  <c r="J133" i="6"/>
  <c r="J77" i="6"/>
  <c r="J47" i="6"/>
  <c r="J103" i="6"/>
  <c r="J169" i="6"/>
  <c r="J92" i="6"/>
  <c r="J157" i="6"/>
  <c r="J5" i="6"/>
  <c r="J54" i="6"/>
  <c r="J70" i="6"/>
  <c r="J51" i="6"/>
  <c r="J6" i="6"/>
  <c r="J41" i="6"/>
  <c r="J80" i="6"/>
  <c r="J88" i="6"/>
  <c r="J95" i="6"/>
  <c r="J129" i="6"/>
  <c r="J12" i="6"/>
  <c r="J38" i="6"/>
  <c r="J50" i="6"/>
  <c r="J136" i="6"/>
  <c r="J63" i="6"/>
  <c r="J182" i="6"/>
  <c r="J13" i="6"/>
  <c r="J67" i="6"/>
  <c r="J30" i="6"/>
  <c r="J110" i="6"/>
  <c r="J9" i="6"/>
  <c r="J15" i="6"/>
  <c r="J20" i="6"/>
  <c r="J39" i="6"/>
  <c r="J37" i="6"/>
  <c r="J166" i="6"/>
  <c r="J10" i="6"/>
  <c r="J104" i="6"/>
  <c r="J161" i="6"/>
  <c r="J16" i="6"/>
  <c r="J21" i="6"/>
  <c r="J27" i="6"/>
  <c r="J40" i="6"/>
  <c r="J48" i="6"/>
  <c r="J56" i="6"/>
  <c r="J64" i="6"/>
  <c r="J81" i="6"/>
  <c r="J87" i="6"/>
  <c r="J120" i="6"/>
  <c r="J128" i="6"/>
  <c r="J175" i="6"/>
  <c r="J26" i="6"/>
  <c r="J53" i="6"/>
  <c r="J78" i="6"/>
  <c r="J28" i="6"/>
  <c r="J55" i="6"/>
  <c r="J127" i="6"/>
  <c r="J183" i="6"/>
  <c r="J35" i="6"/>
  <c r="J69" i="6"/>
  <c r="J94" i="6"/>
  <c r="J134" i="6"/>
  <c r="J174" i="6"/>
  <c r="J31" i="6"/>
  <c r="J45" i="6"/>
  <c r="J85" i="6"/>
  <c r="J79" i="6"/>
  <c r="J165" i="6"/>
  <c r="J178" i="6"/>
  <c r="J121" i="6"/>
  <c r="J49" i="6"/>
  <c r="J102" i="6"/>
  <c r="J143" i="6"/>
  <c r="J168" i="6"/>
  <c r="N200" i="6"/>
  <c r="N197" i="6"/>
  <c r="N194" i="6"/>
  <c r="O194" i="6"/>
  <c r="N193" i="6"/>
  <c r="N191" i="6"/>
  <c r="N199" i="6"/>
  <c r="N196" i="6"/>
  <c r="N202" i="6"/>
  <c r="AI39" i="2"/>
  <c r="AI36" i="2"/>
  <c r="AF80" i="2"/>
  <c r="AO27" i="2"/>
  <c r="AP27" i="2"/>
  <c r="AM27" i="2"/>
  <c r="AI27" i="2"/>
  <c r="AN27" i="2"/>
  <c r="AQ27" i="2"/>
  <c r="BG27" i="2"/>
  <c r="X77" i="2"/>
  <c r="AF77" i="2"/>
  <c r="AF67" i="2"/>
  <c r="AQ13" i="2"/>
  <c r="AF8" i="6"/>
  <c r="AP13" i="2"/>
  <c r="AE8" i="6"/>
  <c r="AN13" i="2"/>
  <c r="AI13" i="2"/>
  <c r="AO13" i="2"/>
  <c r="AM13" i="2"/>
  <c r="AB8" i="6"/>
  <c r="X75" i="2"/>
  <c r="AF75" i="2"/>
  <c r="AF65" i="2"/>
  <c r="AM94" i="2"/>
  <c r="AO94" i="2"/>
  <c r="AN94" i="2"/>
  <c r="AP94" i="2"/>
  <c r="AQ94" i="2"/>
  <c r="AF159" i="6"/>
  <c r="AI94" i="2"/>
  <c r="N185" i="6"/>
  <c r="AO74" i="2"/>
  <c r="AM74" i="2"/>
  <c r="AP74" i="2"/>
  <c r="AN74" i="2"/>
  <c r="AQ24" i="2"/>
  <c r="AM24" i="2"/>
  <c r="AP24" i="2"/>
  <c r="AI24" i="2"/>
  <c r="AN24" i="2"/>
  <c r="AO24" i="2"/>
  <c r="AN98" i="2"/>
  <c r="AM98" i="2"/>
  <c r="AO98" i="2"/>
  <c r="AP98" i="2"/>
  <c r="BG24" i="2"/>
  <c r="N187" i="6"/>
  <c r="AM18" i="2"/>
  <c r="AP18" i="2"/>
  <c r="AO18" i="2"/>
  <c r="AN18" i="2"/>
  <c r="AH28" i="2"/>
  <c r="AQ97" i="2"/>
  <c r="AN97" i="2"/>
  <c r="AQ98" i="2"/>
  <c r="N192" i="6"/>
  <c r="N189" i="6"/>
  <c r="N190" i="6"/>
  <c r="N186" i="6"/>
  <c r="N183" i="6"/>
  <c r="AN39" i="2"/>
  <c r="AO39" i="2"/>
  <c r="AM39" i="2"/>
  <c r="AP39" i="2"/>
  <c r="AQ14" i="2"/>
  <c r="AF9" i="6"/>
  <c r="AO14" i="2"/>
  <c r="AI14" i="2"/>
  <c r="AN14" i="2"/>
  <c r="AP14" i="2"/>
  <c r="AE9" i="6"/>
  <c r="AM14" i="2"/>
  <c r="AB9" i="6"/>
  <c r="AQ99" i="2"/>
  <c r="AI99" i="2"/>
  <c r="AM99" i="2"/>
  <c r="AN99" i="2"/>
  <c r="AP99" i="2"/>
  <c r="AO99" i="2"/>
  <c r="AQ48" i="2"/>
  <c r="AI48" i="2"/>
  <c r="AN48" i="2"/>
  <c r="AP48" i="2"/>
  <c r="AM48" i="2"/>
  <c r="AO48" i="2"/>
  <c r="AQ95" i="2"/>
  <c r="AI95" i="2"/>
  <c r="AM95" i="2"/>
  <c r="AN95" i="2"/>
  <c r="AP95" i="2"/>
  <c r="AO95" i="2"/>
  <c r="AQ33" i="2"/>
  <c r="AI33" i="2"/>
  <c r="AM33" i="2"/>
  <c r="AP33" i="2"/>
  <c r="AN33" i="2"/>
  <c r="AO33" i="2"/>
  <c r="AQ22" i="2"/>
  <c r="AI22" i="2"/>
  <c r="AM22" i="2"/>
  <c r="AO22" i="2"/>
  <c r="AN22" i="2"/>
  <c r="AP22" i="2"/>
  <c r="AP21" i="2"/>
  <c r="AE20" i="6"/>
  <c r="AQ50" i="2"/>
  <c r="AI50" i="2"/>
  <c r="AM50" i="2"/>
  <c r="AP50" i="2"/>
  <c r="AO50" i="2"/>
  <c r="AN50" i="2"/>
  <c r="AQ69" i="2"/>
  <c r="AI69" i="2"/>
  <c r="AN69" i="2"/>
  <c r="AO69" i="2"/>
  <c r="AM69" i="2"/>
  <c r="AP69" i="2"/>
  <c r="AQ60" i="2"/>
  <c r="AI60" i="2"/>
  <c r="AO60" i="2"/>
  <c r="AM60" i="2"/>
  <c r="AP60" i="2"/>
  <c r="AN60" i="2"/>
  <c r="AQ57" i="2"/>
  <c r="AI57" i="2"/>
  <c r="AM57" i="2"/>
  <c r="AP57" i="2"/>
  <c r="AN57" i="2"/>
  <c r="AO57" i="2"/>
  <c r="AI71" i="2"/>
  <c r="AP71" i="2"/>
  <c r="AO71" i="2"/>
  <c r="BF71" i="2"/>
  <c r="BH71" i="2"/>
  <c r="AQ32" i="2"/>
  <c r="AI32" i="2"/>
  <c r="AP32" i="2"/>
  <c r="AN32" i="2"/>
  <c r="AO32" i="2"/>
  <c r="AM32" i="2"/>
  <c r="AQ79" i="2"/>
  <c r="AI79" i="2"/>
  <c r="AP79" i="2"/>
  <c r="AM79" i="2"/>
  <c r="AN79" i="2"/>
  <c r="AO79" i="2"/>
  <c r="AQ42" i="2"/>
  <c r="AO42" i="2"/>
  <c r="AM42" i="2"/>
  <c r="AP42" i="2"/>
  <c r="AI42" i="2"/>
  <c r="AN42" i="2"/>
  <c r="AQ10" i="2"/>
  <c r="AF5" i="6"/>
  <c r="AI10" i="2"/>
  <c r="AP10" i="2"/>
  <c r="AE5" i="6"/>
  <c r="AM10" i="2"/>
  <c r="AB5" i="6"/>
  <c r="AN10" i="2"/>
  <c r="AO10" i="2"/>
  <c r="AI31" i="2"/>
  <c r="AP31" i="2"/>
  <c r="AN31" i="2"/>
  <c r="AQ51" i="2"/>
  <c r="AI51" i="2"/>
  <c r="AM51" i="2"/>
  <c r="AO51" i="2"/>
  <c r="BF51" i="2"/>
  <c r="AP51" i="2"/>
  <c r="AN51" i="2"/>
  <c r="AQ90" i="2"/>
  <c r="AP90" i="2"/>
  <c r="AN90" i="2"/>
  <c r="AO90" i="2"/>
  <c r="AM90" i="2"/>
  <c r="AI90" i="2"/>
  <c r="AI77" i="2"/>
  <c r="AN77" i="2"/>
  <c r="AQ68" i="2"/>
  <c r="AI68" i="2"/>
  <c r="AP68" i="2"/>
  <c r="AM68" i="2"/>
  <c r="AO68" i="2"/>
  <c r="AN68" i="2"/>
  <c r="AQ107" i="2"/>
  <c r="AI107" i="2"/>
  <c r="AM107" i="2"/>
  <c r="AN107" i="2"/>
  <c r="AP107" i="2"/>
  <c r="AO107" i="2"/>
  <c r="AQ19" i="2"/>
  <c r="AF16" i="6"/>
  <c r="AI19" i="2"/>
  <c r="AN19" i="2"/>
  <c r="AO19" i="2"/>
  <c r="AP19" i="2"/>
  <c r="AM19" i="2"/>
  <c r="AB16" i="6"/>
  <c r="AF49" i="6"/>
  <c r="AF48" i="6"/>
  <c r="AF47" i="6"/>
  <c r="AF157" i="6"/>
  <c r="AQ87" i="2"/>
  <c r="AO87" i="2"/>
  <c r="AI87" i="2"/>
  <c r="AN87" i="2"/>
  <c r="AP87" i="2"/>
  <c r="AM87" i="2"/>
  <c r="AQ93" i="2"/>
  <c r="AI93" i="2"/>
  <c r="AO93" i="2"/>
  <c r="AN93" i="2"/>
  <c r="AP93" i="2"/>
  <c r="AM93" i="2"/>
  <c r="AQ55" i="2"/>
  <c r="AI55" i="2"/>
  <c r="AN55" i="2"/>
  <c r="AM55" i="2"/>
  <c r="AO55" i="2"/>
  <c r="AP55" i="2"/>
  <c r="AQ17" i="2"/>
  <c r="AF14" i="6"/>
  <c r="AI17" i="2"/>
  <c r="AO17" i="2"/>
  <c r="AM17" i="2"/>
  <c r="AP17" i="2"/>
  <c r="AN17" i="2"/>
  <c r="AQ9" i="2"/>
  <c r="AF4" i="6"/>
  <c r="AI9" i="2"/>
  <c r="AM9" i="2"/>
  <c r="AP9" i="2"/>
  <c r="AE4" i="6"/>
  <c r="AN9" i="2"/>
  <c r="AO9" i="2"/>
  <c r="AQ30" i="2"/>
  <c r="AF31" i="6"/>
  <c r="AI30" i="2"/>
  <c r="AO30" i="2"/>
  <c r="AN30" i="2"/>
  <c r="AM30" i="2"/>
  <c r="AP30" i="2"/>
  <c r="AE31" i="6"/>
  <c r="AQ76" i="2"/>
  <c r="AI76" i="2"/>
  <c r="AM76" i="2"/>
  <c r="AP76" i="2"/>
  <c r="AO76" i="2"/>
  <c r="BF76" i="2"/>
  <c r="AN76" i="2"/>
  <c r="AQ64" i="2"/>
  <c r="AI64" i="2"/>
  <c r="AN64" i="2"/>
  <c r="AO64" i="2"/>
  <c r="AP64" i="2"/>
  <c r="AM64" i="2"/>
  <c r="AQ12" i="2"/>
  <c r="AF7" i="6"/>
  <c r="AP12" i="2"/>
  <c r="AE7" i="6"/>
  <c r="AN12" i="2"/>
  <c r="AQ38" i="2"/>
  <c r="AI38" i="2"/>
  <c r="AO38" i="2"/>
  <c r="AN38" i="2"/>
  <c r="AM38" i="2"/>
  <c r="AP38" i="2"/>
  <c r="AQ29" i="2"/>
  <c r="AF30" i="6"/>
  <c r="AN29" i="2"/>
  <c r="AP29" i="2"/>
  <c r="AE30" i="6"/>
  <c r="AO29" i="2"/>
  <c r="AI29" i="2"/>
  <c r="AM29" i="2"/>
  <c r="AB30" i="6"/>
  <c r="AQ82" i="2"/>
  <c r="AO82" i="2"/>
  <c r="AN82" i="2"/>
  <c r="AP82" i="2"/>
  <c r="AI82" i="2"/>
  <c r="AM82" i="2"/>
  <c r="AQ104" i="2"/>
  <c r="AI104" i="2"/>
  <c r="AP104" i="2"/>
  <c r="AN104" i="2"/>
  <c r="AO104" i="2"/>
  <c r="AM104" i="2"/>
  <c r="AQ43" i="2"/>
  <c r="AI43" i="2"/>
  <c r="AN43" i="2"/>
  <c r="AP43" i="2"/>
  <c r="AM43" i="2"/>
  <c r="AO43" i="2"/>
  <c r="AQ37" i="2"/>
  <c r="AI37" i="2"/>
  <c r="AO37" i="2"/>
  <c r="AP37" i="2"/>
  <c r="AM37" i="2"/>
  <c r="AN37" i="2"/>
  <c r="AQ16" i="2"/>
  <c r="AF11" i="6"/>
  <c r="AI16" i="2"/>
  <c r="AM16" i="2"/>
  <c r="AO16" i="2"/>
  <c r="AP16" i="2"/>
  <c r="AE11" i="6"/>
  <c r="AN16" i="2"/>
  <c r="AQ34" i="2"/>
  <c r="AM34" i="2"/>
  <c r="AI34" i="2"/>
  <c r="AP34" i="2"/>
  <c r="AN34" i="2"/>
  <c r="AO34" i="2"/>
  <c r="AQ58" i="2"/>
  <c r="AI58" i="2"/>
  <c r="AP58" i="2"/>
  <c r="AM58" i="2"/>
  <c r="AO58" i="2"/>
  <c r="AN58" i="2"/>
  <c r="AQ105" i="2"/>
  <c r="AI105" i="2"/>
  <c r="AN105" i="2"/>
  <c r="AM105" i="2"/>
  <c r="AP105" i="2"/>
  <c r="AO105" i="2"/>
  <c r="AQ100" i="2"/>
  <c r="AN100" i="2"/>
  <c r="AO100" i="2"/>
  <c r="AI100" i="2"/>
  <c r="AP100" i="2"/>
  <c r="AM100" i="2"/>
  <c r="AQ53" i="2"/>
  <c r="AI53" i="2"/>
  <c r="AP53" i="2"/>
  <c r="AM53" i="2"/>
  <c r="AN53" i="2"/>
  <c r="AO53" i="2"/>
  <c r="AQ59" i="2"/>
  <c r="AI59" i="2"/>
  <c r="AM59" i="2"/>
  <c r="AP59" i="2"/>
  <c r="AO59" i="2"/>
  <c r="AN59" i="2"/>
  <c r="AQ84" i="2"/>
  <c r="AP84" i="2"/>
  <c r="AI84" i="2"/>
  <c r="AM84" i="2"/>
  <c r="AN84" i="2"/>
  <c r="AO84" i="2"/>
  <c r="AQ40" i="2"/>
  <c r="AI40" i="2"/>
  <c r="AM40" i="2"/>
  <c r="AP40" i="2"/>
  <c r="AN40" i="2"/>
  <c r="AO40" i="2"/>
  <c r="AQ62" i="2"/>
  <c r="AI62" i="2"/>
  <c r="AO62" i="2"/>
  <c r="AM62" i="2"/>
  <c r="AP62" i="2"/>
  <c r="AN62" i="2"/>
  <c r="AQ15" i="2"/>
  <c r="AF10" i="6"/>
  <c r="AI15" i="2"/>
  <c r="AN15" i="2"/>
  <c r="AO15" i="2"/>
  <c r="AM15" i="2"/>
  <c r="AP15" i="2"/>
  <c r="AE10" i="6"/>
  <c r="AQ11" i="2"/>
  <c r="AF6" i="6"/>
  <c r="AP11" i="2"/>
  <c r="AE6" i="6"/>
  <c r="AI11" i="2"/>
  <c r="AM11" i="2"/>
  <c r="AB6" i="6"/>
  <c r="AN11" i="2"/>
  <c r="AO11" i="2"/>
  <c r="AQ35" i="2"/>
  <c r="AI35" i="2"/>
  <c r="AO35" i="2"/>
  <c r="AN35" i="2"/>
  <c r="AP35" i="2"/>
  <c r="AM35" i="2"/>
  <c r="AQ89" i="2"/>
  <c r="AI89" i="2"/>
  <c r="AP89" i="2"/>
  <c r="AM89" i="2"/>
  <c r="AO89" i="2"/>
  <c r="AN89" i="2"/>
  <c r="AQ52" i="2"/>
  <c r="AI52" i="2"/>
  <c r="AO52" i="2"/>
  <c r="AN52" i="2"/>
  <c r="AM52" i="2"/>
  <c r="AP52" i="2"/>
  <c r="AQ80" i="2"/>
  <c r="AM80" i="2"/>
  <c r="AN80" i="2"/>
  <c r="AI80" i="2"/>
  <c r="AO80" i="2"/>
  <c r="AP80" i="2"/>
  <c r="AQ85" i="2"/>
  <c r="AI85" i="2"/>
  <c r="AN85" i="2"/>
  <c r="AM85" i="2"/>
  <c r="AP85" i="2"/>
  <c r="AO85" i="2"/>
  <c r="AQ23" i="2"/>
  <c r="AF21" i="6"/>
  <c r="AI23" i="2"/>
  <c r="AM23" i="2"/>
  <c r="AO23" i="2"/>
  <c r="AP23" i="2"/>
  <c r="AE21" i="6"/>
  <c r="AN23" i="2"/>
  <c r="AQ44" i="2"/>
  <c r="AI44" i="2"/>
  <c r="AN44" i="2"/>
  <c r="AO44" i="2"/>
  <c r="AP44" i="2"/>
  <c r="AM44" i="2"/>
  <c r="AQ56" i="2"/>
  <c r="AI56" i="2"/>
  <c r="AN56" i="2"/>
  <c r="AO56" i="2"/>
  <c r="BF56" i="2"/>
  <c r="AM56" i="2"/>
  <c r="AP56" i="2"/>
  <c r="AQ75" i="2"/>
  <c r="AI75" i="2"/>
  <c r="AP75" i="2"/>
  <c r="AM75" i="2"/>
  <c r="AN75" i="2"/>
  <c r="AO75" i="2"/>
  <c r="AQ25" i="2"/>
  <c r="AI25" i="2"/>
  <c r="AM25" i="2"/>
  <c r="AP25" i="2"/>
  <c r="AN25" i="2"/>
  <c r="AO25" i="2"/>
  <c r="AQ21" i="2"/>
  <c r="AQ20" i="2"/>
  <c r="AF19" i="6"/>
  <c r="AM21" i="2"/>
  <c r="AI21" i="2"/>
  <c r="AN21" i="2"/>
  <c r="AO21" i="2"/>
  <c r="AQ46" i="2"/>
  <c r="AN46" i="2"/>
  <c r="AP46" i="2"/>
  <c r="AM46" i="2"/>
  <c r="AO46" i="2"/>
  <c r="BF46" i="2"/>
  <c r="AI46" i="2"/>
  <c r="AQ61" i="2"/>
  <c r="AI61" i="2"/>
  <c r="AO61" i="2"/>
  <c r="BF61" i="2"/>
  <c r="AP61" i="2"/>
  <c r="AM61" i="2"/>
  <c r="AN61" i="2"/>
  <c r="AQ86" i="2"/>
  <c r="AI86" i="2"/>
  <c r="AP86" i="2"/>
  <c r="AN86" i="2"/>
  <c r="AM86" i="2"/>
  <c r="AO86" i="2"/>
  <c r="BF86" i="2"/>
  <c r="AQ102" i="2"/>
  <c r="AM102" i="2"/>
  <c r="AI102" i="2"/>
  <c r="AO102" i="2"/>
  <c r="AP102" i="2"/>
  <c r="AN102" i="2"/>
  <c r="AQ96" i="2"/>
  <c r="AI96" i="2"/>
  <c r="AP96" i="2"/>
  <c r="AO96" i="2"/>
  <c r="BF96" i="2"/>
  <c r="AM96" i="2"/>
  <c r="AN96" i="2"/>
  <c r="AQ63" i="2"/>
  <c r="AI63" i="2"/>
  <c r="AM63" i="2"/>
  <c r="AP63" i="2"/>
  <c r="AN63" i="2"/>
  <c r="AO63" i="2"/>
  <c r="AF15" i="6"/>
  <c r="AF117" i="6"/>
  <c r="AF118" i="6"/>
  <c r="AF119" i="6"/>
  <c r="AQ103" i="2"/>
  <c r="AI103" i="2"/>
  <c r="AN103" i="2"/>
  <c r="AM103" i="2"/>
  <c r="AP103" i="2"/>
  <c r="AO103" i="2"/>
  <c r="AQ88" i="2"/>
  <c r="AO88" i="2"/>
  <c r="AI88" i="2"/>
  <c r="AP88" i="2"/>
  <c r="AM88" i="2"/>
  <c r="AN88" i="2"/>
  <c r="AO20" i="2"/>
  <c r="AN20" i="2"/>
  <c r="AP20" i="2"/>
  <c r="AI20" i="2"/>
  <c r="AM20" i="2"/>
  <c r="AQ41" i="2"/>
  <c r="AO41" i="2"/>
  <c r="BF41" i="2"/>
  <c r="AM41" i="2"/>
  <c r="AI41" i="2"/>
  <c r="AN41" i="2"/>
  <c r="AP41" i="2"/>
  <c r="AQ106" i="2"/>
  <c r="AI106" i="2"/>
  <c r="AP106" i="2"/>
  <c r="AO106" i="2"/>
  <c r="BF106" i="2"/>
  <c r="AM106" i="2"/>
  <c r="AN106" i="2"/>
  <c r="AQ78" i="2"/>
  <c r="AI78" i="2"/>
  <c r="AP78" i="2"/>
  <c r="AO78" i="2"/>
  <c r="AM78" i="2"/>
  <c r="AN78" i="2"/>
  <c r="AQ91" i="2"/>
  <c r="AI91" i="2"/>
  <c r="AM91" i="2"/>
  <c r="AO91" i="2"/>
  <c r="BF91" i="2"/>
  <c r="AP91" i="2"/>
  <c r="AN91" i="2"/>
  <c r="AQ54" i="2"/>
  <c r="AI54" i="2"/>
  <c r="AN54" i="2"/>
  <c r="AM54" i="2"/>
  <c r="AP54" i="2"/>
  <c r="AO54" i="2"/>
  <c r="AQ92" i="2"/>
  <c r="AP92" i="2"/>
  <c r="AN92" i="2"/>
  <c r="AI92" i="2"/>
  <c r="AM92" i="2"/>
  <c r="AO92" i="2"/>
  <c r="AM36" i="2"/>
  <c r="AN36" i="2"/>
  <c r="AQ72" i="2"/>
  <c r="AI72" i="2"/>
  <c r="AN72" i="2"/>
  <c r="AM72" i="2"/>
  <c r="AP72" i="2"/>
  <c r="AO72" i="2"/>
  <c r="AQ70" i="2"/>
  <c r="AN70" i="2"/>
  <c r="AI70" i="2"/>
  <c r="AP70" i="2"/>
  <c r="AO70" i="2"/>
  <c r="AM70" i="2"/>
  <c r="AQ26" i="2"/>
  <c r="AF26" i="6"/>
  <c r="AI26" i="2"/>
  <c r="AO26" i="2"/>
  <c r="AN26" i="2"/>
  <c r="AP26" i="2"/>
  <c r="AE26" i="6"/>
  <c r="AM26" i="2"/>
  <c r="AB26" i="6"/>
  <c r="AQ49" i="2"/>
  <c r="AI49" i="2"/>
  <c r="AN49" i="2"/>
  <c r="AO49" i="2"/>
  <c r="AP49" i="2"/>
  <c r="AM49" i="2"/>
  <c r="AQ81" i="2"/>
  <c r="AI81" i="2"/>
  <c r="AP81" i="2"/>
  <c r="AN81" i="2"/>
  <c r="AM81" i="2"/>
  <c r="AO81" i="2"/>
  <c r="BF81" i="2"/>
  <c r="AQ47" i="2"/>
  <c r="AO47" i="2"/>
  <c r="AN47" i="2"/>
  <c r="AM47" i="2"/>
  <c r="AI47" i="2"/>
  <c r="AP47" i="2"/>
  <c r="AF3" i="6"/>
  <c r="AE3" i="6"/>
  <c r="AI8" i="2"/>
  <c r="AQ45" i="2"/>
  <c r="AI45" i="2"/>
  <c r="AM45" i="2"/>
  <c r="AO45" i="2"/>
  <c r="AP45" i="2"/>
  <c r="AN45" i="2"/>
  <c r="AQ66" i="2"/>
  <c r="AI66" i="2"/>
  <c r="AN66" i="2"/>
  <c r="AO66" i="2"/>
  <c r="BF66" i="2"/>
  <c r="AM66" i="2"/>
  <c r="AP66" i="2"/>
  <c r="BG94" i="2"/>
  <c r="P29" i="6"/>
  <c r="P149" i="6"/>
  <c r="BC149" i="6" s="1"/>
  <c r="P56" i="6"/>
  <c r="BB56" i="6" s="1"/>
  <c r="P127" i="6"/>
  <c r="AY127" i="6" s="1"/>
  <c r="BG98" i="2"/>
  <c r="AO77" i="2"/>
  <c r="AD123" i="6"/>
  <c r="AP123" i="6"/>
  <c r="AQ77" i="2"/>
  <c r="AP77" i="2"/>
  <c r="AI97" i="2"/>
  <c r="AM97" i="2"/>
  <c r="AB164" i="6"/>
  <c r="AO97" i="2"/>
  <c r="AM77" i="2"/>
  <c r="AP97" i="2"/>
  <c r="BH96" i="2"/>
  <c r="BK96" i="2"/>
  <c r="AE19" i="6"/>
  <c r="AB19" i="6"/>
  <c r="BH56" i="2"/>
  <c r="AM12" i="2"/>
  <c r="AB7" i="6"/>
  <c r="AF158" i="6"/>
  <c r="AO31" i="2"/>
  <c r="BF31" i="2"/>
  <c r="AM71" i="2"/>
  <c r="BK71" i="2"/>
  <c r="AQ71" i="2"/>
  <c r="BG71" i="2"/>
  <c r="AO12" i="2"/>
  <c r="AE16" i="6"/>
  <c r="AM31" i="2"/>
  <c r="AF20" i="6"/>
  <c r="P30" i="6"/>
  <c r="BA30" i="6" s="1"/>
  <c r="P58" i="6"/>
  <c r="BB58" i="6" s="1"/>
  <c r="P132" i="6"/>
  <c r="AZ132" i="6" s="1"/>
  <c r="P31" i="6"/>
  <c r="BB31" i="6" s="1"/>
  <c r="P151" i="6"/>
  <c r="AZ151" i="6" s="1"/>
  <c r="P59" i="6"/>
  <c r="BC59" i="6" s="1"/>
  <c r="P54" i="6"/>
  <c r="AZ54" i="6" s="1"/>
  <c r="P142" i="6"/>
  <c r="AY142" i="6" s="1"/>
  <c r="P128" i="6"/>
  <c r="BC128" i="6" s="1"/>
  <c r="P79" i="6"/>
  <c r="BC79" i="6" s="1"/>
  <c r="P74" i="6"/>
  <c r="AY74" i="6" s="1"/>
  <c r="P25" i="6"/>
  <c r="AY25" i="6" s="1"/>
  <c r="P57" i="6"/>
  <c r="AZ57" i="6" s="1"/>
  <c r="P123" i="6"/>
  <c r="AZ123" i="6" s="1"/>
  <c r="P77" i="6"/>
  <c r="AZ77" i="6" s="1"/>
  <c r="P55" i="6"/>
  <c r="AZ55" i="6" s="1"/>
  <c r="P75" i="6"/>
  <c r="AY75" i="6" s="1"/>
  <c r="P130" i="6"/>
  <c r="BA130" i="6" s="1"/>
  <c r="P73" i="6"/>
  <c r="BB73" i="6" s="1"/>
  <c r="P167" i="6"/>
  <c r="AY167" i="6" s="1"/>
  <c r="P169" i="6"/>
  <c r="AZ169" i="6" s="1"/>
  <c r="P164" i="6"/>
  <c r="AZ164" i="6" s="1"/>
  <c r="P140" i="6"/>
  <c r="BC140" i="6" s="1"/>
  <c r="P28" i="6"/>
  <c r="AY28" i="6" s="1"/>
  <c r="P34" i="6"/>
  <c r="BA34" i="6" s="1"/>
  <c r="P148" i="6"/>
  <c r="AY148" i="6" s="1"/>
  <c r="P60" i="6"/>
  <c r="BB60" i="6" s="1"/>
  <c r="P137" i="6"/>
  <c r="AZ137" i="6" s="1"/>
  <c r="P131" i="6"/>
  <c r="AY131" i="6" s="1"/>
  <c r="P126" i="6"/>
  <c r="BA126" i="6" s="1"/>
  <c r="P198" i="6"/>
  <c r="BC198" i="6" s="1"/>
  <c r="P23" i="6"/>
  <c r="BC23" i="6" s="1"/>
  <c r="P143" i="6"/>
  <c r="AY143" i="6" s="1"/>
  <c r="P62" i="6"/>
  <c r="AY62" i="6" s="1"/>
  <c r="P125" i="6"/>
  <c r="BC125" i="6" s="1"/>
  <c r="P82" i="6"/>
  <c r="AY82" i="6" s="1"/>
  <c r="BA74" i="6"/>
  <c r="P162" i="6"/>
  <c r="P171" i="6"/>
  <c r="P168" i="6"/>
  <c r="P114" i="6"/>
  <c r="AK128" i="6"/>
  <c r="P193" i="6"/>
  <c r="P27" i="6"/>
  <c r="BA29" i="6"/>
  <c r="AI29" i="6"/>
  <c r="AZ24" i="6"/>
  <c r="BC24" i="6"/>
  <c r="BB24" i="6"/>
  <c r="AJ24" i="6"/>
  <c r="AK24" i="6"/>
  <c r="P36" i="6"/>
  <c r="AZ149" i="6"/>
  <c r="AI149" i="6"/>
  <c r="AO149" i="6" s="1"/>
  <c r="AZ61" i="6"/>
  <c r="BB61" i="6"/>
  <c r="AY61" i="6"/>
  <c r="BC61" i="6"/>
  <c r="BA61" i="6"/>
  <c r="AK61" i="6"/>
  <c r="AI61" i="6"/>
  <c r="AJ61" i="6"/>
  <c r="AH61" i="6"/>
  <c r="BC56" i="6"/>
  <c r="AI56" i="6"/>
  <c r="P138" i="6"/>
  <c r="AZ127" i="6"/>
  <c r="BA127" i="6"/>
  <c r="AJ127" i="6"/>
  <c r="AI127" i="6"/>
  <c r="AO127" i="6" s="1"/>
  <c r="AK127" i="6"/>
  <c r="P194" i="6"/>
  <c r="AY81" i="6"/>
  <c r="AZ81" i="6"/>
  <c r="BB81" i="6"/>
  <c r="BC81" i="6"/>
  <c r="BA81" i="6"/>
  <c r="AK81" i="6"/>
  <c r="AI81" i="6"/>
  <c r="AO81" i="6"/>
  <c r="AJ81" i="6"/>
  <c r="AH81" i="6"/>
  <c r="P158" i="6"/>
  <c r="P153" i="6"/>
  <c r="P70" i="6"/>
  <c r="P72" i="6"/>
  <c r="P115" i="6"/>
  <c r="P121" i="6"/>
  <c r="P116" i="6"/>
  <c r="P50" i="6"/>
  <c r="P52" i="6"/>
  <c r="AZ28" i="6"/>
  <c r="AY54" i="6"/>
  <c r="AH54" i="6"/>
  <c r="P42" i="6"/>
  <c r="P139" i="6"/>
  <c r="P134" i="6"/>
  <c r="P199" i="6"/>
  <c r="P201" i="6"/>
  <c r="P200" i="6"/>
  <c r="P159" i="6"/>
  <c r="P154" i="6"/>
  <c r="P160" i="6"/>
  <c r="P163" i="6"/>
  <c r="P165" i="6"/>
  <c r="P71" i="6"/>
  <c r="P66" i="6"/>
  <c r="P68" i="6"/>
  <c r="P122" i="6"/>
  <c r="P117" i="6"/>
  <c r="P51" i="6"/>
  <c r="P46" i="6"/>
  <c r="P48" i="6"/>
  <c r="BC30" i="6"/>
  <c r="P32" i="6"/>
  <c r="P38" i="6"/>
  <c r="P33" i="6"/>
  <c r="P152" i="6"/>
  <c r="P141" i="6"/>
  <c r="P136" i="6"/>
  <c r="BB132" i="6"/>
  <c r="P195" i="6"/>
  <c r="P197" i="6"/>
  <c r="P196" i="6"/>
  <c r="P155" i="6"/>
  <c r="P161" i="6"/>
  <c r="P156" i="6"/>
  <c r="P170" i="6"/>
  <c r="P172" i="6"/>
  <c r="P67" i="6"/>
  <c r="P69" i="6"/>
  <c r="P64" i="6"/>
  <c r="P118" i="6"/>
  <c r="P113" i="6"/>
  <c r="P47" i="6"/>
  <c r="P49" i="6"/>
  <c r="P44" i="6"/>
  <c r="M176" i="6"/>
  <c r="P176" i="6" s="1"/>
  <c r="M180" i="6"/>
  <c r="P180" i="6" s="1"/>
  <c r="M173" i="6"/>
  <c r="P173" i="6" s="1"/>
  <c r="M177" i="6"/>
  <c r="P177" i="6" s="1"/>
  <c r="M181" i="6"/>
  <c r="P181" i="6" s="1"/>
  <c r="M174" i="6"/>
  <c r="P174" i="6" s="1"/>
  <c r="M178" i="6"/>
  <c r="P178" i="6" s="1"/>
  <c r="M182" i="6"/>
  <c r="P182" i="6" s="1"/>
  <c r="M175" i="6"/>
  <c r="P175" i="6" s="1"/>
  <c r="M179" i="6"/>
  <c r="P179" i="6" s="1"/>
  <c r="M96" i="6"/>
  <c r="M100" i="6"/>
  <c r="P110" i="6"/>
  <c r="M93" i="6"/>
  <c r="P103" i="6"/>
  <c r="M97" i="6"/>
  <c r="M101" i="6"/>
  <c r="P111" i="6" s="1"/>
  <c r="M94" i="6"/>
  <c r="P104" i="6" s="1"/>
  <c r="M98" i="6"/>
  <c r="M102" i="6"/>
  <c r="M95" i="6"/>
  <c r="P105" i="6" s="1"/>
  <c r="M99" i="6"/>
  <c r="M4" i="6"/>
  <c r="P4" i="6"/>
  <c r="M8" i="6"/>
  <c r="P8" i="6"/>
  <c r="M12" i="6"/>
  <c r="P12" i="6"/>
  <c r="M5" i="6"/>
  <c r="P5" i="6"/>
  <c r="M9" i="6"/>
  <c r="P9" i="6"/>
  <c r="M6" i="6"/>
  <c r="P6" i="6"/>
  <c r="M10" i="6"/>
  <c r="P10" i="6"/>
  <c r="M7" i="6"/>
  <c r="P7" i="6"/>
  <c r="M11" i="6"/>
  <c r="P11" i="6"/>
  <c r="M3" i="6"/>
  <c r="P3" i="6"/>
  <c r="M84" i="6"/>
  <c r="P84" i="6"/>
  <c r="M88" i="6"/>
  <c r="P88" i="6"/>
  <c r="M92" i="6"/>
  <c r="P92" i="6"/>
  <c r="M85" i="6"/>
  <c r="P85" i="6"/>
  <c r="M89" i="6"/>
  <c r="P89" i="6"/>
  <c r="M86" i="6"/>
  <c r="P86" i="6"/>
  <c r="M90" i="6"/>
  <c r="P90" i="6"/>
  <c r="M83" i="6"/>
  <c r="P83" i="6"/>
  <c r="M87" i="6"/>
  <c r="P87" i="6"/>
  <c r="M91" i="6"/>
  <c r="P91" i="6"/>
  <c r="O199" i="6"/>
  <c r="Q199" i="6"/>
  <c r="O201" i="6"/>
  <c r="O202" i="6"/>
  <c r="O200" i="6"/>
  <c r="O197" i="6"/>
  <c r="AM65" i="2"/>
  <c r="AB100" i="6"/>
  <c r="AO65" i="2"/>
  <c r="AQ65" i="2"/>
  <c r="AN65" i="2"/>
  <c r="AC101" i="6"/>
  <c r="AI65" i="2"/>
  <c r="AP65" i="2"/>
  <c r="AP67" i="2"/>
  <c r="AI67" i="2"/>
  <c r="AO67" i="2"/>
  <c r="BF67" i="2"/>
  <c r="AQ67" i="2"/>
  <c r="AM67" i="2"/>
  <c r="AN67" i="2"/>
  <c r="AC102" i="6"/>
  <c r="O193" i="6"/>
  <c r="AC8" i="6"/>
  <c r="AD28" i="6"/>
  <c r="AP28" i="6"/>
  <c r="AD27" i="6"/>
  <c r="AP27" i="6"/>
  <c r="BF27" i="2"/>
  <c r="BH27" i="2"/>
  <c r="BK27" i="2"/>
  <c r="AO36" i="2"/>
  <c r="BF36" i="2"/>
  <c r="AF165" i="6"/>
  <c r="O195" i="6"/>
  <c r="AF28" i="6"/>
  <c r="AF27" i="6"/>
  <c r="AE28" i="6"/>
  <c r="AE27" i="6"/>
  <c r="AP36" i="2"/>
  <c r="AQ36" i="2"/>
  <c r="AC28" i="6"/>
  <c r="BI27" i="2"/>
  <c r="BL27" i="2"/>
  <c r="AC27" i="6"/>
  <c r="Q7" i="6"/>
  <c r="Q6" i="6"/>
  <c r="Q5" i="6"/>
  <c r="AD8" i="6"/>
  <c r="AP8" i="6"/>
  <c r="BF13" i="2"/>
  <c r="BH13" i="2"/>
  <c r="BK13" i="2"/>
  <c r="AB27" i="6"/>
  <c r="AB28" i="6"/>
  <c r="BG13" i="2"/>
  <c r="AC9" i="6"/>
  <c r="AE49" i="6"/>
  <c r="AE47" i="6"/>
  <c r="AE48" i="6"/>
  <c r="AE164" i="6"/>
  <c r="AE163" i="6"/>
  <c r="AE162" i="6"/>
  <c r="AF163" i="6"/>
  <c r="AF162" i="6"/>
  <c r="AF164" i="6"/>
  <c r="AE14" i="6"/>
  <c r="AE15" i="6"/>
  <c r="AE165" i="6"/>
  <c r="AE166" i="6"/>
  <c r="AD22" i="6"/>
  <c r="AP22" i="6"/>
  <c r="AD23" i="6"/>
  <c r="AP23" i="6"/>
  <c r="BF24" i="2"/>
  <c r="BH24" i="2"/>
  <c r="BK24" i="2"/>
  <c r="AB23" i="6"/>
  <c r="AB22" i="6"/>
  <c r="AO101" i="2"/>
  <c r="BF101" i="2"/>
  <c r="AM101" i="2"/>
  <c r="AN101" i="2"/>
  <c r="AP101" i="2"/>
  <c r="AQ101" i="2"/>
  <c r="AI101" i="2"/>
  <c r="AB119" i="6"/>
  <c r="AB118" i="6"/>
  <c r="AB117" i="6"/>
  <c r="BG14" i="2"/>
  <c r="AE159" i="6"/>
  <c r="AE158" i="6"/>
  <c r="AE157" i="6"/>
  <c r="BH81" i="2"/>
  <c r="BK81" i="2"/>
  <c r="AI73" i="2"/>
  <c r="AO73" i="2"/>
  <c r="AN73" i="2"/>
  <c r="AP73" i="2"/>
  <c r="AQ73" i="2"/>
  <c r="AM73" i="2"/>
  <c r="AB48" i="6"/>
  <c r="AB49" i="6"/>
  <c r="AB47" i="6"/>
  <c r="AD164" i="6"/>
  <c r="AP164" i="6"/>
  <c r="AD163" i="6"/>
  <c r="AP163" i="6"/>
  <c r="AD162" i="6"/>
  <c r="AP162" i="6"/>
  <c r="BF97" i="2"/>
  <c r="AP28" i="2"/>
  <c r="AE29" i="6"/>
  <c r="AN28" i="2"/>
  <c r="AM28" i="2"/>
  <c r="AB29" i="6"/>
  <c r="AO28" i="2"/>
  <c r="AQ28" i="2"/>
  <c r="AF29" i="6"/>
  <c r="AI28" i="2"/>
  <c r="AB15" i="6"/>
  <c r="AB14" i="6"/>
  <c r="AD165" i="6"/>
  <c r="AP165" i="6"/>
  <c r="BF98" i="2"/>
  <c r="AD166" i="6"/>
  <c r="AP166" i="6"/>
  <c r="AC22" i="6"/>
  <c r="AC23" i="6"/>
  <c r="BI24" i="2"/>
  <c r="BL24" i="2"/>
  <c r="AF22" i="6"/>
  <c r="AF23" i="6"/>
  <c r="AP83" i="2"/>
  <c r="AN83" i="2"/>
  <c r="AM83" i="2"/>
  <c r="AO83" i="2"/>
  <c r="AQ83" i="2"/>
  <c r="AI83" i="2"/>
  <c r="BF74" i="2"/>
  <c r="AD118" i="6"/>
  <c r="AP118" i="6"/>
  <c r="AD119" i="6"/>
  <c r="AP119" i="6"/>
  <c r="AD117" i="6"/>
  <c r="AP117" i="6"/>
  <c r="AC157" i="6"/>
  <c r="AC158" i="6"/>
  <c r="AC159" i="6"/>
  <c r="BH86" i="2"/>
  <c r="BK86" i="2"/>
  <c r="BH51" i="2"/>
  <c r="BK51" i="2"/>
  <c r="AD9" i="6"/>
  <c r="AP9" i="6"/>
  <c r="BF14" i="2"/>
  <c r="BH14" i="2"/>
  <c r="BK14" i="2"/>
  <c r="AD49" i="6"/>
  <c r="AP49" i="6"/>
  <c r="AD48" i="6"/>
  <c r="AP48" i="6"/>
  <c r="BF39" i="2"/>
  <c r="AD47" i="6"/>
  <c r="AP47" i="6"/>
  <c r="AC163" i="6"/>
  <c r="AC164" i="6"/>
  <c r="AC162" i="6"/>
  <c r="AC15" i="6"/>
  <c r="AC14" i="6"/>
  <c r="AB166" i="6"/>
  <c r="AB165" i="6"/>
  <c r="O196" i="6"/>
  <c r="AC117" i="6"/>
  <c r="AC118" i="6"/>
  <c r="AC119" i="6"/>
  <c r="BF94" i="2"/>
  <c r="AD157" i="6"/>
  <c r="AP157" i="6"/>
  <c r="AD158" i="6"/>
  <c r="AP158" i="6"/>
  <c r="AD159" i="6"/>
  <c r="AP159" i="6"/>
  <c r="BG74" i="2"/>
  <c r="BH91" i="2"/>
  <c r="BK91" i="2"/>
  <c r="BH106" i="2"/>
  <c r="BK106" i="2"/>
  <c r="AF166" i="6"/>
  <c r="BH46" i="2"/>
  <c r="BK46" i="2"/>
  <c r="BG15" i="2"/>
  <c r="AC49" i="6"/>
  <c r="AC47" i="6"/>
  <c r="AC48" i="6"/>
  <c r="BG39" i="2"/>
  <c r="BG18" i="2"/>
  <c r="AD15" i="6"/>
  <c r="AP15" i="6"/>
  <c r="AD14" i="6"/>
  <c r="AP14" i="6"/>
  <c r="BF18" i="2"/>
  <c r="AC165" i="6"/>
  <c r="AC166" i="6"/>
  <c r="AE23" i="6"/>
  <c r="AE22" i="6"/>
  <c r="BG97" i="2"/>
  <c r="AE119" i="6"/>
  <c r="AE117" i="6"/>
  <c r="AE118" i="6"/>
  <c r="AB158" i="6"/>
  <c r="AB159" i="6"/>
  <c r="AB157" i="6"/>
  <c r="BH66" i="2"/>
  <c r="BK66" i="2"/>
  <c r="AC60" i="6"/>
  <c r="AC61" i="6"/>
  <c r="BG45" i="2"/>
  <c r="BF8" i="2"/>
  <c r="BH8" i="2"/>
  <c r="BK8" i="2"/>
  <c r="AD3" i="6"/>
  <c r="AP3" i="6"/>
  <c r="AE62" i="6"/>
  <c r="AE64" i="6"/>
  <c r="AE63" i="6"/>
  <c r="AD62" i="6"/>
  <c r="AP62" i="6"/>
  <c r="AD64" i="6"/>
  <c r="AP64" i="6"/>
  <c r="AD63" i="6"/>
  <c r="AP63" i="6"/>
  <c r="BF47" i="2"/>
  <c r="BH47" i="2"/>
  <c r="BK47" i="2"/>
  <c r="BG81" i="2"/>
  <c r="BI81" i="2"/>
  <c r="BL81" i="2"/>
  <c r="AB69" i="6"/>
  <c r="AB68" i="6"/>
  <c r="AB67" i="6"/>
  <c r="AC26" i="6"/>
  <c r="BG26" i="2"/>
  <c r="AB111" i="6"/>
  <c r="AB110" i="6"/>
  <c r="AC110" i="6"/>
  <c r="AC111" i="6"/>
  <c r="BG70" i="2"/>
  <c r="AB113" i="6"/>
  <c r="AB114" i="6"/>
  <c r="AB112" i="6"/>
  <c r="BI36" i="2"/>
  <c r="BL36" i="2"/>
  <c r="BG36" i="2"/>
  <c r="BF54" i="2"/>
  <c r="BH54" i="2"/>
  <c r="BK54" i="2"/>
  <c r="AD77" i="6"/>
  <c r="AP77" i="6"/>
  <c r="AD78" i="6"/>
  <c r="AP78" i="6"/>
  <c r="AD79" i="6"/>
  <c r="AP79" i="6"/>
  <c r="AC125" i="6"/>
  <c r="AC126" i="6"/>
  <c r="BG78" i="2"/>
  <c r="BH41" i="2"/>
  <c r="AE17" i="6"/>
  <c r="AE18" i="6"/>
  <c r="AC146" i="6"/>
  <c r="AC145" i="6"/>
  <c r="BG88" i="2"/>
  <c r="BF88" i="2"/>
  <c r="AD146" i="6"/>
  <c r="AP146" i="6"/>
  <c r="AD145" i="6"/>
  <c r="AP145" i="6"/>
  <c r="AB176" i="6"/>
  <c r="AB175" i="6"/>
  <c r="AE101" i="6"/>
  <c r="AE100" i="6"/>
  <c r="BF63" i="2"/>
  <c r="BH63" i="2"/>
  <c r="BK63" i="2"/>
  <c r="AD95" i="6"/>
  <c r="AP95" i="6"/>
  <c r="AD96" i="6"/>
  <c r="AP96" i="6"/>
  <c r="BG102" i="2"/>
  <c r="AC172" i="6"/>
  <c r="AC173" i="6"/>
  <c r="AC174" i="6"/>
  <c r="AB172" i="6"/>
  <c r="AB174" i="6"/>
  <c r="AB173" i="6"/>
  <c r="BI86" i="2"/>
  <c r="BL86" i="2"/>
  <c r="BG86" i="2"/>
  <c r="BI61" i="2"/>
  <c r="BL61" i="2"/>
  <c r="BG61" i="2"/>
  <c r="AE24" i="6"/>
  <c r="AE25" i="6"/>
  <c r="BF75" i="2"/>
  <c r="AD120" i="6"/>
  <c r="AP120" i="6"/>
  <c r="AD121" i="6"/>
  <c r="AP121" i="6"/>
  <c r="AB59" i="6"/>
  <c r="AB57" i="6"/>
  <c r="AB58" i="6"/>
  <c r="BF23" i="2"/>
  <c r="BH23" i="2"/>
  <c r="AD21" i="6"/>
  <c r="AP21" i="6"/>
  <c r="BF85" i="2"/>
  <c r="BH85" i="2"/>
  <c r="BK85" i="2"/>
  <c r="AD140" i="6"/>
  <c r="AP140" i="6"/>
  <c r="AD141" i="6"/>
  <c r="AP141" i="6"/>
  <c r="AE73" i="6"/>
  <c r="AE74" i="6"/>
  <c r="AE72" i="6"/>
  <c r="AB147" i="6"/>
  <c r="AB148" i="6"/>
  <c r="AB149" i="6"/>
  <c r="AB40" i="6"/>
  <c r="AB41" i="6"/>
  <c r="AB92" i="6"/>
  <c r="AB94" i="6"/>
  <c r="AB93" i="6"/>
  <c r="BF40" i="2"/>
  <c r="BH40" i="2"/>
  <c r="BK40" i="2"/>
  <c r="AD51" i="6"/>
  <c r="AP51" i="6"/>
  <c r="AD50" i="6"/>
  <c r="AP50" i="6"/>
  <c r="AB138" i="6"/>
  <c r="AB137" i="6"/>
  <c r="AB139" i="6"/>
  <c r="AE88" i="6"/>
  <c r="AE87" i="6"/>
  <c r="AE89" i="6"/>
  <c r="BF53" i="2"/>
  <c r="BH53" i="2"/>
  <c r="AD75" i="6"/>
  <c r="AP75" i="6"/>
  <c r="AD76" i="6"/>
  <c r="AP76" i="6"/>
  <c r="BF105" i="2"/>
  <c r="BH105" i="2"/>
  <c r="BK105" i="2"/>
  <c r="AD181" i="6"/>
  <c r="AP181" i="6"/>
  <c r="AD180" i="6"/>
  <c r="AP180" i="6"/>
  <c r="AB85" i="6"/>
  <c r="AB86" i="6"/>
  <c r="AD38" i="6"/>
  <c r="AP38" i="6"/>
  <c r="AD37" i="6"/>
  <c r="AP37" i="6"/>
  <c r="AD39" i="6"/>
  <c r="AP39" i="6"/>
  <c r="BF34" i="2"/>
  <c r="BH34" i="2"/>
  <c r="BK34" i="2"/>
  <c r="AB39" i="6"/>
  <c r="AB37" i="6"/>
  <c r="AB38" i="6"/>
  <c r="AD11" i="6"/>
  <c r="AP11" i="6"/>
  <c r="BF16" i="2"/>
  <c r="BH16" i="2"/>
  <c r="AC43" i="6"/>
  <c r="AC42" i="6"/>
  <c r="AC44" i="6"/>
  <c r="BG37" i="2"/>
  <c r="AE55" i="6"/>
  <c r="AE56" i="6"/>
  <c r="AB177" i="6"/>
  <c r="AB178" i="6"/>
  <c r="AB179" i="6"/>
  <c r="AE133" i="6"/>
  <c r="AE132" i="6"/>
  <c r="AE134" i="6"/>
  <c r="AC30" i="6"/>
  <c r="BG29" i="2"/>
  <c r="AC45" i="6"/>
  <c r="AC46" i="6"/>
  <c r="BG38" i="2"/>
  <c r="BF12" i="2"/>
  <c r="BH12" i="2"/>
  <c r="AD7" i="6"/>
  <c r="AP7" i="6"/>
  <c r="BF64" i="2"/>
  <c r="BH64" i="2"/>
  <c r="BK64" i="2"/>
  <c r="AD98" i="6"/>
  <c r="AP98" i="6"/>
  <c r="AD97" i="6"/>
  <c r="AP97" i="6"/>
  <c r="AD99" i="6"/>
  <c r="AP99" i="6"/>
  <c r="BI76" i="2"/>
  <c r="BL76" i="2"/>
  <c r="BG76" i="2"/>
  <c r="AC31" i="6"/>
  <c r="BG30" i="2"/>
  <c r="AD4" i="6"/>
  <c r="AP4" i="6"/>
  <c r="BF9" i="2"/>
  <c r="BH9" i="2"/>
  <c r="BK9" i="2"/>
  <c r="AB12" i="6"/>
  <c r="AB13" i="6"/>
  <c r="AE81" i="6"/>
  <c r="AE80" i="6"/>
  <c r="BG93" i="2"/>
  <c r="AC155" i="6"/>
  <c r="AC156" i="6"/>
  <c r="AB144" i="6"/>
  <c r="AB142" i="6"/>
  <c r="AB143" i="6"/>
  <c r="BF87" i="2"/>
  <c r="BH87" i="2"/>
  <c r="BK87" i="2"/>
  <c r="AD144" i="6"/>
  <c r="AP144" i="6"/>
  <c r="AD142" i="6"/>
  <c r="AP142" i="6"/>
  <c r="AD143" i="6"/>
  <c r="AP143" i="6"/>
  <c r="AC184" i="6"/>
  <c r="AC183" i="6"/>
  <c r="AC182" i="6"/>
  <c r="BG107" i="2"/>
  <c r="AC105" i="6"/>
  <c r="AC106" i="6"/>
  <c r="BG68" i="2"/>
  <c r="AB123" i="6"/>
  <c r="AB124" i="6"/>
  <c r="AB122" i="6"/>
  <c r="AE151" i="6"/>
  <c r="AE150" i="6"/>
  <c r="BG31" i="2"/>
  <c r="BI31" i="2"/>
  <c r="BL31" i="2"/>
  <c r="AC52" i="6"/>
  <c r="AC53" i="6"/>
  <c r="AC54" i="6"/>
  <c r="BG42" i="2"/>
  <c r="AD53" i="6"/>
  <c r="AP53" i="6"/>
  <c r="BF42" i="2"/>
  <c r="BH42" i="2"/>
  <c r="BK42" i="2"/>
  <c r="AD52" i="6"/>
  <c r="AP52" i="6"/>
  <c r="AD54" i="6"/>
  <c r="AP54" i="6"/>
  <c r="AB128" i="6"/>
  <c r="AB129" i="6"/>
  <c r="AB127" i="6"/>
  <c r="AB33" i="6"/>
  <c r="AB34" i="6"/>
  <c r="AB32" i="6"/>
  <c r="BF57" i="2"/>
  <c r="BH57" i="2"/>
  <c r="AD82" i="6"/>
  <c r="AP82" i="6"/>
  <c r="AD83" i="6"/>
  <c r="AP83" i="6"/>
  <c r="AD84" i="6"/>
  <c r="AP84" i="6"/>
  <c r="AC91" i="6"/>
  <c r="AC90" i="6"/>
  <c r="BG60" i="2"/>
  <c r="BF69" i="2"/>
  <c r="BH69" i="2"/>
  <c r="BK69" i="2"/>
  <c r="AD109" i="6"/>
  <c r="AP109" i="6"/>
  <c r="AD108" i="6"/>
  <c r="AP108" i="6"/>
  <c r="AD107" i="6"/>
  <c r="AP107" i="6"/>
  <c r="AC70" i="6"/>
  <c r="AC71" i="6"/>
  <c r="BG50" i="2"/>
  <c r="BF22" i="2"/>
  <c r="BH22" i="2"/>
  <c r="BK22" i="2"/>
  <c r="AD20" i="6"/>
  <c r="AP20" i="6"/>
  <c r="AD36" i="6"/>
  <c r="AP36" i="6"/>
  <c r="AD35" i="6"/>
  <c r="AP35" i="6"/>
  <c r="BF33" i="2"/>
  <c r="BH33" i="2"/>
  <c r="BK33" i="2"/>
  <c r="BG95" i="2"/>
  <c r="AC161" i="6"/>
  <c r="AC160" i="6"/>
  <c r="AD65" i="6"/>
  <c r="AP65" i="6"/>
  <c r="BF48" i="2"/>
  <c r="BH48" i="2"/>
  <c r="BK48" i="2"/>
  <c r="AD66" i="6"/>
  <c r="AP66" i="6"/>
  <c r="AC167" i="6"/>
  <c r="AC168" i="6"/>
  <c r="AC169" i="6"/>
  <c r="BG99" i="2"/>
  <c r="BG66" i="2"/>
  <c r="BI66" i="2"/>
  <c r="BL66" i="2"/>
  <c r="AE60" i="6"/>
  <c r="AE61" i="6"/>
  <c r="AF60" i="6"/>
  <c r="AF61" i="6"/>
  <c r="AF64" i="6"/>
  <c r="AF63" i="6"/>
  <c r="AF62" i="6"/>
  <c r="AE68" i="6"/>
  <c r="AE67" i="6"/>
  <c r="AE69" i="6"/>
  <c r="AF67" i="6"/>
  <c r="AF69" i="6"/>
  <c r="AF68" i="6"/>
  <c r="AD26" i="6"/>
  <c r="AP26" i="6"/>
  <c r="BF26" i="2"/>
  <c r="BH26" i="2"/>
  <c r="BK26" i="2"/>
  <c r="AD111" i="6"/>
  <c r="AP111" i="6"/>
  <c r="AD110" i="6"/>
  <c r="AP110" i="6"/>
  <c r="BF70" i="2"/>
  <c r="BH70" i="2"/>
  <c r="BK70" i="2"/>
  <c r="AF110" i="6"/>
  <c r="AF111" i="6"/>
  <c r="AC113" i="6"/>
  <c r="AC112" i="6"/>
  <c r="AC114" i="6"/>
  <c r="BG72" i="2"/>
  <c r="BG92" i="2"/>
  <c r="AC152" i="6"/>
  <c r="AC153" i="6"/>
  <c r="AC154" i="6"/>
  <c r="AE78" i="6"/>
  <c r="AE79" i="6"/>
  <c r="AE77" i="6"/>
  <c r="AF78" i="6"/>
  <c r="AF79" i="6"/>
  <c r="AF77" i="6"/>
  <c r="AB125" i="6"/>
  <c r="AB126" i="6"/>
  <c r="AF125" i="6"/>
  <c r="AF126" i="6"/>
  <c r="BI41" i="2"/>
  <c r="BL41" i="2"/>
  <c r="BG41" i="2"/>
  <c r="AC18" i="6"/>
  <c r="AC17" i="6"/>
  <c r="AB145" i="6"/>
  <c r="AB146" i="6"/>
  <c r="AF145" i="6"/>
  <c r="AF146" i="6"/>
  <c r="AC176" i="6"/>
  <c r="AC175" i="6"/>
  <c r="BG103" i="2"/>
  <c r="AC100" i="6"/>
  <c r="BG65" i="2"/>
  <c r="AF100" i="6"/>
  <c r="AF101" i="6"/>
  <c r="AC96" i="6"/>
  <c r="BG63" i="2"/>
  <c r="AC95" i="6"/>
  <c r="AF96" i="6"/>
  <c r="AF95" i="6"/>
  <c r="AE174" i="6"/>
  <c r="AE173" i="6"/>
  <c r="AE172" i="6"/>
  <c r="AF173" i="6"/>
  <c r="AF172" i="6"/>
  <c r="AF174" i="6"/>
  <c r="BF21" i="2"/>
  <c r="BH21" i="2"/>
  <c r="BK21" i="2"/>
  <c r="AD19" i="6"/>
  <c r="AP19" i="6"/>
  <c r="AB24" i="6"/>
  <c r="AB25" i="6"/>
  <c r="AC121" i="6"/>
  <c r="AC120" i="6"/>
  <c r="BG75" i="2"/>
  <c r="AF120" i="6"/>
  <c r="AF121" i="6"/>
  <c r="BI56" i="2"/>
  <c r="BL56" i="2"/>
  <c r="BG56" i="2"/>
  <c r="AE57" i="6"/>
  <c r="AE59" i="6"/>
  <c r="AE58" i="6"/>
  <c r="AF59" i="6"/>
  <c r="AF58" i="6"/>
  <c r="AF57" i="6"/>
  <c r="AB21" i="6"/>
  <c r="BK23" i="2"/>
  <c r="AE141" i="6"/>
  <c r="AE140" i="6"/>
  <c r="AF141" i="6"/>
  <c r="AF140" i="6"/>
  <c r="BG80" i="2"/>
  <c r="AC131" i="6"/>
  <c r="AC130" i="6"/>
  <c r="AB73" i="6"/>
  <c r="AB74" i="6"/>
  <c r="AB72" i="6"/>
  <c r="AF73" i="6"/>
  <c r="AF74" i="6"/>
  <c r="AF72" i="6"/>
  <c r="AE148" i="6"/>
  <c r="AE149" i="6"/>
  <c r="AE147" i="6"/>
  <c r="AE40" i="6"/>
  <c r="AE41" i="6"/>
  <c r="AF41" i="6"/>
  <c r="AF40" i="6"/>
  <c r="AB10" i="6"/>
  <c r="BF62" i="2"/>
  <c r="BH62" i="2"/>
  <c r="BK62" i="2"/>
  <c r="AD93" i="6"/>
  <c r="AP93" i="6"/>
  <c r="AD92" i="6"/>
  <c r="AP92" i="6"/>
  <c r="AD94" i="6"/>
  <c r="AP94" i="6"/>
  <c r="AC50" i="6"/>
  <c r="AC51" i="6"/>
  <c r="BG40" i="2"/>
  <c r="AF50" i="6"/>
  <c r="AF51" i="6"/>
  <c r="AB89" i="6"/>
  <c r="AB88" i="6"/>
  <c r="AB87" i="6"/>
  <c r="AC75" i="6"/>
  <c r="AC76" i="6"/>
  <c r="BI53" i="2"/>
  <c r="BL53" i="2"/>
  <c r="BG53" i="2"/>
  <c r="AF75" i="6"/>
  <c r="AF76" i="6"/>
  <c r="BF100" i="2"/>
  <c r="BH100" i="2"/>
  <c r="BK100" i="2"/>
  <c r="AD171" i="6"/>
  <c r="AP171" i="6"/>
  <c r="AD170" i="6"/>
  <c r="AP170" i="6"/>
  <c r="AE181" i="6"/>
  <c r="AE180" i="6"/>
  <c r="AF181" i="6"/>
  <c r="AF180" i="6"/>
  <c r="AE85" i="6"/>
  <c r="AE86" i="6"/>
  <c r="AC38" i="6"/>
  <c r="AC39" i="6"/>
  <c r="AC37" i="6"/>
  <c r="BG34" i="2"/>
  <c r="AF38" i="6"/>
  <c r="AF39" i="6"/>
  <c r="AF37" i="6"/>
  <c r="AB11" i="6"/>
  <c r="BK16" i="2"/>
  <c r="AB42" i="6"/>
  <c r="AB44" i="6"/>
  <c r="AB43" i="6"/>
  <c r="AF43" i="6"/>
  <c r="AF44" i="6"/>
  <c r="AF42" i="6"/>
  <c r="AC55" i="6"/>
  <c r="AC56" i="6"/>
  <c r="BG43" i="2"/>
  <c r="BF104" i="2"/>
  <c r="BH104" i="2"/>
  <c r="BK104" i="2"/>
  <c r="AD177" i="6"/>
  <c r="AP177" i="6"/>
  <c r="AD179" i="6"/>
  <c r="AP179" i="6"/>
  <c r="AD178" i="6"/>
  <c r="AP178" i="6"/>
  <c r="AF177" i="6"/>
  <c r="AF178" i="6"/>
  <c r="AF179" i="6"/>
  <c r="BG82" i="2"/>
  <c r="AC132" i="6"/>
  <c r="AC134" i="6"/>
  <c r="AC133" i="6"/>
  <c r="AD45" i="6"/>
  <c r="AP45" i="6"/>
  <c r="BF38" i="2"/>
  <c r="BH38" i="2"/>
  <c r="BK38" i="2"/>
  <c r="AD46" i="6"/>
  <c r="AP46" i="6"/>
  <c r="BI12" i="2"/>
  <c r="AC7" i="6"/>
  <c r="BG12" i="2"/>
  <c r="AC97" i="6"/>
  <c r="AC98" i="6"/>
  <c r="BG64" i="2"/>
  <c r="AC99" i="6"/>
  <c r="BI64" i="2"/>
  <c r="BL64" i="2"/>
  <c r="BH76" i="2"/>
  <c r="BK76" i="2"/>
  <c r="AD31" i="6"/>
  <c r="AP31" i="6"/>
  <c r="BF30" i="2"/>
  <c r="BH30" i="2"/>
  <c r="BK30" i="2"/>
  <c r="AC4" i="6"/>
  <c r="BG9" i="2"/>
  <c r="AD12" i="6"/>
  <c r="AP12" i="6"/>
  <c r="BF17" i="2"/>
  <c r="BH17" i="2"/>
  <c r="BK17" i="2"/>
  <c r="AD13" i="6"/>
  <c r="AP13" i="6"/>
  <c r="AD81" i="6"/>
  <c r="AP81" i="6"/>
  <c r="BF55" i="2"/>
  <c r="BH55" i="2"/>
  <c r="BK55" i="2"/>
  <c r="AD80" i="6"/>
  <c r="AP80" i="6"/>
  <c r="AF81" i="6"/>
  <c r="AF80" i="6"/>
  <c r="BF93" i="2"/>
  <c r="BH93" i="2"/>
  <c r="BK93" i="2"/>
  <c r="AD156" i="6"/>
  <c r="AP156" i="6"/>
  <c r="AD155" i="6"/>
  <c r="AP155" i="6"/>
  <c r="AE144" i="6"/>
  <c r="AE143" i="6"/>
  <c r="AE142" i="6"/>
  <c r="AF143" i="6"/>
  <c r="AF144" i="6"/>
  <c r="AF142" i="6"/>
  <c r="AB184" i="6"/>
  <c r="AB183" i="6"/>
  <c r="AB182" i="6"/>
  <c r="BF68" i="2"/>
  <c r="BH68" i="2"/>
  <c r="BK68" i="2"/>
  <c r="AD106" i="6"/>
  <c r="AP106" i="6"/>
  <c r="AD105" i="6"/>
  <c r="AP105" i="6"/>
  <c r="AF106" i="6"/>
  <c r="AF105" i="6"/>
  <c r="BF77" i="2"/>
  <c r="BH77" i="2"/>
  <c r="BK77" i="2"/>
  <c r="AB150" i="6"/>
  <c r="AB151" i="6"/>
  <c r="AF151" i="6"/>
  <c r="AF150" i="6"/>
  <c r="AF53" i="6"/>
  <c r="AF54" i="6"/>
  <c r="AF52" i="6"/>
  <c r="AE128" i="6"/>
  <c r="AE127" i="6"/>
  <c r="AE129" i="6"/>
  <c r="AD33" i="6"/>
  <c r="AP33" i="6"/>
  <c r="BF32" i="2"/>
  <c r="BH32" i="2"/>
  <c r="BK32" i="2"/>
  <c r="AD34" i="6"/>
  <c r="AP34" i="6"/>
  <c r="AD32" i="6"/>
  <c r="AP32" i="6"/>
  <c r="AF34" i="6"/>
  <c r="AF32" i="6"/>
  <c r="AF33" i="6"/>
  <c r="BI57" i="2"/>
  <c r="BL57" i="2"/>
  <c r="AC82" i="6"/>
  <c r="AC83" i="6"/>
  <c r="BG57" i="2"/>
  <c r="AC84" i="6"/>
  <c r="AF83" i="6"/>
  <c r="AF84" i="6"/>
  <c r="AF82" i="6"/>
  <c r="AE104" i="6"/>
  <c r="AE102" i="6"/>
  <c r="AE103" i="6"/>
  <c r="AE91" i="6"/>
  <c r="AE90" i="6"/>
  <c r="AF90" i="6"/>
  <c r="AF91" i="6"/>
  <c r="AC108" i="6"/>
  <c r="AC107" i="6"/>
  <c r="AC109" i="6"/>
  <c r="BG69" i="2"/>
  <c r="AD71" i="6"/>
  <c r="AP71" i="6"/>
  <c r="BF50" i="2"/>
  <c r="BH50" i="2"/>
  <c r="BK50" i="2"/>
  <c r="AD70" i="6"/>
  <c r="AP70" i="6"/>
  <c r="AF71" i="6"/>
  <c r="AF70" i="6"/>
  <c r="AB20" i="6"/>
  <c r="AC35" i="6"/>
  <c r="AC36" i="6"/>
  <c r="BG33" i="2"/>
  <c r="AF35" i="6"/>
  <c r="AF36" i="6"/>
  <c r="AB160" i="6"/>
  <c r="AB161" i="6"/>
  <c r="AB66" i="6"/>
  <c r="AB65" i="6"/>
  <c r="AF66" i="6"/>
  <c r="AF65" i="6"/>
  <c r="AB168" i="6"/>
  <c r="AB167" i="6"/>
  <c r="AB169" i="6"/>
  <c r="BG20" i="2"/>
  <c r="BF45" i="2"/>
  <c r="BH45" i="2"/>
  <c r="BK45" i="2"/>
  <c r="AD60" i="6"/>
  <c r="AP60" i="6"/>
  <c r="AD61" i="6"/>
  <c r="AP61" i="6"/>
  <c r="AB3" i="6"/>
  <c r="AB62" i="6"/>
  <c r="AB63" i="6"/>
  <c r="AB64" i="6"/>
  <c r="AD67" i="6"/>
  <c r="AP67" i="6"/>
  <c r="BF49" i="2"/>
  <c r="BH49" i="2"/>
  <c r="BK49" i="2"/>
  <c r="AD68" i="6"/>
  <c r="AP68" i="6"/>
  <c r="AD69" i="6"/>
  <c r="AP69" i="6"/>
  <c r="AE111" i="6"/>
  <c r="AE110" i="6"/>
  <c r="BF72" i="2"/>
  <c r="BH72" i="2"/>
  <c r="BK72" i="2"/>
  <c r="AD114" i="6"/>
  <c r="AP114" i="6"/>
  <c r="AD113" i="6"/>
  <c r="AP113" i="6"/>
  <c r="AD112" i="6"/>
  <c r="AP112" i="6"/>
  <c r="BF92" i="2"/>
  <c r="BH92" i="2"/>
  <c r="BK92" i="2"/>
  <c r="AD153" i="6"/>
  <c r="AP153" i="6"/>
  <c r="AD152" i="6"/>
  <c r="AP152" i="6"/>
  <c r="AD154" i="6"/>
  <c r="AP154" i="6"/>
  <c r="AE154" i="6"/>
  <c r="AE152" i="6"/>
  <c r="AE153" i="6"/>
  <c r="AB78" i="6"/>
  <c r="AB77" i="6"/>
  <c r="AB79" i="6"/>
  <c r="BI91" i="2"/>
  <c r="BL91" i="2"/>
  <c r="BG91" i="2"/>
  <c r="BF78" i="2"/>
  <c r="BH78" i="2"/>
  <c r="BK78" i="2"/>
  <c r="AD125" i="6"/>
  <c r="AP125" i="6"/>
  <c r="AD126" i="6"/>
  <c r="AP126" i="6"/>
  <c r="BI106" i="2"/>
  <c r="BL106" i="2"/>
  <c r="BG106" i="2"/>
  <c r="AB17" i="6"/>
  <c r="AB18" i="6"/>
  <c r="BF20" i="2"/>
  <c r="BH20" i="2"/>
  <c r="BK20" i="2"/>
  <c r="AD18" i="6"/>
  <c r="AP18" i="6"/>
  <c r="AD17" i="6"/>
  <c r="AP17" i="6"/>
  <c r="AE146" i="6"/>
  <c r="AE145" i="6"/>
  <c r="BF103" i="2"/>
  <c r="AD175" i="6"/>
  <c r="AP175" i="6"/>
  <c r="AD176" i="6"/>
  <c r="AP176" i="6"/>
  <c r="BF65" i="2"/>
  <c r="BH65" i="2"/>
  <c r="AD101" i="6"/>
  <c r="AP101" i="6"/>
  <c r="AD100" i="6"/>
  <c r="AP100" i="6"/>
  <c r="AE95" i="6"/>
  <c r="AE96" i="6"/>
  <c r="BG96" i="2"/>
  <c r="BI96" i="2"/>
  <c r="BL96" i="2"/>
  <c r="BF102" i="2"/>
  <c r="BH102" i="2"/>
  <c r="BK102" i="2"/>
  <c r="AD173" i="6"/>
  <c r="AP173" i="6"/>
  <c r="AD174" i="6"/>
  <c r="AP174" i="6"/>
  <c r="AD172" i="6"/>
  <c r="AP172" i="6"/>
  <c r="BG46" i="2"/>
  <c r="BI46" i="2"/>
  <c r="BL46" i="2"/>
  <c r="AC19" i="6"/>
  <c r="BG21" i="2"/>
  <c r="BI21" i="2"/>
  <c r="BL21" i="2"/>
  <c r="AD24" i="6"/>
  <c r="AP24" i="6"/>
  <c r="AD25" i="6"/>
  <c r="AP25" i="6"/>
  <c r="BF25" i="2"/>
  <c r="BH25" i="2"/>
  <c r="BK25" i="2"/>
  <c r="AB121" i="6"/>
  <c r="AB120" i="6"/>
  <c r="AD59" i="6"/>
  <c r="AP59" i="6"/>
  <c r="BF44" i="2"/>
  <c r="BH44" i="2"/>
  <c r="BK44" i="2"/>
  <c r="AD57" i="6"/>
  <c r="AP57" i="6"/>
  <c r="AD58" i="6"/>
  <c r="AP58" i="6"/>
  <c r="AC21" i="6"/>
  <c r="BI23" i="2"/>
  <c r="BL23" i="2"/>
  <c r="BG23" i="2"/>
  <c r="AB141" i="6"/>
  <c r="AB140" i="6"/>
  <c r="AE131" i="6"/>
  <c r="AE130" i="6"/>
  <c r="AB131" i="6"/>
  <c r="AB130" i="6"/>
  <c r="AC73" i="6"/>
  <c r="AC74" i="6"/>
  <c r="AC72" i="6"/>
  <c r="BG52" i="2"/>
  <c r="AC149" i="6"/>
  <c r="AC148" i="6"/>
  <c r="AC147" i="6"/>
  <c r="BG89" i="2"/>
  <c r="AC40" i="6"/>
  <c r="AC41" i="6"/>
  <c r="BG35" i="2"/>
  <c r="AD6" i="6"/>
  <c r="AP6" i="6"/>
  <c r="BF11" i="2"/>
  <c r="BH11" i="2"/>
  <c r="BK11" i="2"/>
  <c r="AD10" i="6"/>
  <c r="AP10" i="6"/>
  <c r="BF15" i="2"/>
  <c r="BH15" i="2"/>
  <c r="BK15" i="2"/>
  <c r="AC93" i="6"/>
  <c r="AC94" i="6"/>
  <c r="AC92" i="6"/>
  <c r="BG62" i="2"/>
  <c r="BI62" i="2"/>
  <c r="BL62" i="2"/>
  <c r="AE51" i="6"/>
  <c r="AE50" i="6"/>
  <c r="BF84" i="2"/>
  <c r="BH84" i="2"/>
  <c r="BK84" i="2"/>
  <c r="AD138" i="6"/>
  <c r="AP138" i="6"/>
  <c r="AD137" i="6"/>
  <c r="AP137" i="6"/>
  <c r="AD139" i="6"/>
  <c r="AP139" i="6"/>
  <c r="AE138" i="6"/>
  <c r="AE137" i="6"/>
  <c r="AE139" i="6"/>
  <c r="AC88" i="6"/>
  <c r="BG59" i="2"/>
  <c r="AC87" i="6"/>
  <c r="AC89" i="6"/>
  <c r="AB75" i="6"/>
  <c r="AB76" i="6"/>
  <c r="BK53" i="2"/>
  <c r="AB170" i="6"/>
  <c r="AB171" i="6"/>
  <c r="BG100" i="2"/>
  <c r="AC170" i="6"/>
  <c r="AC171" i="6"/>
  <c r="AB180" i="6"/>
  <c r="AB181" i="6"/>
  <c r="BG58" i="2"/>
  <c r="AC86" i="6"/>
  <c r="AC85" i="6"/>
  <c r="AE38" i="6"/>
  <c r="AE39" i="6"/>
  <c r="AE37" i="6"/>
  <c r="AC11" i="6"/>
  <c r="BI16" i="2"/>
  <c r="BL16" i="2"/>
  <c r="BG16" i="2"/>
  <c r="AE43" i="6"/>
  <c r="AE44" i="6"/>
  <c r="AE42" i="6"/>
  <c r="AD56" i="6"/>
  <c r="AP56" i="6"/>
  <c r="AD55" i="6"/>
  <c r="AP55" i="6"/>
  <c r="BF43" i="2"/>
  <c r="BH43" i="2"/>
  <c r="BK43" i="2"/>
  <c r="BG104" i="2"/>
  <c r="AC178" i="6"/>
  <c r="AC179" i="6"/>
  <c r="AC177" i="6"/>
  <c r="AB132" i="6"/>
  <c r="AB134" i="6"/>
  <c r="AB133" i="6"/>
  <c r="BF82" i="2"/>
  <c r="BH82" i="2"/>
  <c r="BK82" i="2"/>
  <c r="AD132" i="6"/>
  <c r="AP132" i="6"/>
  <c r="AD134" i="6"/>
  <c r="AP134" i="6"/>
  <c r="AD133" i="6"/>
  <c r="AP133" i="6"/>
  <c r="AD30" i="6"/>
  <c r="AP30" i="6"/>
  <c r="BF29" i="2"/>
  <c r="BH29" i="2"/>
  <c r="BK29" i="2"/>
  <c r="AE46" i="6"/>
  <c r="AE45" i="6"/>
  <c r="AB98" i="6"/>
  <c r="AB99" i="6"/>
  <c r="AB97" i="6"/>
  <c r="AC12" i="6"/>
  <c r="BG17" i="2"/>
  <c r="AC13" i="6"/>
  <c r="AB81" i="6"/>
  <c r="AB80" i="6"/>
  <c r="AB156" i="6"/>
  <c r="AB155" i="6"/>
  <c r="AC143" i="6"/>
  <c r="AC142" i="6"/>
  <c r="AC144" i="6"/>
  <c r="BI87" i="2"/>
  <c r="BL87" i="2"/>
  <c r="BG87" i="2"/>
  <c r="AD16" i="6"/>
  <c r="AP16" i="6"/>
  <c r="BF19" i="2"/>
  <c r="BF107" i="2"/>
  <c r="BH107" i="2"/>
  <c r="BK107" i="2"/>
  <c r="AD184" i="6"/>
  <c r="AP184" i="6"/>
  <c r="AD183" i="6"/>
  <c r="AP183" i="6"/>
  <c r="AD182" i="6"/>
  <c r="AP182" i="6"/>
  <c r="AB105" i="6"/>
  <c r="AB106" i="6"/>
  <c r="BG77" i="2"/>
  <c r="AC123" i="6"/>
  <c r="AC124" i="6"/>
  <c r="AC122" i="6"/>
  <c r="BF90" i="2"/>
  <c r="BH90" i="2"/>
  <c r="BK90" i="2"/>
  <c r="AD151" i="6"/>
  <c r="AP151" i="6"/>
  <c r="AD150" i="6"/>
  <c r="AP150" i="6"/>
  <c r="BI51" i="2"/>
  <c r="BL51" i="2"/>
  <c r="BG51" i="2"/>
  <c r="AD5" i="6"/>
  <c r="AP5" i="6"/>
  <c r="BF10" i="2"/>
  <c r="BH10" i="2"/>
  <c r="BK10" i="2"/>
  <c r="AE53" i="6"/>
  <c r="AE54" i="6"/>
  <c r="AE52" i="6"/>
  <c r="BF79" i="2"/>
  <c r="AD128" i="6"/>
  <c r="AP128" i="6"/>
  <c r="AD127" i="6"/>
  <c r="AP127" i="6"/>
  <c r="AD129" i="6"/>
  <c r="AP129" i="6"/>
  <c r="AC33" i="6"/>
  <c r="AC34" i="6"/>
  <c r="AC32" i="6"/>
  <c r="BG32" i="2"/>
  <c r="AE84" i="6"/>
  <c r="AE82" i="6"/>
  <c r="AE83" i="6"/>
  <c r="AC104" i="6"/>
  <c r="AC103" i="6"/>
  <c r="AB91" i="6"/>
  <c r="AB90" i="6"/>
  <c r="AE108" i="6"/>
  <c r="AE109" i="6"/>
  <c r="AE107" i="6"/>
  <c r="AE71" i="6"/>
  <c r="AE70" i="6"/>
  <c r="AE35" i="6"/>
  <c r="AE36" i="6"/>
  <c r="BF95" i="2"/>
  <c r="BH95" i="2"/>
  <c r="BK95" i="2"/>
  <c r="AD161" i="6"/>
  <c r="AP161" i="6"/>
  <c r="AD160" i="6"/>
  <c r="AP160" i="6"/>
  <c r="AE65" i="6"/>
  <c r="AE66" i="6"/>
  <c r="BF99" i="2"/>
  <c r="BH99" i="2"/>
  <c r="BK99" i="2"/>
  <c r="AD168" i="6"/>
  <c r="AP168" i="6"/>
  <c r="AD169" i="6"/>
  <c r="AP169" i="6"/>
  <c r="AD167" i="6"/>
  <c r="AP167" i="6"/>
  <c r="AB61" i="6"/>
  <c r="AB60" i="6"/>
  <c r="AC3" i="6"/>
  <c r="BG8" i="2"/>
  <c r="AC64" i="6"/>
  <c r="AC63" i="6"/>
  <c r="AC62" i="6"/>
  <c r="BG47" i="2"/>
  <c r="AC67" i="6"/>
  <c r="AC68" i="6"/>
  <c r="AC69" i="6"/>
  <c r="BG49" i="2"/>
  <c r="BI49" i="2"/>
  <c r="BL49" i="2"/>
  <c r="AE114" i="6"/>
  <c r="AE113" i="6"/>
  <c r="AE112" i="6"/>
  <c r="AF112" i="6"/>
  <c r="AF114" i="6"/>
  <c r="AF113" i="6"/>
  <c r="AB154" i="6"/>
  <c r="AB153" i="6"/>
  <c r="AB152" i="6"/>
  <c r="AF154" i="6"/>
  <c r="AF153" i="6"/>
  <c r="AF152" i="6"/>
  <c r="AC78" i="6"/>
  <c r="AC79" i="6"/>
  <c r="AC77" i="6"/>
  <c r="BG54" i="2"/>
  <c r="AE125" i="6"/>
  <c r="AE126" i="6"/>
  <c r="BK41" i="2"/>
  <c r="AF17" i="6"/>
  <c r="AF18" i="6"/>
  <c r="AE175" i="6"/>
  <c r="AE176" i="6"/>
  <c r="AF175" i="6"/>
  <c r="AF176" i="6"/>
  <c r="AB101" i="6"/>
  <c r="AB96" i="6"/>
  <c r="AB95" i="6"/>
  <c r="BH61" i="2"/>
  <c r="BK61" i="2"/>
  <c r="AC24" i="6"/>
  <c r="AC25" i="6"/>
  <c r="BG25" i="2"/>
  <c r="AF25" i="6"/>
  <c r="AF24" i="6"/>
  <c r="AE120" i="6"/>
  <c r="AE121" i="6"/>
  <c r="BK56" i="2"/>
  <c r="AC57" i="6"/>
  <c r="AC58" i="6"/>
  <c r="AC59" i="6"/>
  <c r="BG44" i="2"/>
  <c r="BG85" i="2"/>
  <c r="AC141" i="6"/>
  <c r="AC140" i="6"/>
  <c r="BF80" i="2"/>
  <c r="AD131" i="6"/>
  <c r="AP131" i="6"/>
  <c r="AD130" i="6"/>
  <c r="AP130" i="6"/>
  <c r="AF131" i="6"/>
  <c r="AF130" i="6"/>
  <c r="BF52" i="2"/>
  <c r="BH52" i="2"/>
  <c r="BK52" i="2"/>
  <c r="AD73" i="6"/>
  <c r="AP73" i="6"/>
  <c r="AD72" i="6"/>
  <c r="AP72" i="6"/>
  <c r="AD74" i="6"/>
  <c r="AP74" i="6"/>
  <c r="BF89" i="2"/>
  <c r="BH89" i="2"/>
  <c r="BK89" i="2"/>
  <c r="AD147" i="6"/>
  <c r="AP147" i="6"/>
  <c r="AD149" i="6"/>
  <c r="AP149" i="6"/>
  <c r="AD148" i="6"/>
  <c r="AP148" i="6"/>
  <c r="AF148" i="6"/>
  <c r="AF149" i="6"/>
  <c r="AF147" i="6"/>
  <c r="BF35" i="2"/>
  <c r="AD40" i="6"/>
  <c r="AP40" i="6"/>
  <c r="AD41" i="6"/>
  <c r="AP41" i="6"/>
  <c r="AC6" i="6"/>
  <c r="BG11" i="2"/>
  <c r="AC10" i="6"/>
  <c r="BI15" i="2"/>
  <c r="BL15" i="2"/>
  <c r="AE94" i="6"/>
  <c r="AE93" i="6"/>
  <c r="AE92" i="6"/>
  <c r="AF94" i="6"/>
  <c r="AF92" i="6"/>
  <c r="AF93" i="6"/>
  <c r="AB51" i="6"/>
  <c r="AB50" i="6"/>
  <c r="BG84" i="2"/>
  <c r="AC138" i="6"/>
  <c r="AC139" i="6"/>
  <c r="AC137" i="6"/>
  <c r="AF137" i="6"/>
  <c r="AF139" i="6"/>
  <c r="AF138" i="6"/>
  <c r="BF59" i="2"/>
  <c r="BH59" i="2"/>
  <c r="BK59" i="2"/>
  <c r="AD87" i="6"/>
  <c r="AP87" i="6"/>
  <c r="AD89" i="6"/>
  <c r="AP89" i="6"/>
  <c r="AD88" i="6"/>
  <c r="AP88" i="6"/>
  <c r="AF88" i="6"/>
  <c r="AF87" i="6"/>
  <c r="AF89" i="6"/>
  <c r="AE75" i="6"/>
  <c r="AE76" i="6"/>
  <c r="AE171" i="6"/>
  <c r="AE170" i="6"/>
  <c r="AF171" i="6"/>
  <c r="AF170" i="6"/>
  <c r="BG105" i="2"/>
  <c r="AC180" i="6"/>
  <c r="AC181" i="6"/>
  <c r="BF58" i="2"/>
  <c r="BH58" i="2"/>
  <c r="BK58" i="2"/>
  <c r="AD85" i="6"/>
  <c r="AP85" i="6"/>
  <c r="AD86" i="6"/>
  <c r="AP86" i="6"/>
  <c r="AF85" i="6"/>
  <c r="AF86" i="6"/>
  <c r="AD42" i="6"/>
  <c r="AP42" i="6"/>
  <c r="AD44" i="6"/>
  <c r="AP44" i="6"/>
  <c r="AD43" i="6"/>
  <c r="AP43" i="6"/>
  <c r="BF37" i="2"/>
  <c r="BH37" i="2"/>
  <c r="BK37" i="2"/>
  <c r="AB55" i="6"/>
  <c r="AB56" i="6"/>
  <c r="AF55" i="6"/>
  <c r="AF56" i="6"/>
  <c r="AE179" i="6"/>
  <c r="AE178" i="6"/>
  <c r="AE177" i="6"/>
  <c r="AF134" i="6"/>
  <c r="AF133" i="6"/>
  <c r="AF132" i="6"/>
  <c r="AB45" i="6"/>
  <c r="AB46" i="6"/>
  <c r="AF46" i="6"/>
  <c r="AF45" i="6"/>
  <c r="AE98" i="6"/>
  <c r="AE97" i="6"/>
  <c r="AE99" i="6"/>
  <c r="AF97" i="6"/>
  <c r="AF99" i="6"/>
  <c r="AF98" i="6"/>
  <c r="AB31" i="6"/>
  <c r="AB4" i="6"/>
  <c r="AE13" i="6"/>
  <c r="AE12" i="6"/>
  <c r="AF12" i="6"/>
  <c r="AF13" i="6"/>
  <c r="AC81" i="6"/>
  <c r="AC80" i="6"/>
  <c r="BG55" i="2"/>
  <c r="AE155" i="6"/>
  <c r="AE156" i="6"/>
  <c r="AF156" i="6"/>
  <c r="AF155" i="6"/>
  <c r="AC16" i="6"/>
  <c r="BG19" i="2"/>
  <c r="AE183" i="6"/>
  <c r="AE184" i="6"/>
  <c r="AE182" i="6"/>
  <c r="AF182" i="6"/>
  <c r="AF183" i="6"/>
  <c r="AF184" i="6"/>
  <c r="AE106" i="6"/>
  <c r="AE105" i="6"/>
  <c r="AE124" i="6"/>
  <c r="AE123" i="6"/>
  <c r="AE122" i="6"/>
  <c r="AF123" i="6"/>
  <c r="AF124" i="6"/>
  <c r="AF122" i="6"/>
  <c r="BG90" i="2"/>
  <c r="AC150" i="6"/>
  <c r="AC151" i="6"/>
  <c r="BH31" i="2"/>
  <c r="BK31" i="2"/>
  <c r="AC5" i="6"/>
  <c r="BG10" i="2"/>
  <c r="BI10" i="2"/>
  <c r="BL10" i="2"/>
  <c r="AB53" i="6"/>
  <c r="AB52" i="6"/>
  <c r="AB54" i="6"/>
  <c r="AC128" i="6"/>
  <c r="BG79" i="2"/>
  <c r="AC127" i="6"/>
  <c r="AC129" i="6"/>
  <c r="AF128" i="6"/>
  <c r="AF127" i="6"/>
  <c r="AF129" i="6"/>
  <c r="AE34" i="6"/>
  <c r="AE32" i="6"/>
  <c r="AE33" i="6"/>
  <c r="AB82" i="6"/>
  <c r="AB83" i="6"/>
  <c r="AB84" i="6"/>
  <c r="BK57" i="2"/>
  <c r="AB103" i="6"/>
  <c r="AB104" i="6"/>
  <c r="AB102" i="6"/>
  <c r="AF103" i="6"/>
  <c r="AF102" i="6"/>
  <c r="AF104" i="6"/>
  <c r="BF60" i="2"/>
  <c r="BH60" i="2"/>
  <c r="BK60" i="2"/>
  <c r="AD91" i="6"/>
  <c r="AP91" i="6"/>
  <c r="AD90" i="6"/>
  <c r="AP90" i="6"/>
  <c r="AB108" i="6"/>
  <c r="AB107" i="6"/>
  <c r="AB109" i="6"/>
  <c r="AF109" i="6"/>
  <c r="AF108" i="6"/>
  <c r="AF107" i="6"/>
  <c r="AB71" i="6"/>
  <c r="AB70" i="6"/>
  <c r="AC20" i="6"/>
  <c r="BG22" i="2"/>
  <c r="AB36" i="6"/>
  <c r="AB35" i="6"/>
  <c r="AE160" i="6"/>
  <c r="AE161" i="6"/>
  <c r="AF161" i="6"/>
  <c r="AF160" i="6"/>
  <c r="AC65" i="6"/>
  <c r="AC66" i="6"/>
  <c r="BG48" i="2"/>
  <c r="AE169" i="6"/>
  <c r="AE168" i="6"/>
  <c r="AE167" i="6"/>
  <c r="AF167" i="6"/>
  <c r="AF169" i="6"/>
  <c r="AF168" i="6"/>
  <c r="AK56" i="6"/>
  <c r="BA56" i="6"/>
  <c r="AZ56" i="6"/>
  <c r="AY56" i="6"/>
  <c r="AJ56" i="6"/>
  <c r="BB149" i="6"/>
  <c r="AH149" i="6"/>
  <c r="AY149" i="6"/>
  <c r="AK149" i="6"/>
  <c r="BA149" i="6"/>
  <c r="BB57" i="6"/>
  <c r="AY130" i="6"/>
  <c r="AG130" i="6"/>
  <c r="AS130" i="6" s="1"/>
  <c r="BC62" i="6"/>
  <c r="AJ23" i="6"/>
  <c r="BB55" i="6"/>
  <c r="BC58" i="6"/>
  <c r="AK164" i="6"/>
  <c r="AK132" i="6"/>
  <c r="AH58" i="6"/>
  <c r="AH57" i="6"/>
  <c r="BC164" i="6"/>
  <c r="BA132" i="6"/>
  <c r="AK30" i="6"/>
  <c r="AI151" i="6"/>
  <c r="AO151" i="6" s="1"/>
  <c r="AI77" i="6"/>
  <c r="AO77" i="6" s="1"/>
  <c r="AH132" i="6"/>
  <c r="AY132" i="6"/>
  <c r="AH30" i="6"/>
  <c r="AK77" i="6"/>
  <c r="AI62" i="6"/>
  <c r="AO62" i="6" s="1"/>
  <c r="AH25" i="6"/>
  <c r="AH128" i="6"/>
  <c r="AR128" i="6" s="1"/>
  <c r="AV128" i="6" s="1"/>
  <c r="BI17" i="2"/>
  <c r="BL17" i="2"/>
  <c r="BI71" i="2"/>
  <c r="BL71" i="2"/>
  <c r="AD124" i="6"/>
  <c r="AP124" i="6"/>
  <c r="BK12" i="2"/>
  <c r="AB163" i="6"/>
  <c r="BH101" i="2"/>
  <c r="BI77" i="2"/>
  <c r="BL77" i="2"/>
  <c r="AD122" i="6"/>
  <c r="AP122" i="6"/>
  <c r="AD102" i="6"/>
  <c r="AP102" i="6"/>
  <c r="AB162" i="6"/>
  <c r="BI54" i="2"/>
  <c r="BL54" i="2"/>
  <c r="BL12" i="2"/>
  <c r="BH36" i="2"/>
  <c r="BK36" i="2"/>
  <c r="BI13" i="2"/>
  <c r="BL13" i="2"/>
  <c r="BC132" i="6"/>
  <c r="AJ30" i="6"/>
  <c r="AZ30" i="6"/>
  <c r="BB77" i="6"/>
  <c r="BC25" i="6"/>
  <c r="BA128" i="6"/>
  <c r="AJ132" i="6"/>
  <c r="AI132" i="6"/>
  <c r="AO132" i="6" s="1"/>
  <c r="AG30" i="6"/>
  <c r="AU30" i="6" s="1"/>
  <c r="BB30" i="6"/>
  <c r="BC142" i="6"/>
  <c r="AY77" i="6"/>
  <c r="AI123" i="6"/>
  <c r="AO123" i="6" s="1"/>
  <c r="AZ25" i="6"/>
  <c r="AZ128" i="6"/>
  <c r="BA151" i="6"/>
  <c r="AG77" i="6"/>
  <c r="BA123" i="6"/>
  <c r="BC143" i="6"/>
  <c r="AJ25" i="6"/>
  <c r="BA25" i="6"/>
  <c r="AI167" i="6"/>
  <c r="AO167" i="6"/>
  <c r="AK75" i="6"/>
  <c r="AI128" i="6"/>
  <c r="AO128" i="6" s="1"/>
  <c r="AY128" i="6"/>
  <c r="AI30" i="6"/>
  <c r="AO30" i="6"/>
  <c r="AK142" i="6"/>
  <c r="AH77" i="6"/>
  <c r="BC77" i="6"/>
  <c r="AI140" i="6"/>
  <c r="AO140" i="6"/>
  <c r="AI25" i="6"/>
  <c r="AO25" i="6"/>
  <c r="AQ25" i="6" s="1"/>
  <c r="BB25" i="6"/>
  <c r="BC126" i="6"/>
  <c r="AK28" i="6"/>
  <c r="BA167" i="6"/>
  <c r="BC75" i="6"/>
  <c r="AJ128" i="6"/>
  <c r="BB128" i="6"/>
  <c r="BA148" i="6"/>
  <c r="AK169" i="6"/>
  <c r="AJ59" i="6"/>
  <c r="AJ31" i="6"/>
  <c r="AH130" i="6"/>
  <c r="BB130" i="6"/>
  <c r="BA82" i="6"/>
  <c r="AI57" i="6"/>
  <c r="BC57" i="6"/>
  <c r="AZ23" i="6"/>
  <c r="BA137" i="6"/>
  <c r="BA54" i="6"/>
  <c r="AY164" i="6"/>
  <c r="BA55" i="6"/>
  <c r="AY55" i="6"/>
  <c r="AI74" i="6"/>
  <c r="AO74" i="6" s="1"/>
  <c r="AJ130" i="6"/>
  <c r="BC130" i="6"/>
  <c r="AG26" i="6"/>
  <c r="AJ82" i="6"/>
  <c r="AK57" i="6"/>
  <c r="AY57" i="6"/>
  <c r="AK54" i="6"/>
  <c r="BB54" i="6"/>
  <c r="BB164" i="6"/>
  <c r="AH55" i="6"/>
  <c r="AZ34" i="6"/>
  <c r="BC74" i="6"/>
  <c r="AK130" i="6"/>
  <c r="AZ130" i="6"/>
  <c r="AZ82" i="6"/>
  <c r="AI54" i="6"/>
  <c r="BC54" i="6"/>
  <c r="AH164" i="6"/>
  <c r="BA164" i="6"/>
  <c r="AI55" i="6"/>
  <c r="AO55" i="6" s="1"/>
  <c r="BB74" i="6"/>
  <c r="AK148" i="6"/>
  <c r="AK58" i="6"/>
  <c r="AJ58" i="6"/>
  <c r="AY58" i="6"/>
  <c r="AZ198" i="6"/>
  <c r="BA59" i="6"/>
  <c r="AI125" i="6"/>
  <c r="AO125" i="6"/>
  <c r="BB79" i="6"/>
  <c r="AI31" i="6"/>
  <c r="AO31" i="6" s="1"/>
  <c r="AH169" i="6"/>
  <c r="AK55" i="6"/>
  <c r="BC55" i="6"/>
  <c r="AJ60" i="6"/>
  <c r="AK74" i="6"/>
  <c r="AH74" i="6"/>
  <c r="AZ74" i="6"/>
  <c r="AK78" i="6"/>
  <c r="AI130" i="6"/>
  <c r="AO130" i="6" s="1"/>
  <c r="BA58" i="6"/>
  <c r="AZ58" i="6"/>
  <c r="AI150" i="6"/>
  <c r="AO150" i="6" s="1"/>
  <c r="AZ59" i="6"/>
  <c r="AJ26" i="6"/>
  <c r="AJ77" i="6"/>
  <c r="BA77" i="6"/>
  <c r="AJ125" i="6"/>
  <c r="AJ57" i="6"/>
  <c r="BA57" i="6"/>
  <c r="AH145" i="6"/>
  <c r="AK25" i="6"/>
  <c r="AI23" i="6"/>
  <c r="AO23" i="6" s="1"/>
  <c r="AK126" i="6"/>
  <c r="AJ54" i="6"/>
  <c r="BA39" i="6"/>
  <c r="BB28" i="6"/>
  <c r="AZ31" i="6"/>
  <c r="AJ164" i="6"/>
  <c r="AI164" i="6"/>
  <c r="AO164" i="6" s="1"/>
  <c r="AY169" i="6"/>
  <c r="AJ55" i="6"/>
  <c r="BC60" i="6"/>
  <c r="AY34" i="6"/>
  <c r="AG74" i="6"/>
  <c r="AS74" i="6" s="1"/>
  <c r="AJ74" i="6"/>
  <c r="AI58" i="6"/>
  <c r="AO58" i="6"/>
  <c r="AH198" i="6"/>
  <c r="AY125" i="6"/>
  <c r="AI39" i="6"/>
  <c r="AO39" i="6" s="1"/>
  <c r="AJ73" i="6"/>
  <c r="AY73" i="6"/>
  <c r="AI142" i="6"/>
  <c r="AO142" i="6"/>
  <c r="BA142" i="6"/>
  <c r="AK151" i="6"/>
  <c r="AR151" i="6" s="1"/>
  <c r="AV151" i="6" s="1"/>
  <c r="BB151" i="6"/>
  <c r="AY151" i="6"/>
  <c r="BB123" i="6"/>
  <c r="AY123" i="6"/>
  <c r="AI143" i="6"/>
  <c r="AO143" i="6"/>
  <c r="BA73" i="6"/>
  <c r="AH142" i="6"/>
  <c r="AZ142" i="6"/>
  <c r="AH151" i="6"/>
  <c r="BC151" i="6"/>
  <c r="AH123" i="6"/>
  <c r="BC123" i="6"/>
  <c r="BB140" i="6"/>
  <c r="AH73" i="6"/>
  <c r="AZ73" i="6"/>
  <c r="AJ142" i="6"/>
  <c r="BB142" i="6"/>
  <c r="AG151" i="6"/>
  <c r="AS151" i="6" s="1"/>
  <c r="AJ151" i="6"/>
  <c r="AY40" i="6"/>
  <c r="AK123" i="6"/>
  <c r="AJ123" i="6"/>
  <c r="AH131" i="6"/>
  <c r="AH140" i="6"/>
  <c r="AY140" i="6"/>
  <c r="BA143" i="6"/>
  <c r="AI131" i="6"/>
  <c r="AO131" i="6" s="1"/>
  <c r="AI129" i="6"/>
  <c r="AO129" i="6" s="1"/>
  <c r="AZ129" i="6"/>
  <c r="BA131" i="6"/>
  <c r="AJ140" i="6"/>
  <c r="AZ140" i="6"/>
  <c r="AH143" i="6"/>
  <c r="AY129" i="6"/>
  <c r="BC131" i="6"/>
  <c r="AJ198" i="6"/>
  <c r="BB198" i="6"/>
  <c r="AY198" i="6"/>
  <c r="AH59" i="6"/>
  <c r="AI59" i="6"/>
  <c r="AY59" i="6"/>
  <c r="AK125" i="6"/>
  <c r="AH125" i="6"/>
  <c r="AZ125" i="6"/>
  <c r="AK145" i="6"/>
  <c r="AY145" i="6"/>
  <c r="AJ79" i="6"/>
  <c r="AI79" i="6"/>
  <c r="AO79" i="6" s="1"/>
  <c r="AZ79" i="6"/>
  <c r="BB39" i="6"/>
  <c r="AH31" i="6"/>
  <c r="BA31" i="6"/>
  <c r="AY31" i="6"/>
  <c r="AG169" i="6"/>
  <c r="AS169" i="6" s="1"/>
  <c r="BA169" i="6"/>
  <c r="AJ124" i="6"/>
  <c r="AI60" i="6"/>
  <c r="AO60" i="6" s="1"/>
  <c r="AH60" i="6"/>
  <c r="AZ60" i="6"/>
  <c r="AI198" i="6"/>
  <c r="AO198" i="6" s="1"/>
  <c r="BA198" i="6"/>
  <c r="AK59" i="6"/>
  <c r="BB59" i="6"/>
  <c r="AG125" i="6"/>
  <c r="AU125" i="6" s="1"/>
  <c r="BA125" i="6"/>
  <c r="BA145" i="6"/>
  <c r="AH79" i="6"/>
  <c r="BA79" i="6"/>
  <c r="AY79" i="6"/>
  <c r="AK39" i="6"/>
  <c r="AK31" i="6"/>
  <c r="BC31" i="6"/>
  <c r="AJ169" i="6"/>
  <c r="BC169" i="6"/>
  <c r="AH124" i="6"/>
  <c r="AY124" i="6"/>
  <c r="AK60" i="6"/>
  <c r="BA60" i="6"/>
  <c r="AY60" i="6"/>
  <c r="AK198" i="6"/>
  <c r="BB125" i="6"/>
  <c r="AJ145" i="6"/>
  <c r="AK79" i="6"/>
  <c r="AJ39" i="6"/>
  <c r="AI169" i="6"/>
  <c r="AO169" i="6"/>
  <c r="BB169" i="6"/>
  <c r="AK124" i="6"/>
  <c r="BA62" i="6"/>
  <c r="BC28" i="6"/>
  <c r="AH167" i="6"/>
  <c r="BC167" i="6"/>
  <c r="BB75" i="6"/>
  <c r="BC148" i="6"/>
  <c r="AI73" i="6"/>
  <c r="AO73" i="6"/>
  <c r="BC73" i="6"/>
  <c r="AJ40" i="6"/>
  <c r="AK140" i="6"/>
  <c r="BA140" i="6"/>
  <c r="AH62" i="6"/>
  <c r="AZ62" i="6"/>
  <c r="AG143" i="6"/>
  <c r="AS143" i="6" s="1"/>
  <c r="AJ143" i="6"/>
  <c r="AZ143" i="6"/>
  <c r="AJ126" i="6"/>
  <c r="BB126" i="6"/>
  <c r="AY126" i="6"/>
  <c r="AJ28" i="6"/>
  <c r="BA28" i="6"/>
  <c r="AK167" i="6"/>
  <c r="AJ167" i="6"/>
  <c r="AZ167" i="6"/>
  <c r="AJ75" i="6"/>
  <c r="AI75" i="6"/>
  <c r="AO75" i="6"/>
  <c r="AZ75" i="6"/>
  <c r="AK131" i="6"/>
  <c r="AJ131" i="6"/>
  <c r="AZ131" i="6"/>
  <c r="AJ148" i="6"/>
  <c r="AI148" i="6"/>
  <c r="AO148" i="6" s="1"/>
  <c r="AZ148" i="6"/>
  <c r="BB62" i="6"/>
  <c r="AH126" i="6"/>
  <c r="AZ126" i="6"/>
  <c r="AK73" i="6"/>
  <c r="AI40" i="6"/>
  <c r="AO40" i="6" s="1"/>
  <c r="AH40" i="6"/>
  <c r="AK62" i="6"/>
  <c r="AJ62" i="6"/>
  <c r="AK143" i="6"/>
  <c r="BB143" i="6"/>
  <c r="AI126" i="6"/>
  <c r="AO126" i="6" s="1"/>
  <c r="AQ126" i="6" s="1"/>
  <c r="AI28" i="6"/>
  <c r="AO28" i="6" s="1"/>
  <c r="AQ28" i="6" s="1"/>
  <c r="AH28" i="6"/>
  <c r="BB167" i="6"/>
  <c r="AH75" i="6"/>
  <c r="BA75" i="6"/>
  <c r="AJ129" i="6"/>
  <c r="BB131" i="6"/>
  <c r="AH148" i="6"/>
  <c r="BB148" i="6"/>
  <c r="AK82" i="6"/>
  <c r="AH82" i="6"/>
  <c r="BB82" i="6"/>
  <c r="BB23" i="6"/>
  <c r="AK137" i="6"/>
  <c r="AH137" i="6"/>
  <c r="AY137" i="6"/>
  <c r="AK34" i="6"/>
  <c r="AJ34" i="6"/>
  <c r="BC34" i="6"/>
  <c r="BC82" i="6"/>
  <c r="AH23" i="6"/>
  <c r="BA23" i="6"/>
  <c r="AY23" i="6"/>
  <c r="AJ137" i="6"/>
  <c r="BC137" i="6"/>
  <c r="AI34" i="6"/>
  <c r="AO34" i="6" s="1"/>
  <c r="AQ34" i="6" s="1"/>
  <c r="BB34" i="6"/>
  <c r="AI82" i="6"/>
  <c r="AO82" i="6"/>
  <c r="AQ82" i="6" s="1"/>
  <c r="AK23" i="6"/>
  <c r="AI137" i="6"/>
  <c r="AO137" i="6"/>
  <c r="BB137" i="6"/>
  <c r="AH34" i="6"/>
  <c r="AY103" i="6"/>
  <c r="AZ103" i="6"/>
  <c r="BB103" i="6"/>
  <c r="BC103" i="6"/>
  <c r="BA103" i="6"/>
  <c r="AI103" i="6"/>
  <c r="AO103" i="6" s="1"/>
  <c r="AQ103" i="6" s="1"/>
  <c r="AK103" i="6"/>
  <c r="AJ103" i="6"/>
  <c r="AH103" i="6"/>
  <c r="AZ104" i="6"/>
  <c r="BB104" i="6"/>
  <c r="AY104" i="6"/>
  <c r="BC104" i="6"/>
  <c r="BA104" i="6"/>
  <c r="AH104" i="6"/>
  <c r="AJ104" i="6"/>
  <c r="AI104" i="6"/>
  <c r="AO104" i="6"/>
  <c r="AK104" i="6"/>
  <c r="AY110" i="6"/>
  <c r="AZ110" i="6"/>
  <c r="BC110" i="6"/>
  <c r="BA110" i="6"/>
  <c r="AJ110" i="6"/>
  <c r="BB110" i="6"/>
  <c r="AH110" i="6"/>
  <c r="AK110" i="6"/>
  <c r="AI110" i="6"/>
  <c r="AO110" i="6" s="1"/>
  <c r="AQ110" i="6" s="1"/>
  <c r="AY105" i="6"/>
  <c r="AZ105" i="6"/>
  <c r="BC105" i="6"/>
  <c r="BA105" i="6"/>
  <c r="AG105" i="6"/>
  <c r="AU105" i="6" s="1"/>
  <c r="AK105" i="6"/>
  <c r="AI105" i="6"/>
  <c r="AO105" i="6" s="1"/>
  <c r="AQ105" i="6" s="1"/>
  <c r="AH105" i="6"/>
  <c r="BB105" i="6"/>
  <c r="AJ105" i="6"/>
  <c r="AY111" i="6"/>
  <c r="AZ111" i="6"/>
  <c r="BC111" i="6"/>
  <c r="BA111" i="6"/>
  <c r="AI111" i="6"/>
  <c r="AO111" i="6"/>
  <c r="AG111" i="6"/>
  <c r="AS111" i="6" s="1"/>
  <c r="AK111" i="6"/>
  <c r="BB111" i="6"/>
  <c r="AJ111" i="6"/>
  <c r="AH111" i="6"/>
  <c r="AY90" i="6"/>
  <c r="AZ90" i="6"/>
  <c r="BB90" i="6"/>
  <c r="BC90" i="6"/>
  <c r="AJ90" i="6"/>
  <c r="AH90" i="6"/>
  <c r="BA90" i="6"/>
  <c r="AK90" i="6"/>
  <c r="AI90" i="6"/>
  <c r="AO90" i="6"/>
  <c r="AY92" i="6"/>
  <c r="AZ92" i="6"/>
  <c r="BB92" i="6"/>
  <c r="BC92" i="6"/>
  <c r="AH92" i="6"/>
  <c r="BA92" i="6"/>
  <c r="AJ92" i="6"/>
  <c r="AI92" i="6"/>
  <c r="AO92" i="6" s="1"/>
  <c r="AQ92" i="6" s="1"/>
  <c r="AK92" i="6"/>
  <c r="AY11" i="6"/>
  <c r="AZ11" i="6"/>
  <c r="BB11" i="6"/>
  <c r="BC11" i="6"/>
  <c r="BA11" i="6"/>
  <c r="AK11" i="6"/>
  <c r="AI11" i="6"/>
  <c r="AO11" i="6"/>
  <c r="AJ11" i="6"/>
  <c r="AH11" i="6"/>
  <c r="AZ9" i="6"/>
  <c r="BB9" i="6"/>
  <c r="AY9" i="6"/>
  <c r="BA9" i="6"/>
  <c r="BC9" i="6"/>
  <c r="AI9" i="6"/>
  <c r="AO9" i="6" s="1"/>
  <c r="AQ9" i="6" s="1"/>
  <c r="AK9" i="6"/>
  <c r="AH9" i="6"/>
  <c r="AJ9" i="6"/>
  <c r="AZ4" i="6"/>
  <c r="AY4" i="6"/>
  <c r="BA4" i="6"/>
  <c r="BC4" i="6"/>
  <c r="BB4" i="6"/>
  <c r="AJ4" i="6"/>
  <c r="AH4" i="6"/>
  <c r="AI4" i="6"/>
  <c r="AO4" i="6"/>
  <c r="AK4" i="6"/>
  <c r="P102" i="6"/>
  <c r="P97" i="6"/>
  <c r="AZ178" i="6"/>
  <c r="BC178" i="6"/>
  <c r="BA178" i="6"/>
  <c r="BB178" i="6"/>
  <c r="AK178" i="6"/>
  <c r="AY178" i="6"/>
  <c r="AI178" i="6"/>
  <c r="AO178" i="6"/>
  <c r="AJ178" i="6"/>
  <c r="AH178" i="6"/>
  <c r="AY173" i="6"/>
  <c r="AZ173" i="6"/>
  <c r="BC173" i="6"/>
  <c r="BA173" i="6"/>
  <c r="AH173" i="6"/>
  <c r="AJ173" i="6"/>
  <c r="BB173" i="6"/>
  <c r="AK173" i="6"/>
  <c r="AI173" i="6"/>
  <c r="AO173" i="6" s="1"/>
  <c r="AQ173" i="6" s="1"/>
  <c r="AY49" i="6"/>
  <c r="AZ49" i="6"/>
  <c r="BC49" i="6"/>
  <c r="BB49" i="6"/>
  <c r="BA49" i="6"/>
  <c r="AK49" i="6"/>
  <c r="AI49" i="6"/>
  <c r="AO49" i="6" s="1"/>
  <c r="AQ49" i="6" s="1"/>
  <c r="AJ49" i="6"/>
  <c r="AH49" i="6"/>
  <c r="AY64" i="6"/>
  <c r="AZ64" i="6"/>
  <c r="BB64" i="6"/>
  <c r="BC64" i="6"/>
  <c r="BA64" i="6"/>
  <c r="AH64" i="6"/>
  <c r="AJ64" i="6"/>
  <c r="AK64" i="6"/>
  <c r="AI64" i="6"/>
  <c r="AY170" i="6"/>
  <c r="AZ170" i="6"/>
  <c r="BC170" i="6"/>
  <c r="BA170" i="6"/>
  <c r="BB170" i="6"/>
  <c r="AK170" i="6"/>
  <c r="AI170" i="6"/>
  <c r="AO170" i="6"/>
  <c r="AJ170" i="6"/>
  <c r="AH170" i="6"/>
  <c r="AY196" i="6"/>
  <c r="AZ196" i="6"/>
  <c r="BC196" i="6"/>
  <c r="BA196" i="6"/>
  <c r="BB196" i="6"/>
  <c r="AI196" i="6"/>
  <c r="AO196" i="6" s="1"/>
  <c r="AK196" i="6"/>
  <c r="AH196" i="6"/>
  <c r="AJ196" i="6"/>
  <c r="AZ141" i="6"/>
  <c r="AY141" i="6"/>
  <c r="BC141" i="6"/>
  <c r="BA141" i="6"/>
  <c r="AH141" i="6"/>
  <c r="AJ141" i="6"/>
  <c r="BB141" i="6"/>
  <c r="AK141" i="6"/>
  <c r="AI141" i="6"/>
  <c r="AO141" i="6"/>
  <c r="P21" i="6"/>
  <c r="AZ33" i="6"/>
  <c r="AY33" i="6"/>
  <c r="BB33" i="6"/>
  <c r="BA33" i="6"/>
  <c r="BC33" i="6"/>
  <c r="AK33" i="6"/>
  <c r="AI33" i="6"/>
  <c r="AO33" i="6"/>
  <c r="AJ33" i="6"/>
  <c r="AH33" i="6"/>
  <c r="P187" i="6"/>
  <c r="P185" i="6"/>
  <c r="AZ46" i="6"/>
  <c r="AY46" i="6"/>
  <c r="BC46" i="6"/>
  <c r="BB46" i="6"/>
  <c r="BA46" i="6"/>
  <c r="AJ46" i="6"/>
  <c r="AH46" i="6"/>
  <c r="AI46" i="6"/>
  <c r="AO46" i="6" s="1"/>
  <c r="AQ46" i="6" s="1"/>
  <c r="AK46" i="6"/>
  <c r="AY68" i="6"/>
  <c r="AZ68" i="6"/>
  <c r="BB68" i="6"/>
  <c r="BC68" i="6"/>
  <c r="AH68" i="6"/>
  <c r="BA68" i="6"/>
  <c r="AJ68" i="6"/>
  <c r="AK68" i="6"/>
  <c r="AI68" i="6"/>
  <c r="AO68" i="6"/>
  <c r="AY163" i="6"/>
  <c r="AZ163" i="6"/>
  <c r="BC163" i="6"/>
  <c r="BA163" i="6"/>
  <c r="BB163" i="6"/>
  <c r="AJ163" i="6"/>
  <c r="AH163" i="6"/>
  <c r="AI163" i="6"/>
  <c r="AO163" i="6" s="1"/>
  <c r="AQ163" i="6" s="1"/>
  <c r="AK163" i="6"/>
  <c r="AZ200" i="6"/>
  <c r="BC200" i="6"/>
  <c r="AY200" i="6"/>
  <c r="BA200" i="6"/>
  <c r="BB200" i="6"/>
  <c r="AI200" i="6"/>
  <c r="AO200" i="6"/>
  <c r="AG200" i="6"/>
  <c r="AU200" i="6" s="1"/>
  <c r="AK200" i="6"/>
  <c r="AH200" i="6"/>
  <c r="AJ200" i="6"/>
  <c r="P14" i="6"/>
  <c r="P186" i="6"/>
  <c r="AZ50" i="6"/>
  <c r="BC50" i="6"/>
  <c r="BB50" i="6"/>
  <c r="BA50" i="6"/>
  <c r="AJ50" i="6"/>
  <c r="AY50" i="6"/>
  <c r="AH50" i="6"/>
  <c r="AI50" i="6"/>
  <c r="AO50" i="6" s="1"/>
  <c r="AQ50" i="6" s="1"/>
  <c r="AG50" i="6"/>
  <c r="AS50" i="6" s="1"/>
  <c r="AK50" i="6"/>
  <c r="AZ72" i="6"/>
  <c r="BB72" i="6"/>
  <c r="BC72" i="6"/>
  <c r="AY72" i="6"/>
  <c r="BA72" i="6"/>
  <c r="AH72" i="6"/>
  <c r="AJ72" i="6"/>
  <c r="AK72" i="6"/>
  <c r="AI72" i="6"/>
  <c r="AO72" i="6"/>
  <c r="AY153" i="6"/>
  <c r="AZ153" i="6"/>
  <c r="BC153" i="6"/>
  <c r="BA153" i="6"/>
  <c r="AH153" i="6"/>
  <c r="BB153" i="6"/>
  <c r="AJ153" i="6"/>
  <c r="AK153" i="6"/>
  <c r="AI153" i="6"/>
  <c r="AO153" i="6" s="1"/>
  <c r="AY202" i="6"/>
  <c r="AZ202" i="6"/>
  <c r="BB202" i="6"/>
  <c r="BA202" i="6"/>
  <c r="BC202" i="6"/>
  <c r="AK202" i="6"/>
  <c r="AI202" i="6"/>
  <c r="AO202" i="6"/>
  <c r="AJ202" i="6"/>
  <c r="AH202" i="6"/>
  <c r="P112" i="6"/>
  <c r="AY27" i="6"/>
  <c r="AZ27" i="6"/>
  <c r="BB27" i="6"/>
  <c r="BC27" i="6"/>
  <c r="BA27" i="6"/>
  <c r="AI27" i="6"/>
  <c r="AO27" i="6"/>
  <c r="AK27" i="6"/>
  <c r="AH27" i="6"/>
  <c r="AJ27" i="6"/>
  <c r="P183" i="6"/>
  <c r="AZ114" i="6"/>
  <c r="BC114" i="6"/>
  <c r="AY114" i="6"/>
  <c r="BA114" i="6"/>
  <c r="AJ114" i="6"/>
  <c r="BB114" i="6"/>
  <c r="AH114" i="6"/>
  <c r="AK114" i="6"/>
  <c r="AI114" i="6"/>
  <c r="AO114" i="6"/>
  <c r="AZ168" i="6"/>
  <c r="AY168" i="6"/>
  <c r="BC168" i="6"/>
  <c r="BA168" i="6"/>
  <c r="BB168" i="6"/>
  <c r="AI168" i="6"/>
  <c r="AO168" i="6" s="1"/>
  <c r="AK168" i="6"/>
  <c r="AH168" i="6"/>
  <c r="AJ168" i="6"/>
  <c r="AZ162" i="6"/>
  <c r="AY162" i="6"/>
  <c r="BC162" i="6"/>
  <c r="BA162" i="6"/>
  <c r="BB162" i="6"/>
  <c r="AK162" i="6"/>
  <c r="AI162" i="6"/>
  <c r="AO162" i="6"/>
  <c r="AJ162" i="6"/>
  <c r="AH162" i="6"/>
  <c r="AY91" i="6"/>
  <c r="AZ91" i="6"/>
  <c r="BB91" i="6"/>
  <c r="BC91" i="6"/>
  <c r="BA91" i="6"/>
  <c r="AI91" i="6"/>
  <c r="AO91" i="6" s="1"/>
  <c r="AK91" i="6"/>
  <c r="AJ91" i="6"/>
  <c r="AH91" i="6"/>
  <c r="AY86" i="6"/>
  <c r="AZ86" i="6"/>
  <c r="BB86" i="6"/>
  <c r="BC86" i="6"/>
  <c r="AJ86" i="6"/>
  <c r="AH86" i="6"/>
  <c r="BA86" i="6"/>
  <c r="AI86" i="6"/>
  <c r="AO86" i="6"/>
  <c r="AK86" i="6"/>
  <c r="AY88" i="6"/>
  <c r="AZ88" i="6"/>
  <c r="BB88" i="6"/>
  <c r="BC88" i="6"/>
  <c r="BA88" i="6"/>
  <c r="AH88" i="6"/>
  <c r="AJ88" i="6"/>
  <c r="AI88" i="6"/>
  <c r="AO88" i="6" s="1"/>
  <c r="AQ88" i="6" s="1"/>
  <c r="AK88" i="6"/>
  <c r="AY7" i="6"/>
  <c r="AZ7" i="6"/>
  <c r="BB7" i="6"/>
  <c r="BC7" i="6"/>
  <c r="BA7" i="6"/>
  <c r="AK7" i="6"/>
  <c r="AI7" i="6"/>
  <c r="AO7" i="6"/>
  <c r="AJ7" i="6"/>
  <c r="AH7" i="6"/>
  <c r="AZ5" i="6"/>
  <c r="AY5" i="6"/>
  <c r="BB5" i="6"/>
  <c r="BA5" i="6"/>
  <c r="BC5" i="6"/>
  <c r="AI5" i="6"/>
  <c r="AO5" i="6" s="1"/>
  <c r="AQ5" i="6" s="1"/>
  <c r="AK5" i="6"/>
  <c r="AH5" i="6"/>
  <c r="AJ5" i="6"/>
  <c r="P98" i="6"/>
  <c r="P93" i="6"/>
  <c r="AY179" i="6"/>
  <c r="AZ179" i="6"/>
  <c r="BC179" i="6"/>
  <c r="BA179" i="6"/>
  <c r="BB179" i="6"/>
  <c r="AJ179" i="6"/>
  <c r="AH179" i="6"/>
  <c r="AI179" i="6"/>
  <c r="AO179" i="6" s="1"/>
  <c r="AQ179" i="6" s="1"/>
  <c r="AK179" i="6"/>
  <c r="AY174" i="6"/>
  <c r="AZ174" i="6"/>
  <c r="BC174" i="6"/>
  <c r="BA174" i="6"/>
  <c r="BB174" i="6"/>
  <c r="AK174" i="6"/>
  <c r="AI174" i="6"/>
  <c r="AO174" i="6"/>
  <c r="AJ174" i="6"/>
  <c r="AH174" i="6"/>
  <c r="AY180" i="6"/>
  <c r="AZ180" i="6"/>
  <c r="BC180" i="6"/>
  <c r="BA180" i="6"/>
  <c r="BB180" i="6"/>
  <c r="AI180" i="6"/>
  <c r="AO180" i="6" s="1"/>
  <c r="AK180" i="6"/>
  <c r="AH180" i="6"/>
  <c r="AJ180" i="6"/>
  <c r="AY47" i="6"/>
  <c r="AZ47" i="6"/>
  <c r="BC47" i="6"/>
  <c r="BB47" i="6"/>
  <c r="AI47" i="6"/>
  <c r="AK47" i="6"/>
  <c r="BA47" i="6"/>
  <c r="AH47" i="6"/>
  <c r="AJ47" i="6"/>
  <c r="AY69" i="6"/>
  <c r="AZ69" i="6"/>
  <c r="BB69" i="6"/>
  <c r="BC69" i="6"/>
  <c r="BA69" i="6"/>
  <c r="AK69" i="6"/>
  <c r="AI69" i="6"/>
  <c r="AO69" i="6"/>
  <c r="AJ69" i="6"/>
  <c r="AH69" i="6"/>
  <c r="AY156" i="6"/>
  <c r="AZ156" i="6"/>
  <c r="BC156" i="6"/>
  <c r="BA156" i="6"/>
  <c r="BB156" i="6"/>
  <c r="AI156" i="6"/>
  <c r="AO156" i="6" s="1"/>
  <c r="AQ156" i="6" s="1"/>
  <c r="AK156" i="6"/>
  <c r="AH156" i="6"/>
  <c r="AJ156" i="6"/>
  <c r="AY197" i="6"/>
  <c r="AZ197" i="6"/>
  <c r="BC197" i="6"/>
  <c r="BA197" i="6"/>
  <c r="AH197" i="6"/>
  <c r="AJ197" i="6"/>
  <c r="AK197" i="6"/>
  <c r="BB197" i="6"/>
  <c r="AI197" i="6"/>
  <c r="AO197" i="6"/>
  <c r="P15" i="6"/>
  <c r="AZ38" i="6"/>
  <c r="AY38" i="6"/>
  <c r="BC38" i="6"/>
  <c r="BB38" i="6"/>
  <c r="BA38" i="6"/>
  <c r="AJ38" i="6"/>
  <c r="AH38" i="6"/>
  <c r="AI38" i="6"/>
  <c r="AO38" i="6"/>
  <c r="AK38" i="6"/>
  <c r="AZ32" i="6"/>
  <c r="BA32" i="6"/>
  <c r="BC32" i="6"/>
  <c r="AY32" i="6"/>
  <c r="BB32" i="6"/>
  <c r="AH32" i="6"/>
  <c r="AJ32" i="6"/>
  <c r="AK32" i="6"/>
  <c r="AI32" i="6"/>
  <c r="AO32" i="6" s="1"/>
  <c r="AQ32" i="6" s="1"/>
  <c r="AY51" i="6"/>
  <c r="AZ51" i="6"/>
  <c r="BC51" i="6"/>
  <c r="BB51" i="6"/>
  <c r="BA51" i="6"/>
  <c r="AI51" i="6"/>
  <c r="AO51" i="6"/>
  <c r="AK51" i="6"/>
  <c r="AH51" i="6"/>
  <c r="AJ51" i="6"/>
  <c r="AY66" i="6"/>
  <c r="AZ66" i="6"/>
  <c r="BB66" i="6"/>
  <c r="BC66" i="6"/>
  <c r="AJ66" i="6"/>
  <c r="AH66" i="6"/>
  <c r="AI66" i="6"/>
  <c r="AO66" i="6"/>
  <c r="BA66" i="6"/>
  <c r="AK66" i="6"/>
  <c r="AY160" i="6"/>
  <c r="AZ160" i="6"/>
  <c r="BC160" i="6"/>
  <c r="BA160" i="6"/>
  <c r="BB160" i="6"/>
  <c r="AI160" i="6"/>
  <c r="AO160" i="6"/>
  <c r="AK160" i="6"/>
  <c r="AH160" i="6"/>
  <c r="AJ160" i="6"/>
  <c r="AY201" i="6"/>
  <c r="AZ201" i="6"/>
  <c r="BA201" i="6"/>
  <c r="BC201" i="6"/>
  <c r="AH201" i="6"/>
  <c r="BB201" i="6"/>
  <c r="AJ201" i="6"/>
  <c r="AK201" i="6"/>
  <c r="AI201" i="6"/>
  <c r="AO201" i="6" s="1"/>
  <c r="AQ201" i="6" s="1"/>
  <c r="AY134" i="6"/>
  <c r="AZ134" i="6"/>
  <c r="BC134" i="6"/>
  <c r="BA134" i="6"/>
  <c r="BB134" i="6"/>
  <c r="AK134" i="6"/>
  <c r="AI134" i="6"/>
  <c r="AO134" i="6"/>
  <c r="AJ134" i="6"/>
  <c r="AH134" i="6"/>
  <c r="P19" i="6"/>
  <c r="AZ37" i="6"/>
  <c r="BB37" i="6"/>
  <c r="AY37" i="6"/>
  <c r="BA37" i="6"/>
  <c r="BC37" i="6"/>
  <c r="AK37" i="6"/>
  <c r="AI37" i="6"/>
  <c r="AO37" i="6"/>
  <c r="AJ37" i="6"/>
  <c r="AH37" i="6"/>
  <c r="P191" i="6"/>
  <c r="P17" i="6"/>
  <c r="AY116" i="6"/>
  <c r="AZ116" i="6"/>
  <c r="BC116" i="6"/>
  <c r="BA116" i="6"/>
  <c r="BB116" i="6"/>
  <c r="AH116" i="6"/>
  <c r="AJ116" i="6"/>
  <c r="AI116" i="6"/>
  <c r="AO116" i="6" s="1"/>
  <c r="AK116" i="6"/>
  <c r="AY70" i="6"/>
  <c r="AZ70" i="6"/>
  <c r="BB70" i="6"/>
  <c r="BC70" i="6"/>
  <c r="AJ70" i="6"/>
  <c r="AH70" i="6"/>
  <c r="BA70" i="6"/>
  <c r="AI70" i="6"/>
  <c r="AO70" i="6"/>
  <c r="AK70" i="6"/>
  <c r="AY158" i="6"/>
  <c r="AZ158" i="6"/>
  <c r="BC158" i="6"/>
  <c r="BA158" i="6"/>
  <c r="BB158" i="6"/>
  <c r="AK158" i="6"/>
  <c r="AI158" i="6"/>
  <c r="AO158" i="6" s="1"/>
  <c r="AQ158" i="6" s="1"/>
  <c r="AJ158" i="6"/>
  <c r="AH158" i="6"/>
  <c r="AY194" i="6"/>
  <c r="AZ194" i="6"/>
  <c r="BC194" i="6"/>
  <c r="BA194" i="6"/>
  <c r="BB194" i="6"/>
  <c r="AK194" i="6"/>
  <c r="AI194" i="6"/>
  <c r="AO194" i="6"/>
  <c r="AJ194" i="6"/>
  <c r="AH194" i="6"/>
  <c r="P13" i="6"/>
  <c r="AZ45" i="6"/>
  <c r="BC45" i="6"/>
  <c r="AY45" i="6"/>
  <c r="BB45" i="6"/>
  <c r="BA45" i="6"/>
  <c r="AK45" i="6"/>
  <c r="AI45" i="6"/>
  <c r="AO45" i="6"/>
  <c r="AJ45" i="6"/>
  <c r="AH45" i="6"/>
  <c r="AY119" i="6"/>
  <c r="AZ119" i="6"/>
  <c r="BC119" i="6"/>
  <c r="BA119" i="6"/>
  <c r="AI119" i="6"/>
  <c r="AO119" i="6"/>
  <c r="BB119" i="6"/>
  <c r="AJ119" i="6"/>
  <c r="AH119" i="6"/>
  <c r="AK119" i="6"/>
  <c r="AY166" i="6"/>
  <c r="AZ166" i="6"/>
  <c r="BC166" i="6"/>
  <c r="BA166" i="6"/>
  <c r="BB166" i="6"/>
  <c r="AK166" i="6"/>
  <c r="AI166" i="6"/>
  <c r="AO166" i="6"/>
  <c r="AJ166" i="6"/>
  <c r="AH166" i="6"/>
  <c r="AY80" i="6"/>
  <c r="AZ80" i="6"/>
  <c r="BB80" i="6"/>
  <c r="BC80" i="6"/>
  <c r="BA80" i="6"/>
  <c r="AH80" i="6"/>
  <c r="AJ80" i="6"/>
  <c r="AK80" i="6"/>
  <c r="AI80" i="6"/>
  <c r="AO80" i="6" s="1"/>
  <c r="AQ80" i="6" s="1"/>
  <c r="AY87" i="6"/>
  <c r="AZ87" i="6"/>
  <c r="BB87" i="6"/>
  <c r="BC87" i="6"/>
  <c r="BA87" i="6"/>
  <c r="AI87" i="6"/>
  <c r="AO87" i="6"/>
  <c r="AK87" i="6"/>
  <c r="AJ87" i="6"/>
  <c r="AH87" i="6"/>
  <c r="AY89" i="6"/>
  <c r="AZ89" i="6"/>
  <c r="BB89" i="6"/>
  <c r="BC89" i="6"/>
  <c r="BA89" i="6"/>
  <c r="AK89" i="6"/>
  <c r="AI89" i="6"/>
  <c r="AO89" i="6" s="1"/>
  <c r="AQ89" i="6" s="1"/>
  <c r="AH89" i="6"/>
  <c r="AJ89" i="6"/>
  <c r="AY84" i="6"/>
  <c r="AZ84" i="6"/>
  <c r="BB84" i="6"/>
  <c r="BC84" i="6"/>
  <c r="AH84" i="6"/>
  <c r="BA84" i="6"/>
  <c r="AJ84" i="6"/>
  <c r="AK84" i="6"/>
  <c r="AI84" i="6"/>
  <c r="AO84" i="6"/>
  <c r="AZ10" i="6"/>
  <c r="BC10" i="6"/>
  <c r="BA10" i="6"/>
  <c r="AY10" i="6"/>
  <c r="BB10" i="6"/>
  <c r="AH10" i="6"/>
  <c r="AJ10" i="6"/>
  <c r="AG10" i="6"/>
  <c r="AK10" i="6"/>
  <c r="AI10" i="6"/>
  <c r="AZ12" i="6"/>
  <c r="AY12" i="6"/>
  <c r="BA12" i="6"/>
  <c r="BC12" i="6"/>
  <c r="BB12" i="6"/>
  <c r="AJ12" i="6"/>
  <c r="AH12" i="6"/>
  <c r="AI12" i="6"/>
  <c r="AO12" i="6" s="1"/>
  <c r="AQ12" i="6" s="1"/>
  <c r="AK12" i="6"/>
  <c r="AG12" i="6"/>
  <c r="AU12" i="6" s="1"/>
  <c r="P99" i="6"/>
  <c r="P94" i="6"/>
  <c r="P100" i="6"/>
  <c r="AY175" i="6"/>
  <c r="AZ175" i="6"/>
  <c r="BC175" i="6"/>
  <c r="BA175" i="6"/>
  <c r="BB175" i="6"/>
  <c r="AJ175" i="6"/>
  <c r="AH175" i="6"/>
  <c r="AI175" i="6"/>
  <c r="AO175" i="6" s="1"/>
  <c r="AK175" i="6"/>
  <c r="AY181" i="6"/>
  <c r="AZ181" i="6"/>
  <c r="BC181" i="6"/>
  <c r="BA181" i="6"/>
  <c r="AH181" i="6"/>
  <c r="AJ181" i="6"/>
  <c r="AK181" i="6"/>
  <c r="BB181" i="6"/>
  <c r="AI181" i="6"/>
  <c r="AO181" i="6"/>
  <c r="AQ181" i="6" s="1"/>
  <c r="AY176" i="6"/>
  <c r="AZ176" i="6"/>
  <c r="BC176" i="6"/>
  <c r="BA176" i="6"/>
  <c r="BB176" i="6"/>
  <c r="AI176" i="6"/>
  <c r="AK176" i="6"/>
  <c r="AH176" i="6"/>
  <c r="AJ176" i="6"/>
  <c r="AY113" i="6"/>
  <c r="AZ113" i="6"/>
  <c r="BC113" i="6"/>
  <c r="BA113" i="6"/>
  <c r="AK113" i="6"/>
  <c r="AI113" i="6"/>
  <c r="AO113" i="6" s="1"/>
  <c r="AQ113" i="6" s="1"/>
  <c r="BB113" i="6"/>
  <c r="AH113" i="6"/>
  <c r="AJ113" i="6"/>
  <c r="AY67" i="6"/>
  <c r="AZ67" i="6"/>
  <c r="BB67" i="6"/>
  <c r="BC67" i="6"/>
  <c r="BA67" i="6"/>
  <c r="AI67" i="6"/>
  <c r="AO67" i="6" s="1"/>
  <c r="AQ67" i="6" s="1"/>
  <c r="AK67" i="6"/>
  <c r="AH67" i="6"/>
  <c r="AJ67" i="6"/>
  <c r="AY161" i="6"/>
  <c r="AZ161" i="6"/>
  <c r="BC161" i="6"/>
  <c r="BA161" i="6"/>
  <c r="BB161" i="6"/>
  <c r="AH161" i="6"/>
  <c r="AJ161" i="6"/>
  <c r="AK161" i="6"/>
  <c r="AI161" i="6"/>
  <c r="AO161" i="6"/>
  <c r="AY195" i="6"/>
  <c r="AZ195" i="6"/>
  <c r="BC195" i="6"/>
  <c r="BA195" i="6"/>
  <c r="BB195" i="6"/>
  <c r="AJ195" i="6"/>
  <c r="AH195" i="6"/>
  <c r="AI195" i="6"/>
  <c r="AO195" i="6" s="1"/>
  <c r="AQ195" i="6" s="1"/>
  <c r="AK195" i="6"/>
  <c r="AY152" i="6"/>
  <c r="AZ152" i="6"/>
  <c r="BC152" i="6"/>
  <c r="BA152" i="6"/>
  <c r="BB152" i="6"/>
  <c r="AI152" i="6"/>
  <c r="AO152" i="6"/>
  <c r="AK152" i="6"/>
  <c r="AH152" i="6"/>
  <c r="AJ152" i="6"/>
  <c r="P109" i="6"/>
  <c r="P184" i="6"/>
  <c r="AY117" i="6"/>
  <c r="AZ117" i="6"/>
  <c r="BC117" i="6"/>
  <c r="BA117" i="6"/>
  <c r="AK117" i="6"/>
  <c r="AI117" i="6"/>
  <c r="AO117" i="6"/>
  <c r="AH117" i="6"/>
  <c r="AJ117" i="6"/>
  <c r="BB117" i="6"/>
  <c r="AY71" i="6"/>
  <c r="AZ71" i="6"/>
  <c r="BB71" i="6"/>
  <c r="BC71" i="6"/>
  <c r="BA71" i="6"/>
  <c r="AI71" i="6"/>
  <c r="AG71" i="6"/>
  <c r="AU71" i="6" s="1"/>
  <c r="AK71" i="6"/>
  <c r="AH71" i="6"/>
  <c r="AJ71" i="6"/>
  <c r="AY154" i="6"/>
  <c r="AZ154" i="6"/>
  <c r="BC154" i="6"/>
  <c r="BA154" i="6"/>
  <c r="BB154" i="6"/>
  <c r="AK154" i="6"/>
  <c r="AI154" i="6"/>
  <c r="AO154" i="6"/>
  <c r="AJ154" i="6"/>
  <c r="AH154" i="6"/>
  <c r="AY199" i="6"/>
  <c r="AZ199" i="6"/>
  <c r="BC199" i="6"/>
  <c r="BA199" i="6"/>
  <c r="BB199" i="6"/>
  <c r="AJ199" i="6"/>
  <c r="AH199" i="6"/>
  <c r="AI199" i="6"/>
  <c r="AO199" i="6" s="1"/>
  <c r="AQ199" i="6" s="1"/>
  <c r="AK199" i="6"/>
  <c r="AY139" i="6"/>
  <c r="AZ139" i="6"/>
  <c r="BC139" i="6"/>
  <c r="BA139" i="6"/>
  <c r="BB139" i="6"/>
  <c r="AJ139" i="6"/>
  <c r="AH139" i="6"/>
  <c r="AI139" i="6"/>
  <c r="AO139" i="6"/>
  <c r="AG139" i="6"/>
  <c r="AU139" i="6" s="1"/>
  <c r="AK139" i="6"/>
  <c r="P108" i="6"/>
  <c r="AZ42" i="6"/>
  <c r="AY42" i="6"/>
  <c r="BC42" i="6"/>
  <c r="BB42" i="6"/>
  <c r="BA42" i="6"/>
  <c r="AJ42" i="6"/>
  <c r="AH42" i="6"/>
  <c r="AI42" i="6"/>
  <c r="AO42" i="6"/>
  <c r="AG42" i="6"/>
  <c r="AU42" i="6" s="1"/>
  <c r="AK42" i="6"/>
  <c r="AY121" i="6"/>
  <c r="AZ121" i="6"/>
  <c r="BC121" i="6"/>
  <c r="BA121" i="6"/>
  <c r="AH121" i="6"/>
  <c r="BB121" i="6"/>
  <c r="AJ121" i="6"/>
  <c r="AK121" i="6"/>
  <c r="AI121" i="6"/>
  <c r="AO121" i="6" s="1"/>
  <c r="AQ121" i="6" s="1"/>
  <c r="AY138" i="6"/>
  <c r="AZ138" i="6"/>
  <c r="BC138" i="6"/>
  <c r="BA138" i="6"/>
  <c r="BB138" i="6"/>
  <c r="AK138" i="6"/>
  <c r="AI138" i="6"/>
  <c r="AO138" i="6"/>
  <c r="AJ138" i="6"/>
  <c r="AH138" i="6"/>
  <c r="P18" i="6"/>
  <c r="AZ36" i="6"/>
  <c r="BA36" i="6"/>
  <c r="AY36" i="6"/>
  <c r="BC36" i="6"/>
  <c r="BB36" i="6"/>
  <c r="AH36" i="6"/>
  <c r="AJ36" i="6"/>
  <c r="AK36" i="6"/>
  <c r="AI36" i="6"/>
  <c r="AO36" i="6"/>
  <c r="P192" i="6"/>
  <c r="P22" i="6"/>
  <c r="AY43" i="6"/>
  <c r="AZ43" i="6"/>
  <c r="BC43" i="6"/>
  <c r="BB43" i="6"/>
  <c r="AI43" i="6"/>
  <c r="AO43" i="6"/>
  <c r="BA43" i="6"/>
  <c r="AK43" i="6"/>
  <c r="AH43" i="6"/>
  <c r="AJ43" i="6"/>
  <c r="AY65" i="6"/>
  <c r="AZ65" i="6"/>
  <c r="BB65" i="6"/>
  <c r="BC65" i="6"/>
  <c r="BA65" i="6"/>
  <c r="AK65" i="6"/>
  <c r="AI65" i="6"/>
  <c r="AO65" i="6"/>
  <c r="AJ65" i="6"/>
  <c r="AH65" i="6"/>
  <c r="AY171" i="6"/>
  <c r="AZ171" i="6"/>
  <c r="BC171" i="6"/>
  <c r="BA171" i="6"/>
  <c r="BB171" i="6"/>
  <c r="AJ171" i="6"/>
  <c r="AH171" i="6"/>
  <c r="AI171" i="6"/>
  <c r="AO171" i="6" s="1"/>
  <c r="AQ171" i="6" s="1"/>
  <c r="AK171" i="6"/>
  <c r="AO47" i="6"/>
  <c r="AY83" i="6"/>
  <c r="AZ83" i="6"/>
  <c r="BB83" i="6"/>
  <c r="BC83" i="6"/>
  <c r="BA83" i="6"/>
  <c r="AI83" i="6"/>
  <c r="AO83" i="6" s="1"/>
  <c r="AQ83" i="6" s="1"/>
  <c r="AK83" i="6"/>
  <c r="AH83" i="6"/>
  <c r="AJ83" i="6"/>
  <c r="AY85" i="6"/>
  <c r="AZ85" i="6"/>
  <c r="BB85" i="6"/>
  <c r="BC85" i="6"/>
  <c r="BA85" i="6"/>
  <c r="AK85" i="6"/>
  <c r="AI85" i="6"/>
  <c r="AO85" i="6"/>
  <c r="AJ85" i="6"/>
  <c r="AH85" i="6"/>
  <c r="BA3" i="6"/>
  <c r="AY3" i="6"/>
  <c r="AZ3" i="6"/>
  <c r="BB3" i="6"/>
  <c r="BC3" i="6"/>
  <c r="AH3" i="6"/>
  <c r="AJ3" i="6"/>
  <c r="AK3" i="6"/>
  <c r="AI3" i="6"/>
  <c r="AZ6" i="6"/>
  <c r="AY6" i="6"/>
  <c r="BC6" i="6"/>
  <c r="BA6" i="6"/>
  <c r="BB6" i="6"/>
  <c r="AH6" i="6"/>
  <c r="AJ6" i="6"/>
  <c r="AK6" i="6"/>
  <c r="AI6" i="6"/>
  <c r="AO6" i="6" s="1"/>
  <c r="AQ6" i="6" s="1"/>
  <c r="AZ8" i="6"/>
  <c r="BA8" i="6"/>
  <c r="BC8" i="6"/>
  <c r="AJ8" i="6"/>
  <c r="AH8" i="6"/>
  <c r="AI8" i="6"/>
  <c r="AO8" i="6"/>
  <c r="BB8" i="6"/>
  <c r="AK8" i="6"/>
  <c r="AY8" i="6"/>
  <c r="P95" i="6"/>
  <c r="P101" i="6"/>
  <c r="P96" i="6"/>
  <c r="AY182" i="6"/>
  <c r="AZ182" i="6"/>
  <c r="BC182" i="6"/>
  <c r="BA182" i="6"/>
  <c r="BB182" i="6"/>
  <c r="AK182" i="6"/>
  <c r="AI182" i="6"/>
  <c r="AO182" i="6" s="1"/>
  <c r="AQ182" i="6" s="1"/>
  <c r="AJ182" i="6"/>
  <c r="AH182" i="6"/>
  <c r="AY177" i="6"/>
  <c r="AZ177" i="6"/>
  <c r="BC177" i="6"/>
  <c r="BA177" i="6"/>
  <c r="BB177" i="6"/>
  <c r="AH177" i="6"/>
  <c r="AJ177" i="6"/>
  <c r="AK177" i="6"/>
  <c r="AI177" i="6"/>
  <c r="AO177" i="6"/>
  <c r="AY44" i="6"/>
  <c r="AZ44" i="6"/>
  <c r="BC44" i="6"/>
  <c r="BB44" i="6"/>
  <c r="BA44" i="6"/>
  <c r="AH44" i="6"/>
  <c r="AJ44" i="6"/>
  <c r="AK44" i="6"/>
  <c r="AI44" i="6"/>
  <c r="AO44" i="6" s="1"/>
  <c r="AQ44" i="6" s="1"/>
  <c r="AY118" i="6"/>
  <c r="AZ118" i="6"/>
  <c r="BC118" i="6"/>
  <c r="BA118" i="6"/>
  <c r="AJ118" i="6"/>
  <c r="BB118" i="6"/>
  <c r="AH118" i="6"/>
  <c r="AK118" i="6"/>
  <c r="AI118" i="6"/>
  <c r="AO118" i="6" s="1"/>
  <c r="AQ118" i="6" s="1"/>
  <c r="AY172" i="6"/>
  <c r="AZ172" i="6"/>
  <c r="BC172" i="6"/>
  <c r="BA172" i="6"/>
  <c r="BB172" i="6"/>
  <c r="AI172" i="6"/>
  <c r="AO172" i="6"/>
  <c r="AK172" i="6"/>
  <c r="AH172" i="6"/>
  <c r="AJ172" i="6"/>
  <c r="AY155" i="6"/>
  <c r="AZ155" i="6"/>
  <c r="BC155" i="6"/>
  <c r="BA155" i="6"/>
  <c r="BB155" i="6"/>
  <c r="AJ155" i="6"/>
  <c r="AH155" i="6"/>
  <c r="AI155" i="6"/>
  <c r="AO155" i="6" s="1"/>
  <c r="AQ155" i="6" s="1"/>
  <c r="AK155" i="6"/>
  <c r="AZ136" i="6"/>
  <c r="BC136" i="6"/>
  <c r="BA136" i="6"/>
  <c r="AY136" i="6"/>
  <c r="BB136" i="6"/>
  <c r="AI136" i="6"/>
  <c r="AK136" i="6"/>
  <c r="AH136" i="6"/>
  <c r="AJ136" i="6"/>
  <c r="P16" i="6"/>
  <c r="P107" i="6"/>
  <c r="P189" i="6"/>
  <c r="AZ48" i="6"/>
  <c r="AY48" i="6"/>
  <c r="BC48" i="6"/>
  <c r="BB48" i="6"/>
  <c r="BA48" i="6"/>
  <c r="AH48" i="6"/>
  <c r="AJ48" i="6"/>
  <c r="AK48" i="6"/>
  <c r="AI48" i="6"/>
  <c r="AO48" i="6" s="1"/>
  <c r="AQ48" i="6" s="1"/>
  <c r="AY122" i="6"/>
  <c r="AZ122" i="6"/>
  <c r="BC122" i="6"/>
  <c r="BA122" i="6"/>
  <c r="BB122" i="6"/>
  <c r="AK122" i="6"/>
  <c r="AI122" i="6"/>
  <c r="AO122" i="6"/>
  <c r="AJ122" i="6"/>
  <c r="AH122" i="6"/>
  <c r="AY165" i="6"/>
  <c r="AZ165" i="6"/>
  <c r="BC165" i="6"/>
  <c r="BA165" i="6"/>
  <c r="AH165" i="6"/>
  <c r="AJ165" i="6"/>
  <c r="AK165" i="6"/>
  <c r="BB165" i="6"/>
  <c r="AI165" i="6"/>
  <c r="AO165" i="6" s="1"/>
  <c r="AY159" i="6"/>
  <c r="AZ159" i="6"/>
  <c r="BC159" i="6"/>
  <c r="BA159" i="6"/>
  <c r="BB159" i="6"/>
  <c r="AJ159" i="6"/>
  <c r="AH159" i="6"/>
  <c r="AI159" i="6"/>
  <c r="AO159" i="6"/>
  <c r="AK159" i="6"/>
  <c r="P20" i="6"/>
  <c r="P106" i="6"/>
  <c r="P188" i="6"/>
  <c r="AZ52" i="6"/>
  <c r="AY52" i="6"/>
  <c r="BC52" i="6"/>
  <c r="BB52" i="6"/>
  <c r="BA52" i="6"/>
  <c r="AH52" i="6"/>
  <c r="AJ52" i="6"/>
  <c r="AK52" i="6"/>
  <c r="AI52" i="6"/>
  <c r="AO52" i="6"/>
  <c r="AY115" i="6"/>
  <c r="AZ115" i="6"/>
  <c r="BC115" i="6"/>
  <c r="BA115" i="6"/>
  <c r="AI115" i="6"/>
  <c r="AO115" i="6"/>
  <c r="AK115" i="6"/>
  <c r="BB115" i="6"/>
  <c r="AJ115" i="6"/>
  <c r="AH115" i="6"/>
  <c r="AZ41" i="6"/>
  <c r="AY41" i="6"/>
  <c r="BC41" i="6"/>
  <c r="BB41" i="6"/>
  <c r="BA41" i="6"/>
  <c r="AK41" i="6"/>
  <c r="AI41" i="6"/>
  <c r="AO41" i="6" s="1"/>
  <c r="AQ41" i="6" s="1"/>
  <c r="AJ41" i="6"/>
  <c r="AH41" i="6"/>
  <c r="P190" i="6"/>
  <c r="AY193" i="6"/>
  <c r="AZ193" i="6"/>
  <c r="BC193" i="6"/>
  <c r="BA193" i="6"/>
  <c r="BB193" i="6"/>
  <c r="AH193" i="6"/>
  <c r="AJ193" i="6"/>
  <c r="AK193" i="6"/>
  <c r="AI193" i="6"/>
  <c r="AO193" i="6" s="1"/>
  <c r="AZ120" i="6"/>
  <c r="AY120" i="6"/>
  <c r="BC120" i="6"/>
  <c r="BA120" i="6"/>
  <c r="BB120" i="6"/>
  <c r="AI120" i="6"/>
  <c r="AO120" i="6"/>
  <c r="AK120" i="6"/>
  <c r="AH120" i="6"/>
  <c r="AJ120" i="6"/>
  <c r="AY63" i="6"/>
  <c r="AZ63" i="6"/>
  <c r="BB63" i="6"/>
  <c r="BC63" i="6"/>
  <c r="BA63" i="6"/>
  <c r="AI63" i="6"/>
  <c r="AO63" i="6" s="1"/>
  <c r="AQ63" i="6" s="1"/>
  <c r="AK63" i="6"/>
  <c r="AH63" i="6"/>
  <c r="AJ63" i="6"/>
  <c r="AZ157" i="6"/>
  <c r="BC157" i="6"/>
  <c r="AY157" i="6"/>
  <c r="BA157" i="6"/>
  <c r="AH157" i="6"/>
  <c r="AJ157" i="6"/>
  <c r="BB157" i="6"/>
  <c r="AK157" i="6"/>
  <c r="AI157" i="6"/>
  <c r="AO157" i="6"/>
  <c r="Q8" i="6"/>
  <c r="AO57" i="6"/>
  <c r="AQ127" i="6"/>
  <c r="AO56" i="6"/>
  <c r="AQ56" i="6"/>
  <c r="Q201" i="6"/>
  <c r="AO29" i="6"/>
  <c r="Q202" i="6"/>
  <c r="Q195" i="6"/>
  <c r="Q194" i="6"/>
  <c r="Q196" i="6"/>
  <c r="Q200" i="6"/>
  <c r="Q198" i="6"/>
  <c r="Q197" i="6"/>
  <c r="BH67" i="2"/>
  <c r="BK67" i="2"/>
  <c r="BI67" i="2"/>
  <c r="BL67" i="2"/>
  <c r="BI47" i="2"/>
  <c r="BL47" i="2"/>
  <c r="BI32" i="2"/>
  <c r="BL32" i="2"/>
  <c r="BI44" i="2"/>
  <c r="BL44" i="2"/>
  <c r="BI8" i="2"/>
  <c r="BL8" i="2"/>
  <c r="BG67" i="2"/>
  <c r="BK65" i="2"/>
  <c r="BI69" i="2"/>
  <c r="BL69" i="2"/>
  <c r="AD103" i="6"/>
  <c r="AP103" i="6"/>
  <c r="AD104" i="6"/>
  <c r="AP104" i="6"/>
  <c r="BI48" i="2"/>
  <c r="BL48" i="2"/>
  <c r="BI105" i="2"/>
  <c r="BL105" i="2"/>
  <c r="BI34" i="2"/>
  <c r="BL34" i="2"/>
  <c r="BI40" i="2"/>
  <c r="BL40" i="2"/>
  <c r="BI14" i="2"/>
  <c r="BL14" i="2"/>
  <c r="BI22" i="2"/>
  <c r="BL22" i="2"/>
  <c r="BI33" i="2"/>
  <c r="BL33" i="2"/>
  <c r="BF83" i="2"/>
  <c r="BH83" i="2"/>
  <c r="BK83" i="2"/>
  <c r="AD136" i="6"/>
  <c r="AP136" i="6"/>
  <c r="AD135" i="6"/>
  <c r="AP135" i="6"/>
  <c r="AD29" i="6"/>
  <c r="AP29" i="6"/>
  <c r="BF28" i="2"/>
  <c r="BH28" i="2"/>
  <c r="BK28" i="2"/>
  <c r="BI97" i="2"/>
  <c r="BL97" i="2"/>
  <c r="BH97" i="2"/>
  <c r="BK97" i="2"/>
  <c r="AF115" i="6"/>
  <c r="AF116" i="6"/>
  <c r="AC136" i="6"/>
  <c r="AC135" i="6"/>
  <c r="BG83" i="2"/>
  <c r="AC29" i="6"/>
  <c r="BG28" i="2"/>
  <c r="BI84" i="2"/>
  <c r="BL84" i="2"/>
  <c r="BH94" i="2"/>
  <c r="BK94" i="2"/>
  <c r="BI94" i="2"/>
  <c r="BL94" i="2"/>
  <c r="BH74" i="2"/>
  <c r="BK74" i="2"/>
  <c r="BI74" i="2"/>
  <c r="BL74" i="2"/>
  <c r="AB135" i="6"/>
  <c r="AB136" i="6"/>
  <c r="AE115" i="6"/>
  <c r="AE116" i="6"/>
  <c r="BI101" i="2"/>
  <c r="BL101" i="2"/>
  <c r="BG101" i="2"/>
  <c r="BH39" i="2"/>
  <c r="BK39" i="2"/>
  <c r="BI39" i="2"/>
  <c r="BL39" i="2"/>
  <c r="BH98" i="2"/>
  <c r="BK98" i="2"/>
  <c r="BI98" i="2"/>
  <c r="BL98" i="2"/>
  <c r="AC116" i="6"/>
  <c r="AC115" i="6"/>
  <c r="BG73" i="2"/>
  <c r="BH18" i="2"/>
  <c r="BK18" i="2"/>
  <c r="BI18" i="2"/>
  <c r="BL18" i="2"/>
  <c r="AF136" i="6"/>
  <c r="AF135" i="6"/>
  <c r="AE135" i="6"/>
  <c r="AE136" i="6"/>
  <c r="AB116" i="6"/>
  <c r="AB115" i="6"/>
  <c r="AD115" i="6"/>
  <c r="AP115" i="6"/>
  <c r="AD116" i="6"/>
  <c r="AP116" i="6"/>
  <c r="BF73" i="2"/>
  <c r="BH73" i="2"/>
  <c r="BK73" i="2"/>
  <c r="BK101" i="2"/>
  <c r="AR81" i="6"/>
  <c r="AV81" i="6"/>
  <c r="BI90" i="2"/>
  <c r="BL90" i="2"/>
  <c r="BI25" i="2"/>
  <c r="BL25" i="2"/>
  <c r="BI100" i="2"/>
  <c r="BL100" i="2"/>
  <c r="BI63" i="2"/>
  <c r="BL63" i="2"/>
  <c r="BI55" i="2"/>
  <c r="BL55" i="2"/>
  <c r="BI26" i="2"/>
  <c r="BL26" i="2"/>
  <c r="BI104" i="2"/>
  <c r="BL104" i="2"/>
  <c r="BI9" i="2"/>
  <c r="BL9" i="2"/>
  <c r="BI11" i="2"/>
  <c r="BL11" i="2"/>
  <c r="BI85" i="2"/>
  <c r="BL85" i="2"/>
  <c r="AQ81" i="6"/>
  <c r="BI35" i="2"/>
  <c r="BL35" i="2"/>
  <c r="BH35" i="2"/>
  <c r="BK35" i="2"/>
  <c r="BI80" i="2"/>
  <c r="BL80" i="2"/>
  <c r="BH80" i="2"/>
  <c r="BK80" i="2"/>
  <c r="BI52" i="2"/>
  <c r="BL52" i="2"/>
  <c r="BI43" i="2"/>
  <c r="BL43" i="2"/>
  <c r="BI72" i="2"/>
  <c r="BL72" i="2"/>
  <c r="BI50" i="2"/>
  <c r="BL50" i="2"/>
  <c r="BI75" i="2"/>
  <c r="BL75" i="2"/>
  <c r="BH75" i="2"/>
  <c r="BK75" i="2"/>
  <c r="BI78" i="2"/>
  <c r="BL78" i="2"/>
  <c r="BI45" i="2"/>
  <c r="BL45" i="2"/>
  <c r="BH19" i="2"/>
  <c r="BK19" i="2"/>
  <c r="BI19" i="2"/>
  <c r="BL19" i="2"/>
  <c r="BI58" i="2"/>
  <c r="BL58" i="2"/>
  <c r="BI59" i="2"/>
  <c r="BL59" i="2"/>
  <c r="BI103" i="2"/>
  <c r="BL103" i="2"/>
  <c r="BH103" i="2"/>
  <c r="BK103" i="2"/>
  <c r="BI82" i="2"/>
  <c r="BL82" i="2"/>
  <c r="BI95" i="2"/>
  <c r="BL95" i="2"/>
  <c r="BI38" i="2"/>
  <c r="BL38" i="2"/>
  <c r="BI29" i="2"/>
  <c r="BL29" i="2"/>
  <c r="BI79" i="2"/>
  <c r="BL79" i="2"/>
  <c r="BH79" i="2"/>
  <c r="BK79" i="2"/>
  <c r="BI65" i="2"/>
  <c r="BL65" i="2"/>
  <c r="BI20" i="2"/>
  <c r="BL20" i="2"/>
  <c r="BI99" i="2"/>
  <c r="BL99" i="2"/>
  <c r="BI60" i="2"/>
  <c r="BL60" i="2"/>
  <c r="BI42" i="2"/>
  <c r="BL42" i="2"/>
  <c r="BI68" i="2"/>
  <c r="BL68" i="2"/>
  <c r="BI93" i="2"/>
  <c r="BL93" i="2"/>
  <c r="BI102" i="2"/>
  <c r="BL102" i="2"/>
  <c r="BI88" i="2"/>
  <c r="BL88" i="2"/>
  <c r="BH88" i="2"/>
  <c r="BK88" i="2"/>
  <c r="BI70" i="2"/>
  <c r="BL70" i="2"/>
  <c r="BI89" i="2"/>
  <c r="BL89" i="2"/>
  <c r="BI92" i="2"/>
  <c r="BL92" i="2"/>
  <c r="BI107" i="2"/>
  <c r="BL107" i="2"/>
  <c r="BI30" i="2"/>
  <c r="BL30" i="2"/>
  <c r="BI37" i="2"/>
  <c r="BL37" i="2"/>
  <c r="AR30" i="6"/>
  <c r="AR149" i="6"/>
  <c r="AW149" i="6" s="1"/>
  <c r="AR148" i="6"/>
  <c r="AV148" i="6"/>
  <c r="AR130" i="6"/>
  <c r="AV130" i="6" s="1"/>
  <c r="AQ62" i="6"/>
  <c r="AQ167" i="6"/>
  <c r="AQ60" i="6"/>
  <c r="AQ151" i="6"/>
  <c r="AQ74" i="6"/>
  <c r="AQ77" i="6"/>
  <c r="AR164" i="6"/>
  <c r="AW164" i="6" s="1"/>
  <c r="AR77" i="6"/>
  <c r="AW77" i="6" s="1"/>
  <c r="AR132" i="6"/>
  <c r="AV132" i="6" s="1"/>
  <c r="AQ23" i="6"/>
  <c r="AQ73" i="6"/>
  <c r="AQ132" i="6"/>
  <c r="AR28" i="6"/>
  <c r="AW28" i="6" s="1"/>
  <c r="AR131" i="6"/>
  <c r="AV131" i="6" s="1"/>
  <c r="AR23" i="6"/>
  <c r="AW23" i="6" s="1"/>
  <c r="AR75" i="6"/>
  <c r="AW75" i="6" s="1"/>
  <c r="AR126" i="6"/>
  <c r="AV126" i="6" s="1"/>
  <c r="AQ58" i="6"/>
  <c r="AQ130" i="6"/>
  <c r="AQ30" i="6"/>
  <c r="AQ128" i="6"/>
  <c r="BI83" i="2"/>
  <c r="BL83" i="2"/>
  <c r="BI28" i="2"/>
  <c r="BL28" i="2"/>
  <c r="AR55" i="6"/>
  <c r="AW55" i="6"/>
  <c r="AQ57" i="6"/>
  <c r="AQ39" i="6"/>
  <c r="AQ164" i="6"/>
  <c r="AQ177" i="6"/>
  <c r="AQ40" i="6"/>
  <c r="AQ79" i="6"/>
  <c r="AR143" i="6"/>
  <c r="AV143" i="6" s="1"/>
  <c r="AR9" i="6"/>
  <c r="AV9" i="6" s="1"/>
  <c r="AR11" i="6"/>
  <c r="AV11" i="6" s="1"/>
  <c r="AQ104" i="6"/>
  <c r="AR31" i="6"/>
  <c r="AV31" i="6" s="1"/>
  <c r="AQ55" i="6"/>
  <c r="AR180" i="6"/>
  <c r="AW180" i="6" s="1"/>
  <c r="AQ169" i="6"/>
  <c r="AQ162" i="6"/>
  <c r="AR200" i="6"/>
  <c r="AW200" i="6" s="1"/>
  <c r="AR163" i="6"/>
  <c r="AW163" i="6" s="1"/>
  <c r="AR33" i="6"/>
  <c r="AW33" i="6" s="1"/>
  <c r="AQ90" i="6"/>
  <c r="AR124" i="6"/>
  <c r="AV124" i="6" s="1"/>
  <c r="AR158" i="6"/>
  <c r="AV158" i="6" s="1"/>
  <c r="AQ148" i="6"/>
  <c r="AQ75" i="6"/>
  <c r="AR74" i="6"/>
  <c r="AV74" i="6" s="1"/>
  <c r="AR111" i="6"/>
  <c r="AW111" i="6" s="1"/>
  <c r="AR123" i="6"/>
  <c r="AV123" i="6" s="1"/>
  <c r="AQ143" i="6"/>
  <c r="AQ120" i="6"/>
  <c r="AQ160" i="6"/>
  <c r="AQ51" i="6"/>
  <c r="AQ72" i="6"/>
  <c r="AQ111" i="6"/>
  <c r="AQ131" i="6"/>
  <c r="AQ125" i="6"/>
  <c r="AR157" i="6"/>
  <c r="AW157" i="6" s="1"/>
  <c r="AR43" i="6"/>
  <c r="AV43" i="6" s="1"/>
  <c r="AR121" i="6"/>
  <c r="AV121" i="6" s="1"/>
  <c r="AQ152" i="6"/>
  <c r="AR67" i="6"/>
  <c r="AV67" i="6" s="1"/>
  <c r="AR84" i="6"/>
  <c r="AV84" i="6" s="1"/>
  <c r="AQ70" i="6"/>
  <c r="AR37" i="6"/>
  <c r="AW37" i="6" s="1"/>
  <c r="AR174" i="6"/>
  <c r="AW174" i="6" s="1"/>
  <c r="AR5" i="6"/>
  <c r="AW5" i="6" s="1"/>
  <c r="AR114" i="6"/>
  <c r="AV114" i="6" s="1"/>
  <c r="AR72" i="6"/>
  <c r="AW72" i="6" s="1"/>
  <c r="AQ11" i="6"/>
  <c r="AR73" i="6"/>
  <c r="AV73" i="6" s="1"/>
  <c r="AR198" i="6"/>
  <c r="AV198" i="6" s="1"/>
  <c r="AR125" i="6"/>
  <c r="AV125" i="6" s="1"/>
  <c r="AR140" i="6"/>
  <c r="AV140" i="6" s="1"/>
  <c r="AR118" i="6"/>
  <c r="AW118" i="6" s="1"/>
  <c r="AR6" i="6"/>
  <c r="AW6" i="6" s="1"/>
  <c r="AQ42" i="6"/>
  <c r="AR175" i="6"/>
  <c r="AV175" i="6" s="1"/>
  <c r="AQ38" i="6"/>
  <c r="AR47" i="6"/>
  <c r="AV47" i="6" s="1"/>
  <c r="AR110" i="6"/>
  <c r="AW110" i="6" s="1"/>
  <c r="AQ129" i="6"/>
  <c r="AR172" i="6"/>
  <c r="AW172" i="6" s="1"/>
  <c r="AQ87" i="6"/>
  <c r="AR120" i="6"/>
  <c r="AV120" i="6" s="1"/>
  <c r="AR177" i="6"/>
  <c r="AV177" i="6" s="1"/>
  <c r="AR85" i="6"/>
  <c r="AW85" i="6" s="1"/>
  <c r="AR83" i="6"/>
  <c r="AW83" i="6" s="1"/>
  <c r="AQ47" i="6"/>
  <c r="AR42" i="6"/>
  <c r="AW42" i="6" s="1"/>
  <c r="AR161" i="6"/>
  <c r="AW161" i="6" s="1"/>
  <c r="AR113" i="6"/>
  <c r="AV113" i="6" s="1"/>
  <c r="AQ134" i="6"/>
  <c r="AR160" i="6"/>
  <c r="AW160" i="6" s="1"/>
  <c r="AR51" i="6"/>
  <c r="AV51" i="6" s="1"/>
  <c r="AQ139" i="6"/>
  <c r="AR117" i="6"/>
  <c r="AV117" i="6" s="1"/>
  <c r="AR89" i="6"/>
  <c r="AV89" i="6" s="1"/>
  <c r="AQ66" i="6"/>
  <c r="AR91" i="6"/>
  <c r="AW91" i="6" s="1"/>
  <c r="AR46" i="6"/>
  <c r="AV46" i="6" s="1"/>
  <c r="AR90" i="6"/>
  <c r="AV90" i="6" s="1"/>
  <c r="AR7" i="6"/>
  <c r="AV7" i="6" s="1"/>
  <c r="AR105" i="6"/>
  <c r="AV105" i="6"/>
  <c r="AR34" i="6"/>
  <c r="AW34" i="6"/>
  <c r="AR62" i="6"/>
  <c r="AV62" i="6"/>
  <c r="AR79" i="6"/>
  <c r="AW79" i="6"/>
  <c r="AQ198" i="6"/>
  <c r="AR60" i="6"/>
  <c r="AW60" i="6"/>
  <c r="AQ52" i="6"/>
  <c r="AQ36" i="6"/>
  <c r="AR152" i="6"/>
  <c r="AV152" i="6"/>
  <c r="AR66" i="6"/>
  <c r="AW66" i="6"/>
  <c r="AR86" i="6"/>
  <c r="AV86" i="6"/>
  <c r="AR65" i="6"/>
  <c r="AV65" i="6"/>
  <c r="AR87" i="6"/>
  <c r="AW87" i="6"/>
  <c r="AR68" i="6"/>
  <c r="AW68" i="6"/>
  <c r="AQ4" i="6"/>
  <c r="AR103" i="6"/>
  <c r="AV103" i="6"/>
  <c r="AR36" i="6"/>
  <c r="AW36" i="6"/>
  <c r="AR80" i="6"/>
  <c r="AV80" i="6"/>
  <c r="AR119" i="6"/>
  <c r="AW119" i="6"/>
  <c r="AR88" i="6"/>
  <c r="AV88" i="6"/>
  <c r="AQ86" i="6"/>
  <c r="AQ114" i="6"/>
  <c r="AQ68" i="6"/>
  <c r="AR49" i="6"/>
  <c r="AV49" i="6"/>
  <c r="AR4" i="6"/>
  <c r="AW4" i="6"/>
  <c r="AR167" i="6"/>
  <c r="AW167" i="6"/>
  <c r="AR104" i="6"/>
  <c r="AW104" i="6" s="1"/>
  <c r="AR52" i="6"/>
  <c r="AV52" i="6" s="1"/>
  <c r="AR122" i="6"/>
  <c r="AV122" i="6" s="1"/>
  <c r="AR48" i="6"/>
  <c r="AW48" i="6" s="1"/>
  <c r="AQ172" i="6"/>
  <c r="AR44" i="6"/>
  <c r="AW44" i="6" s="1"/>
  <c r="AR182" i="6"/>
  <c r="AW182" i="6" s="1"/>
  <c r="AQ85" i="6"/>
  <c r="AR171" i="6"/>
  <c r="AV171" i="6" s="1"/>
  <c r="AQ65" i="6"/>
  <c r="AQ43" i="6"/>
  <c r="AR195" i="6"/>
  <c r="AW195" i="6" s="1"/>
  <c r="AQ84" i="6"/>
  <c r="AR166" i="6"/>
  <c r="AW166" i="6" s="1"/>
  <c r="AQ119" i="6"/>
  <c r="AR194" i="6"/>
  <c r="AV194" i="6" s="1"/>
  <c r="AR70" i="6"/>
  <c r="AV70" i="6" s="1"/>
  <c r="AQ37" i="6"/>
  <c r="AR134" i="6"/>
  <c r="AW134" i="6" s="1"/>
  <c r="AR32" i="6"/>
  <c r="AV32" i="6" s="1"/>
  <c r="AR38" i="6"/>
  <c r="AW38" i="6" s="1"/>
  <c r="AR156" i="6"/>
  <c r="AV156" i="6" s="1"/>
  <c r="AR162" i="6"/>
  <c r="AW162" i="6" s="1"/>
  <c r="AQ202" i="6"/>
  <c r="AR50" i="6"/>
  <c r="AV50" i="6" s="1"/>
  <c r="AQ200" i="6"/>
  <c r="AQ33" i="6"/>
  <c r="AR173" i="6"/>
  <c r="AV173" i="6" s="1"/>
  <c r="AR92" i="6"/>
  <c r="AW92" i="6" s="1"/>
  <c r="AR82" i="6"/>
  <c r="AW82" i="6" s="1"/>
  <c r="AR41" i="6"/>
  <c r="AV41" i="6" s="1"/>
  <c r="AQ122" i="6"/>
  <c r="AR8" i="6"/>
  <c r="AW8" i="6" s="1"/>
  <c r="AQ194" i="6"/>
  <c r="AR115" i="6"/>
  <c r="AW115" i="6" s="1"/>
  <c r="AQ137" i="6"/>
  <c r="AY188" i="6"/>
  <c r="AZ188" i="6"/>
  <c r="BC188" i="6"/>
  <c r="BA188" i="6"/>
  <c r="BB188" i="6"/>
  <c r="AI188" i="6"/>
  <c r="AO188" i="6"/>
  <c r="AK188" i="6"/>
  <c r="AH188" i="6"/>
  <c r="AJ188" i="6"/>
  <c r="AY107" i="6"/>
  <c r="AZ107" i="6"/>
  <c r="BC107" i="6"/>
  <c r="BA107" i="6"/>
  <c r="AI107" i="6"/>
  <c r="AO107" i="6"/>
  <c r="AK107" i="6"/>
  <c r="BB107" i="6"/>
  <c r="AJ107" i="6"/>
  <c r="AH107" i="6"/>
  <c r="AY96" i="6"/>
  <c r="AZ96" i="6"/>
  <c r="BB96" i="6"/>
  <c r="BC96" i="6"/>
  <c r="BA96" i="6"/>
  <c r="AH96" i="6"/>
  <c r="AJ96" i="6"/>
  <c r="AI96" i="6"/>
  <c r="AO96" i="6"/>
  <c r="AK96" i="6"/>
  <c r="AG96" i="6"/>
  <c r="AU96" i="6" s="1"/>
  <c r="AZ22" i="6"/>
  <c r="AY22" i="6"/>
  <c r="BC22" i="6"/>
  <c r="BA22" i="6"/>
  <c r="BB22" i="6"/>
  <c r="AJ22" i="6"/>
  <c r="AH22" i="6"/>
  <c r="AI22" i="6"/>
  <c r="AO22" i="6" s="1"/>
  <c r="AK22" i="6"/>
  <c r="AZ18" i="6"/>
  <c r="BC18" i="6"/>
  <c r="BA18" i="6"/>
  <c r="BB18" i="6"/>
  <c r="AY18" i="6"/>
  <c r="AJ18" i="6"/>
  <c r="AH18" i="6"/>
  <c r="AI18" i="6"/>
  <c r="AO18" i="6"/>
  <c r="AK18" i="6"/>
  <c r="AY100" i="6"/>
  <c r="AZ100" i="6"/>
  <c r="BB100" i="6"/>
  <c r="BC100" i="6"/>
  <c r="AH100" i="6"/>
  <c r="BA100" i="6"/>
  <c r="AJ100" i="6"/>
  <c r="AI100" i="6"/>
  <c r="AO100" i="6" s="1"/>
  <c r="AK100" i="6"/>
  <c r="AY191" i="6"/>
  <c r="AZ191" i="6"/>
  <c r="BC191" i="6"/>
  <c r="BA191" i="6"/>
  <c r="BB191" i="6"/>
  <c r="AJ191" i="6"/>
  <c r="AH191" i="6"/>
  <c r="AI191" i="6"/>
  <c r="AO191" i="6"/>
  <c r="AK191" i="6"/>
  <c r="AY112" i="6"/>
  <c r="AZ112" i="6"/>
  <c r="BC112" i="6"/>
  <c r="BA112" i="6"/>
  <c r="BB112" i="6"/>
  <c r="AH112" i="6"/>
  <c r="AJ112" i="6"/>
  <c r="AI112" i="6"/>
  <c r="AO112" i="6" s="1"/>
  <c r="AK112" i="6"/>
  <c r="AY187" i="6"/>
  <c r="AZ187" i="6"/>
  <c r="BC187" i="6"/>
  <c r="BA187" i="6"/>
  <c r="BB187" i="6"/>
  <c r="AJ187" i="6"/>
  <c r="AH187" i="6"/>
  <c r="AI187" i="6"/>
  <c r="AO187" i="6"/>
  <c r="AK187" i="6"/>
  <c r="AY106" i="6"/>
  <c r="AZ106" i="6"/>
  <c r="BC106" i="6"/>
  <c r="BA106" i="6"/>
  <c r="AJ106" i="6"/>
  <c r="BB106" i="6"/>
  <c r="AH106" i="6"/>
  <c r="AK106" i="6"/>
  <c r="AG106" i="6"/>
  <c r="AS106" i="6" s="1"/>
  <c r="AI106" i="6"/>
  <c r="AO106" i="6" s="1"/>
  <c r="AZ16" i="6"/>
  <c r="BA16" i="6"/>
  <c r="BC16" i="6"/>
  <c r="AY16" i="6"/>
  <c r="BB16" i="6"/>
  <c r="AJ16" i="6"/>
  <c r="AH16" i="6"/>
  <c r="AI16" i="6"/>
  <c r="AO16" i="6"/>
  <c r="AK16" i="6"/>
  <c r="AY101" i="6"/>
  <c r="AZ101" i="6"/>
  <c r="BB101" i="6"/>
  <c r="BC101" i="6"/>
  <c r="BA101" i="6"/>
  <c r="AK101" i="6"/>
  <c r="AI101" i="6"/>
  <c r="AO101" i="6" s="1"/>
  <c r="AH101" i="6"/>
  <c r="AJ101" i="6"/>
  <c r="AY192" i="6"/>
  <c r="AZ192" i="6"/>
  <c r="BC192" i="6"/>
  <c r="BA192" i="6"/>
  <c r="BB192" i="6"/>
  <c r="AI192" i="6"/>
  <c r="AO192" i="6"/>
  <c r="AK192" i="6"/>
  <c r="AH192" i="6"/>
  <c r="AJ192" i="6"/>
  <c r="AY94" i="6"/>
  <c r="AZ94" i="6"/>
  <c r="BB94" i="6"/>
  <c r="BC94" i="6"/>
  <c r="AJ94" i="6"/>
  <c r="AH94" i="6"/>
  <c r="BA94" i="6"/>
  <c r="AK94" i="6"/>
  <c r="AI94" i="6"/>
  <c r="AO94" i="6" s="1"/>
  <c r="AZ93" i="6"/>
  <c r="BB93" i="6"/>
  <c r="BC93" i="6"/>
  <c r="BA93" i="6"/>
  <c r="AG93" i="6"/>
  <c r="AS93" i="6" s="1"/>
  <c r="AK93" i="6"/>
  <c r="AI93" i="6"/>
  <c r="AO93" i="6" s="1"/>
  <c r="AY93" i="6"/>
  <c r="AH93" i="6"/>
  <c r="AJ93" i="6"/>
  <c r="AY183" i="6"/>
  <c r="AZ183" i="6"/>
  <c r="BC183" i="6"/>
  <c r="BA183" i="6"/>
  <c r="BB183" i="6"/>
  <c r="AJ183" i="6"/>
  <c r="AH183" i="6"/>
  <c r="AI183" i="6"/>
  <c r="AO183" i="6" s="1"/>
  <c r="AK183" i="6"/>
  <c r="AY186" i="6"/>
  <c r="AZ186" i="6"/>
  <c r="BC186" i="6"/>
  <c r="BA186" i="6"/>
  <c r="BB186" i="6"/>
  <c r="AK186" i="6"/>
  <c r="AI186" i="6"/>
  <c r="AO186" i="6"/>
  <c r="AJ186" i="6"/>
  <c r="AH186" i="6"/>
  <c r="AZ20" i="6"/>
  <c r="BA20" i="6"/>
  <c r="AY20" i="6"/>
  <c r="BC20" i="6"/>
  <c r="BB20" i="6"/>
  <c r="AH20" i="6"/>
  <c r="AJ20" i="6"/>
  <c r="AK20" i="6"/>
  <c r="AI20" i="6"/>
  <c r="AO20" i="6" s="1"/>
  <c r="AY95" i="6"/>
  <c r="AZ95" i="6"/>
  <c r="BB95" i="6"/>
  <c r="BC95" i="6"/>
  <c r="BA95" i="6"/>
  <c r="AI95" i="6"/>
  <c r="AO95" i="6"/>
  <c r="AK95" i="6"/>
  <c r="AJ95" i="6"/>
  <c r="AH95" i="6"/>
  <c r="AZ184" i="6"/>
  <c r="AY184" i="6"/>
  <c r="BC184" i="6"/>
  <c r="BA184" i="6"/>
  <c r="BB184" i="6"/>
  <c r="AI184" i="6"/>
  <c r="AO184" i="6" s="1"/>
  <c r="AK184" i="6"/>
  <c r="AH184" i="6"/>
  <c r="AJ184" i="6"/>
  <c r="AY99" i="6"/>
  <c r="AZ99" i="6"/>
  <c r="BB99" i="6"/>
  <c r="BC99" i="6"/>
  <c r="BA99" i="6"/>
  <c r="AI99" i="6"/>
  <c r="AO99" i="6"/>
  <c r="AK99" i="6"/>
  <c r="AJ99" i="6"/>
  <c r="AH99" i="6"/>
  <c r="AZ13" i="6"/>
  <c r="BB13" i="6"/>
  <c r="BA13" i="6"/>
  <c r="AY13" i="6"/>
  <c r="BC13" i="6"/>
  <c r="AI13" i="6"/>
  <c r="AO13" i="6" s="1"/>
  <c r="AK13" i="6"/>
  <c r="AH13" i="6"/>
  <c r="AJ13" i="6"/>
  <c r="AY15" i="6"/>
  <c r="AZ15" i="6"/>
  <c r="BB15" i="6"/>
  <c r="BC15" i="6"/>
  <c r="BA15" i="6"/>
  <c r="AG15" i="6"/>
  <c r="AU15" i="6" s="1"/>
  <c r="AK15" i="6"/>
  <c r="AI15" i="6"/>
  <c r="AO15" i="6"/>
  <c r="AJ15" i="6"/>
  <c r="AH15" i="6"/>
  <c r="AZ98" i="6"/>
  <c r="AY98" i="6"/>
  <c r="BB98" i="6"/>
  <c r="BC98" i="6"/>
  <c r="AJ98" i="6"/>
  <c r="AH98" i="6"/>
  <c r="AK98" i="6"/>
  <c r="AI98" i="6"/>
  <c r="AO98" i="6"/>
  <c r="AQ98" i="6" s="1"/>
  <c r="BA98" i="6"/>
  <c r="AZ14" i="6"/>
  <c r="BC14" i="6"/>
  <c r="AY14" i="6"/>
  <c r="BA14" i="6"/>
  <c r="BB14" i="6"/>
  <c r="AH14" i="6"/>
  <c r="AJ14" i="6"/>
  <c r="AK14" i="6"/>
  <c r="AI14" i="6"/>
  <c r="AO14" i="6" s="1"/>
  <c r="AY97" i="6"/>
  <c r="AZ97" i="6"/>
  <c r="BB97" i="6"/>
  <c r="BC97" i="6"/>
  <c r="BA97" i="6"/>
  <c r="AG97" i="6"/>
  <c r="AK97" i="6"/>
  <c r="AI97" i="6"/>
  <c r="AO97" i="6"/>
  <c r="AH97" i="6"/>
  <c r="AJ97" i="6"/>
  <c r="AY190" i="6"/>
  <c r="AZ190" i="6"/>
  <c r="BC190" i="6"/>
  <c r="BA190" i="6"/>
  <c r="BB190" i="6"/>
  <c r="AK190" i="6"/>
  <c r="AI190" i="6"/>
  <c r="AO190" i="6" s="1"/>
  <c r="AQ190" i="6" s="1"/>
  <c r="AJ190" i="6"/>
  <c r="AH190" i="6"/>
  <c r="AZ189" i="6"/>
  <c r="AY189" i="6"/>
  <c r="BC189" i="6"/>
  <c r="BA189" i="6"/>
  <c r="AH189" i="6"/>
  <c r="AJ189" i="6"/>
  <c r="BB189" i="6"/>
  <c r="AK189" i="6"/>
  <c r="AI189" i="6"/>
  <c r="AO189" i="6"/>
  <c r="AQ189" i="6" s="1"/>
  <c r="AY108" i="6"/>
  <c r="AZ108" i="6"/>
  <c r="BC108" i="6"/>
  <c r="BA108" i="6"/>
  <c r="BB108" i="6"/>
  <c r="AH108" i="6"/>
  <c r="AJ108" i="6"/>
  <c r="AI108" i="6"/>
  <c r="AO108" i="6"/>
  <c r="AG108" i="6"/>
  <c r="AS108" i="6" s="1"/>
  <c r="AK108" i="6"/>
  <c r="AQ117" i="6"/>
  <c r="AY109" i="6"/>
  <c r="AZ109" i="6"/>
  <c r="BC109" i="6"/>
  <c r="BA109" i="6"/>
  <c r="AK109" i="6"/>
  <c r="AI109" i="6"/>
  <c r="AO109" i="6" s="1"/>
  <c r="AQ109" i="6" s="1"/>
  <c r="AH109" i="6"/>
  <c r="BB109" i="6"/>
  <c r="AJ109" i="6"/>
  <c r="AZ17" i="6"/>
  <c r="AY17" i="6"/>
  <c r="BB17" i="6"/>
  <c r="BA17" i="6"/>
  <c r="BC17" i="6"/>
  <c r="AI17" i="6"/>
  <c r="AO17" i="6" s="1"/>
  <c r="AQ17" i="6" s="1"/>
  <c r="AK17" i="6"/>
  <c r="AH17" i="6"/>
  <c r="AJ17" i="6"/>
  <c r="AY19" i="6"/>
  <c r="AZ19" i="6"/>
  <c r="BB19" i="6"/>
  <c r="BC19" i="6"/>
  <c r="AI19" i="6"/>
  <c r="AO19" i="6" s="1"/>
  <c r="AQ19" i="6" s="1"/>
  <c r="AG19" i="6"/>
  <c r="AK19" i="6"/>
  <c r="BA19" i="6"/>
  <c r="AH19" i="6"/>
  <c r="AJ19" i="6"/>
  <c r="AY185" i="6"/>
  <c r="AZ185" i="6"/>
  <c r="BC185" i="6"/>
  <c r="BA185" i="6"/>
  <c r="AH185" i="6"/>
  <c r="BB185" i="6"/>
  <c r="AJ185" i="6"/>
  <c r="AG185" i="6"/>
  <c r="AK185" i="6"/>
  <c r="AI185" i="6"/>
  <c r="AO185" i="6" s="1"/>
  <c r="AQ185" i="6" s="1"/>
  <c r="AZ21" i="6"/>
  <c r="BB21" i="6"/>
  <c r="AY21" i="6"/>
  <c r="BA21" i="6"/>
  <c r="BC21" i="6"/>
  <c r="AG21" i="6"/>
  <c r="AU21" i="6" s="1"/>
  <c r="AK21" i="6"/>
  <c r="AI21" i="6"/>
  <c r="AO21" i="6"/>
  <c r="AJ21" i="6"/>
  <c r="AH21" i="6"/>
  <c r="AY102" i="6"/>
  <c r="AZ102" i="6"/>
  <c r="BB102" i="6"/>
  <c r="BC102" i="6"/>
  <c r="AJ102" i="6"/>
  <c r="AH102" i="6"/>
  <c r="BA102" i="6"/>
  <c r="AK102" i="6"/>
  <c r="AI102" i="6"/>
  <c r="AO102" i="6" s="1"/>
  <c r="AQ102" i="6" s="1"/>
  <c r="AQ180" i="6"/>
  <c r="AQ157" i="6"/>
  <c r="AQ7" i="6"/>
  <c r="AW9" i="6"/>
  <c r="AQ166" i="6"/>
  <c r="Q13" i="6"/>
  <c r="Q14" i="6"/>
  <c r="AR116" i="6"/>
  <c r="AV116" i="6"/>
  <c r="AQ8" i="6"/>
  <c r="AO3" i="6"/>
  <c r="AQ3" i="6" s="1"/>
  <c r="AR10" i="6"/>
  <c r="AO10" i="6"/>
  <c r="AQ10" i="6" s="1"/>
  <c r="AR57" i="6"/>
  <c r="AV57" i="6"/>
  <c r="AR169" i="6"/>
  <c r="AW169" i="6"/>
  <c r="AQ175" i="6"/>
  <c r="AO176" i="6"/>
  <c r="AQ115" i="6"/>
  <c r="AO59" i="6"/>
  <c r="AQ59" i="6" s="1"/>
  <c r="AO61" i="6"/>
  <c r="AQ116" i="6"/>
  <c r="AR197" i="6"/>
  <c r="AV197" i="6"/>
  <c r="AQ197" i="6"/>
  <c r="AO71" i="6"/>
  <c r="AQ71" i="6"/>
  <c r="AO54" i="6"/>
  <c r="AO136" i="6"/>
  <c r="AR136" i="6"/>
  <c r="AW136" i="6"/>
  <c r="AR159" i="6"/>
  <c r="AW159" i="6"/>
  <c r="AO64" i="6"/>
  <c r="AR193" i="6"/>
  <c r="AV193" i="6" s="1"/>
  <c r="AQ91" i="6"/>
  <c r="AQ69" i="6"/>
  <c r="AR141" i="6"/>
  <c r="AW141" i="6"/>
  <c r="AR145" i="6"/>
  <c r="AV145" i="6"/>
  <c r="AR155" i="6"/>
  <c r="AV155" i="6"/>
  <c r="AR142" i="6"/>
  <c r="AW142" i="6"/>
  <c r="AQ159" i="6"/>
  <c r="AR139" i="6"/>
  <c r="AW139" i="6"/>
  <c r="AR202" i="6"/>
  <c r="AW202" i="6"/>
  <c r="AR181" i="6"/>
  <c r="AW181" i="6"/>
  <c r="AR63" i="6"/>
  <c r="AW63" i="6"/>
  <c r="AQ153" i="6"/>
  <c r="AQ142" i="6"/>
  <c r="AR153" i="6"/>
  <c r="AV153" i="6" s="1"/>
  <c r="AR154" i="6"/>
  <c r="AV154" i="6" s="1"/>
  <c r="AQ27" i="6"/>
  <c r="AQ140" i="6"/>
  <c r="AQ138" i="6"/>
  <c r="AQ178" i="6"/>
  <c r="AQ154" i="6"/>
  <c r="AR25" i="6"/>
  <c r="AV25" i="6"/>
  <c r="AR168" i="6"/>
  <c r="AV168" i="6"/>
  <c r="AR137" i="6"/>
  <c r="AV137" i="6"/>
  <c r="AQ45" i="6"/>
  <c r="AR27" i="6"/>
  <c r="AW27" i="6"/>
  <c r="AR178" i="6"/>
  <c r="AW178" i="6"/>
  <c r="AR179" i="6"/>
  <c r="AV179" i="6"/>
  <c r="AQ174" i="6"/>
  <c r="AQ141" i="6"/>
  <c r="AR69" i="6"/>
  <c r="AV69" i="6"/>
  <c r="AQ168" i="6"/>
  <c r="AQ161" i="6"/>
  <c r="AQ165" i="6"/>
  <c r="AR58" i="6"/>
  <c r="AW58" i="6"/>
  <c r="AR201" i="6"/>
  <c r="AW201" i="6"/>
  <c r="AQ193" i="6"/>
  <c r="AR199" i="6"/>
  <c r="AV199" i="6" s="1"/>
  <c r="AR138" i="6"/>
  <c r="AW138" i="6" s="1"/>
  <c r="AQ31" i="6"/>
  <c r="AR165" i="6"/>
  <c r="AV165" i="6" s="1"/>
  <c r="AR45" i="6"/>
  <c r="AV45" i="6" s="1"/>
  <c r="AV160" i="6"/>
  <c r="AV149" i="6"/>
  <c r="AR196" i="6"/>
  <c r="AW196" i="6" s="1"/>
  <c r="AQ170" i="6"/>
  <c r="AR170" i="6"/>
  <c r="AW170" i="6" s="1"/>
  <c r="AS77" i="6"/>
  <c r="AW128" i="6"/>
  <c r="AQ196" i="6"/>
  <c r="BI73" i="2"/>
  <c r="BL73" i="2"/>
  <c r="AW81" i="6"/>
  <c r="AW130" i="6"/>
  <c r="AW123" i="6"/>
  <c r="AW151" i="6"/>
  <c r="AV77" i="6"/>
  <c r="AV30" i="6"/>
  <c r="AW30" i="6"/>
  <c r="AW148" i="6"/>
  <c r="AV33" i="6"/>
  <c r="AV48" i="6"/>
  <c r="AV72" i="6"/>
  <c r="AV8" i="6"/>
  <c r="AW124" i="6"/>
  <c r="AW132" i="6"/>
  <c r="AW158" i="6"/>
  <c r="AV28" i="6"/>
  <c r="AV164" i="6"/>
  <c r="AW131" i="6"/>
  <c r="AV180" i="6"/>
  <c r="AW126" i="6"/>
  <c r="AW80" i="6"/>
  <c r="AW7" i="6"/>
  <c r="AV166" i="6"/>
  <c r="AV37" i="6"/>
  <c r="AV75" i="6"/>
  <c r="AV23" i="6"/>
  <c r="AV55" i="6"/>
  <c r="AW11" i="6"/>
  <c r="AV157" i="6"/>
  <c r="AV118" i="6"/>
  <c r="AW114" i="6"/>
  <c r="AW67" i="6"/>
  <c r="AV91" i="6"/>
  <c r="AW113" i="6"/>
  <c r="AV83" i="6"/>
  <c r="AV134" i="6"/>
  <c r="AW121" i="6"/>
  <c r="AV111" i="6"/>
  <c r="AW143" i="6"/>
  <c r="AW70" i="6"/>
  <c r="AW198" i="6"/>
  <c r="AW31" i="6"/>
  <c r="AV79" i="6"/>
  <c r="AW74" i="6"/>
  <c r="AV4" i="6"/>
  <c r="AR100" i="6"/>
  <c r="AV100" i="6" s="1"/>
  <c r="AV200" i="6"/>
  <c r="AV42" i="6"/>
  <c r="AW46" i="6"/>
  <c r="AW86" i="6"/>
  <c r="AW175" i="6"/>
  <c r="AV5" i="6"/>
  <c r="AV163" i="6"/>
  <c r="AW140" i="6"/>
  <c r="AV38" i="6"/>
  <c r="AW41" i="6"/>
  <c r="AW65" i="6"/>
  <c r="AW50" i="6"/>
  <c r="AW173" i="6"/>
  <c r="AW47" i="6"/>
  <c r="AV119" i="6"/>
  <c r="AW197" i="6"/>
  <c r="AR192" i="6"/>
  <c r="AV192" i="6" s="1"/>
  <c r="AR99" i="6"/>
  <c r="AW99" i="6" s="1"/>
  <c r="AV182" i="6"/>
  <c r="AW105" i="6"/>
  <c r="AV110" i="6"/>
  <c r="AW84" i="6"/>
  <c r="AV172" i="6"/>
  <c r="AV167" i="6"/>
  <c r="AW69" i="6"/>
  <c r="AW103" i="6"/>
  <c r="AW177" i="6"/>
  <c r="AV60" i="6"/>
  <c r="AW73" i="6"/>
  <c r="AV174" i="6"/>
  <c r="AW125" i="6"/>
  <c r="AW52" i="6"/>
  <c r="AW51" i="6"/>
  <c r="AW117" i="6"/>
  <c r="AW62" i="6"/>
  <c r="AV6" i="6"/>
  <c r="AW43" i="6"/>
  <c r="AW120" i="6"/>
  <c r="AW57" i="6"/>
  <c r="AQ186" i="6"/>
  <c r="AR188" i="6"/>
  <c r="AV188" i="6" s="1"/>
  <c r="AR94" i="6"/>
  <c r="AV94" i="6" s="1"/>
  <c r="AW89" i="6"/>
  <c r="AV161" i="6"/>
  <c r="AV115" i="6"/>
  <c r="AV85" i="6"/>
  <c r="AW90" i="6"/>
  <c r="AR108" i="6"/>
  <c r="AW108" i="6"/>
  <c r="AQ97" i="6"/>
  <c r="AR95" i="6"/>
  <c r="AW95" i="6"/>
  <c r="AQ183" i="6"/>
  <c r="AQ188" i="6"/>
  <c r="AV82" i="6"/>
  <c r="AQ100" i="6"/>
  <c r="AV162" i="6"/>
  <c r="AV34" i="6"/>
  <c r="AV87" i="6"/>
  <c r="AV66" i="6"/>
  <c r="AW179" i="6"/>
  <c r="AW88" i="6"/>
  <c r="AW152" i="6"/>
  <c r="AR102" i="6"/>
  <c r="AW102" i="6" s="1"/>
  <c r="AQ21" i="6"/>
  <c r="AR190" i="6"/>
  <c r="AW190" i="6" s="1"/>
  <c r="AR184" i="6"/>
  <c r="AV184" i="6"/>
  <c r="AQ93" i="6"/>
  <c r="AQ106" i="6"/>
  <c r="AU106" i="6"/>
  <c r="AW32" i="6"/>
  <c r="AV68" i="6"/>
  <c r="AW49" i="6"/>
  <c r="AR109" i="6"/>
  <c r="AV109" i="6"/>
  <c r="AR97" i="6"/>
  <c r="AW97" i="6"/>
  <c r="AR183" i="6"/>
  <c r="AW183" i="6"/>
  <c r="AR101" i="6"/>
  <c r="AV101" i="6"/>
  <c r="AR191" i="6"/>
  <c r="AV191" i="6"/>
  <c r="AR22" i="6"/>
  <c r="AV22" i="6"/>
  <c r="AW122" i="6"/>
  <c r="AW116" i="6"/>
  <c r="AW194" i="6"/>
  <c r="AR185" i="6"/>
  <c r="AW185" i="6"/>
  <c r="AR17" i="6"/>
  <c r="AW17" i="6"/>
  <c r="AQ95" i="6"/>
  <c r="AR93" i="6"/>
  <c r="AV93" i="6"/>
  <c r="AQ16" i="6"/>
  <c r="AR106" i="6"/>
  <c r="AV106" i="6"/>
  <c r="AQ112" i="6"/>
  <c r="AR96" i="6"/>
  <c r="AV96" i="6"/>
  <c r="AV36" i="6"/>
  <c r="AQ15" i="6"/>
  <c r="AQ20" i="6"/>
  <c r="AR107" i="6"/>
  <c r="AV92" i="6"/>
  <c r="AV169" i="6"/>
  <c r="AV44" i="6"/>
  <c r="AV195" i="6"/>
  <c r="AW156" i="6"/>
  <c r="AW171" i="6"/>
  <c r="AV104" i="6"/>
  <c r="AR20" i="6"/>
  <c r="AW20" i="6" s="1"/>
  <c r="AQ187" i="6"/>
  <c r="AQ191" i="6"/>
  <c r="AQ18" i="6"/>
  <c r="AQ108" i="6"/>
  <c r="AR16" i="6"/>
  <c r="AV16" i="6"/>
  <c r="AR187" i="6"/>
  <c r="AV187" i="6" s="1"/>
  <c r="AR18" i="6"/>
  <c r="AV181" i="6"/>
  <c r="AV159" i="6"/>
  <c r="AR98" i="6"/>
  <c r="AQ184" i="6"/>
  <c r="AQ94" i="6"/>
  <c r="AR112" i="6"/>
  <c r="AQ96" i="6"/>
  <c r="AR189" i="6"/>
  <c r="AQ107" i="6"/>
  <c r="AW153" i="6"/>
  <c r="AQ14" i="6"/>
  <c r="AR14" i="6"/>
  <c r="AQ99" i="6"/>
  <c r="AR186" i="6"/>
  <c r="AQ192" i="6"/>
  <c r="AQ101" i="6"/>
  <c r="AQ22" i="6"/>
  <c r="AQ136" i="6"/>
  <c r="AR71" i="6"/>
  <c r="AR13" i="6"/>
  <c r="AR19" i="6"/>
  <c r="AR21" i="6"/>
  <c r="AR15" i="6"/>
  <c r="AW10" i="6"/>
  <c r="AV10" i="6"/>
  <c r="AR3" i="6"/>
  <c r="AQ13" i="6"/>
  <c r="AQ64" i="6"/>
  <c r="AQ61" i="6"/>
  <c r="AR176" i="6"/>
  <c r="AR64" i="6"/>
  <c r="AR61" i="6"/>
  <c r="AR54" i="6"/>
  <c r="AQ54" i="6"/>
  <c r="AR59" i="6"/>
  <c r="AQ176" i="6"/>
  <c r="AV202" i="6"/>
  <c r="AV139" i="6"/>
  <c r="AV142" i="6"/>
  <c r="AV141" i="6"/>
  <c r="AW193" i="6"/>
  <c r="AW154" i="6"/>
  <c r="AV63" i="6"/>
  <c r="AW168" i="6"/>
  <c r="AW155" i="6"/>
  <c r="AV27" i="6"/>
  <c r="AV178" i="6"/>
  <c r="AW145" i="6"/>
  <c r="AW137" i="6"/>
  <c r="AW45" i="6"/>
  <c r="AW199" i="6"/>
  <c r="AW25" i="6"/>
  <c r="AV201" i="6"/>
  <c r="AV58" i="6"/>
  <c r="AW165" i="6"/>
  <c r="AV138" i="6"/>
  <c r="AV170" i="6"/>
  <c r="AV196" i="6"/>
  <c r="AV136" i="6"/>
  <c r="AV99" i="6"/>
  <c r="AW184" i="6"/>
  <c r="AV97" i="6"/>
  <c r="AW100" i="6"/>
  <c r="AV190" i="6"/>
  <c r="AV108" i="6"/>
  <c r="AU97" i="6"/>
  <c r="AV95" i="6"/>
  <c r="AW192" i="6"/>
  <c r="AV185" i="6"/>
  <c r="AW188" i="6"/>
  <c r="AW94" i="6"/>
  <c r="AW16" i="6"/>
  <c r="AW96" i="6"/>
  <c r="AW93" i="6"/>
  <c r="AV183" i="6"/>
  <c r="AW101" i="6"/>
  <c r="AW191" i="6"/>
  <c r="AV102" i="6"/>
  <c r="AW22" i="6"/>
  <c r="AV17" i="6"/>
  <c r="AW106" i="6"/>
  <c r="AW109" i="6"/>
  <c r="AV20" i="6"/>
  <c r="AV107" i="6"/>
  <c r="AW107" i="6"/>
  <c r="AW187" i="6"/>
  <c r="AV18" i="6"/>
  <c r="AW18" i="6"/>
  <c r="AW189" i="6"/>
  <c r="AV189" i="6"/>
  <c r="AV112" i="6"/>
  <c r="AW112" i="6"/>
  <c r="AW186" i="6"/>
  <c r="AV186" i="6"/>
  <c r="AV14" i="6"/>
  <c r="AW14" i="6"/>
  <c r="AW98" i="6"/>
  <c r="AV98" i="6"/>
  <c r="AV21" i="6"/>
  <c r="AW21" i="6"/>
  <c r="AV19" i="6"/>
  <c r="AW19" i="6"/>
  <c r="AV71" i="6"/>
  <c r="AW71" i="6"/>
  <c r="AV13" i="6"/>
  <c r="AW13" i="6"/>
  <c r="AV3" i="6"/>
  <c r="AW3" i="6"/>
  <c r="AV15" i="6"/>
  <c r="AW15" i="6"/>
  <c r="AW54" i="6"/>
  <c r="AV54" i="6"/>
  <c r="AV61" i="6"/>
  <c r="AW61" i="6"/>
  <c r="AV64" i="6"/>
  <c r="AW64" i="6"/>
  <c r="AV59" i="6"/>
  <c r="AW59" i="6"/>
  <c r="AV176" i="6"/>
  <c r="AW176" i="6"/>
  <c r="F31" i="6"/>
  <c r="G31" i="6"/>
  <c r="K31" i="6"/>
  <c r="F25" i="6"/>
  <c r="G25" i="6"/>
  <c r="K25" i="6"/>
  <c r="F21" i="6"/>
  <c r="G21" i="6"/>
  <c r="K21" i="6"/>
  <c r="F30" i="6"/>
  <c r="G30" i="6"/>
  <c r="K30" i="6"/>
  <c r="F29" i="6"/>
  <c r="G29" i="6"/>
  <c r="K29" i="6"/>
  <c r="F26" i="6"/>
  <c r="G26" i="6"/>
  <c r="K26" i="6"/>
  <c r="F8" i="6"/>
  <c r="G8" i="6"/>
  <c r="K8" i="6"/>
  <c r="F17" i="6"/>
  <c r="G17" i="6" s="1"/>
  <c r="K17" i="6" s="1"/>
  <c r="F20" i="6"/>
  <c r="G20" i="6"/>
  <c r="K20" i="6"/>
  <c r="F50" i="6"/>
  <c r="G50" i="6"/>
  <c r="K50" i="6"/>
  <c r="F51" i="6"/>
  <c r="G51" i="6"/>
  <c r="K51" i="6"/>
  <c r="F28" i="6"/>
  <c r="G28" i="6"/>
  <c r="K28" i="6"/>
  <c r="F27" i="6"/>
  <c r="G27" i="6"/>
  <c r="K27" i="6"/>
  <c r="F13" i="6"/>
  <c r="G13" i="6"/>
  <c r="K13" i="6"/>
  <c r="F14" i="6"/>
  <c r="G14" i="6"/>
  <c r="K14" i="6"/>
  <c r="F37" i="6"/>
  <c r="G37" i="6"/>
  <c r="K37" i="6"/>
  <c r="F38" i="6"/>
  <c r="G38" i="6"/>
  <c r="K38" i="6"/>
  <c r="F39" i="6"/>
  <c r="G39" i="6"/>
  <c r="K39" i="6"/>
  <c r="F48" i="6"/>
  <c r="G48" i="6"/>
  <c r="K48" i="6"/>
  <c r="F49" i="6"/>
  <c r="G49" i="6"/>
  <c r="K49" i="6"/>
  <c r="F47" i="6"/>
  <c r="G47" i="6"/>
  <c r="K47" i="6"/>
  <c r="F44" i="6"/>
  <c r="G44" i="6"/>
  <c r="K44" i="6"/>
  <c r="F42" i="6"/>
  <c r="G42" i="6"/>
  <c r="K42" i="6"/>
  <c r="F43" i="6"/>
  <c r="G43" i="6"/>
  <c r="K43" i="6"/>
  <c r="F57" i="6"/>
  <c r="G57" i="6"/>
  <c r="K57" i="6"/>
  <c r="F58" i="6"/>
  <c r="G58" i="6"/>
  <c r="K58" i="6"/>
  <c r="F59" i="6"/>
  <c r="G59" i="6"/>
  <c r="K59" i="6"/>
  <c r="F36" i="6"/>
  <c r="G36" i="6"/>
  <c r="K36" i="6"/>
  <c r="F35" i="6"/>
  <c r="G35" i="6"/>
  <c r="K35" i="6"/>
  <c r="F40" i="6"/>
  <c r="G40" i="6"/>
  <c r="K40" i="6"/>
  <c r="F41" i="6"/>
  <c r="G41" i="6"/>
  <c r="K41" i="6"/>
  <c r="F15" i="6"/>
  <c r="G15" i="6"/>
  <c r="K15" i="6"/>
  <c r="F16" i="6"/>
  <c r="G16" i="6"/>
  <c r="K16" i="6"/>
  <c r="F32" i="6"/>
  <c r="G32" i="6"/>
  <c r="K32" i="6"/>
  <c r="F33" i="6"/>
  <c r="G33" i="6"/>
  <c r="K33" i="6"/>
  <c r="F34" i="6"/>
  <c r="G34" i="6"/>
  <c r="K34" i="6"/>
  <c r="F18" i="6"/>
  <c r="G18" i="6"/>
  <c r="K18" i="6"/>
  <c r="F19" i="6"/>
  <c r="G19" i="6"/>
  <c r="K19" i="6"/>
  <c r="F52" i="6"/>
  <c r="G52" i="6"/>
  <c r="K52" i="6"/>
  <c r="F53" i="6"/>
  <c r="G53" i="6"/>
  <c r="K53" i="6"/>
  <c r="F54" i="6"/>
  <c r="G54" i="6"/>
  <c r="K54" i="6"/>
  <c r="F3" i="6"/>
  <c r="G3" i="6"/>
  <c r="K3" i="6"/>
  <c r="F7" i="6"/>
  <c r="G7" i="6"/>
  <c r="K7" i="6"/>
  <c r="F5" i="6"/>
  <c r="G5" i="6"/>
  <c r="K5" i="6"/>
  <c r="F6" i="6"/>
  <c r="G6" i="6"/>
  <c r="K6" i="6"/>
  <c r="F10" i="6"/>
  <c r="G10" i="6"/>
  <c r="K10" i="6"/>
  <c r="F9" i="6"/>
  <c r="G9" i="6"/>
  <c r="K9" i="6"/>
  <c r="F4" i="6"/>
  <c r="G4" i="6"/>
  <c r="K4" i="6"/>
  <c r="F65" i="6"/>
  <c r="G65" i="6"/>
  <c r="K65" i="6"/>
  <c r="F66" i="6"/>
  <c r="G66" i="6"/>
  <c r="K66" i="6"/>
  <c r="F60" i="6"/>
  <c r="G60" i="6"/>
  <c r="K60" i="6"/>
  <c r="F61" i="6"/>
  <c r="G61" i="6"/>
  <c r="K61" i="6"/>
  <c r="N46" i="6"/>
  <c r="N45" i="6"/>
  <c r="O45" i="6" s="1"/>
  <c r="Q45" i="6" s="1"/>
  <c r="N51" i="6"/>
  <c r="N43" i="6"/>
  <c r="N49" i="6"/>
  <c r="N52" i="6"/>
  <c r="O52" i="6" s="1"/>
  <c r="N44" i="6"/>
  <c r="N50" i="6"/>
  <c r="N47" i="6"/>
  <c r="N48" i="6"/>
  <c r="O58" i="6" s="1"/>
  <c r="N42" i="6"/>
  <c r="N34" i="6"/>
  <c r="N40" i="6"/>
  <c r="N36" i="6"/>
  <c r="N41" i="6"/>
  <c r="N37" i="6"/>
  <c r="N33" i="6"/>
  <c r="N39" i="6"/>
  <c r="N35" i="6"/>
  <c r="N38" i="6"/>
  <c r="F68" i="6"/>
  <c r="G68" i="6"/>
  <c r="K68" i="6"/>
  <c r="F69" i="6"/>
  <c r="G69" i="6"/>
  <c r="K69" i="6"/>
  <c r="F67" i="6"/>
  <c r="G67" i="6"/>
  <c r="K67" i="6"/>
  <c r="F64" i="6"/>
  <c r="G64" i="6"/>
  <c r="K64" i="6"/>
  <c r="F62" i="6"/>
  <c r="G62" i="6"/>
  <c r="K62" i="6"/>
  <c r="F63" i="6"/>
  <c r="G63" i="6"/>
  <c r="K63" i="6"/>
  <c r="F23" i="6"/>
  <c r="G23" i="6"/>
  <c r="K23" i="6"/>
  <c r="F22" i="6"/>
  <c r="G22" i="6"/>
  <c r="K22" i="6"/>
  <c r="F24" i="6"/>
  <c r="G24" i="6"/>
  <c r="K24" i="6"/>
  <c r="F11" i="6"/>
  <c r="G11" i="6"/>
  <c r="K11" i="6"/>
  <c r="F12" i="6"/>
  <c r="G12" i="6"/>
  <c r="K12" i="6"/>
  <c r="N27" i="6"/>
  <c r="O27" i="6" s="1"/>
  <c r="N28" i="6"/>
  <c r="N26" i="6"/>
  <c r="N30" i="6"/>
  <c r="N29" i="6"/>
  <c r="O29" i="6" s="1"/>
  <c r="N31" i="6"/>
  <c r="N32" i="6"/>
  <c r="N24" i="6"/>
  <c r="O34" i="6" s="1"/>
  <c r="Q34" i="6" s="1"/>
  <c r="N25" i="6"/>
  <c r="O35" i="6" s="1"/>
  <c r="N23" i="6"/>
  <c r="F70" i="6"/>
  <c r="G70" i="6"/>
  <c r="K70" i="6"/>
  <c r="F71" i="6"/>
  <c r="G71" i="6"/>
  <c r="K71" i="6"/>
  <c r="F45" i="6"/>
  <c r="G45" i="6"/>
  <c r="K45" i="6"/>
  <c r="F46" i="6"/>
  <c r="G46" i="6"/>
  <c r="K46" i="6"/>
  <c r="F56" i="6"/>
  <c r="G56" i="6"/>
  <c r="K56" i="6"/>
  <c r="F55" i="6"/>
  <c r="G55" i="6"/>
  <c r="K55" i="6"/>
  <c r="O37" i="6"/>
  <c r="O38" i="6"/>
  <c r="O50" i="6"/>
  <c r="O43" i="6"/>
  <c r="Q43" i="6" s="1"/>
  <c r="F72" i="6"/>
  <c r="G72" i="6"/>
  <c r="K72" i="6"/>
  <c r="F73" i="6"/>
  <c r="G73" i="6"/>
  <c r="K73" i="6"/>
  <c r="F74" i="6"/>
  <c r="G74" i="6"/>
  <c r="K74" i="6"/>
  <c r="N55" i="6"/>
  <c r="O55" i="6" s="1"/>
  <c r="Q55" i="6" s="1"/>
  <c r="N59" i="6"/>
  <c r="O59" i="6" s="1"/>
  <c r="Q59" i="6" s="1"/>
  <c r="N60" i="6"/>
  <c r="N53" i="6"/>
  <c r="O53" i="6" s="1"/>
  <c r="Q53" i="6" s="1"/>
  <c r="N56" i="6"/>
  <c r="O56" i="6"/>
  <c r="N62" i="6"/>
  <c r="N58" i="6"/>
  <c r="N61" i="6"/>
  <c r="O61" i="6"/>
  <c r="Q61" i="6" s="1"/>
  <c r="N54" i="6"/>
  <c r="O54" i="6" s="1"/>
  <c r="N57" i="6"/>
  <c r="O41" i="6"/>
  <c r="Q42" i="6" s="1"/>
  <c r="N14" i="6"/>
  <c r="N13" i="6"/>
  <c r="N15" i="6"/>
  <c r="N21" i="6"/>
  <c r="N18" i="6"/>
  <c r="O28" i="6"/>
  <c r="N20" i="6"/>
  <c r="N19" i="6"/>
  <c r="N16" i="6"/>
  <c r="N22" i="6"/>
  <c r="O32" i="6"/>
  <c r="N17" i="6"/>
  <c r="O48" i="6"/>
  <c r="F76" i="6"/>
  <c r="G76" i="6"/>
  <c r="K76" i="6"/>
  <c r="F75" i="6"/>
  <c r="G75" i="6"/>
  <c r="K75" i="6"/>
  <c r="O42" i="6"/>
  <c r="F77" i="6"/>
  <c r="G77" i="6"/>
  <c r="K77" i="6"/>
  <c r="F78" i="6"/>
  <c r="G78" i="6"/>
  <c r="K78" i="6"/>
  <c r="F79" i="6"/>
  <c r="G79" i="6"/>
  <c r="K79" i="6"/>
  <c r="O44" i="6"/>
  <c r="O51" i="6"/>
  <c r="Q51" i="6" s="1"/>
  <c r="F80" i="6"/>
  <c r="G80" i="6"/>
  <c r="K80" i="6"/>
  <c r="F81" i="6"/>
  <c r="G81" i="6"/>
  <c r="K81" i="6"/>
  <c r="O40" i="6"/>
  <c r="N3" i="6"/>
  <c r="O3" i="6" s="1"/>
  <c r="Q4" i="6" s="1"/>
  <c r="N6" i="6"/>
  <c r="N5" i="6"/>
  <c r="N7" i="6"/>
  <c r="N8" i="6"/>
  <c r="N9" i="6"/>
  <c r="Q19" i="6" s="1"/>
  <c r="Q9" i="6"/>
  <c r="N4" i="6"/>
  <c r="N10" i="6"/>
  <c r="N12" i="6"/>
  <c r="N11" i="6"/>
  <c r="Q12" i="6"/>
  <c r="O33" i="6"/>
  <c r="O47" i="6"/>
  <c r="O49" i="6"/>
  <c r="Q44" i="6"/>
  <c r="Q35" i="6"/>
  <c r="Q18" i="6"/>
  <c r="Q24" i="6"/>
  <c r="Q15" i="6"/>
  <c r="N71" i="6"/>
  <c r="O71" i="6" s="1"/>
  <c r="N68" i="6"/>
  <c r="O68" i="6"/>
  <c r="Q68" i="6" s="1"/>
  <c r="N69" i="6"/>
  <c r="O69" i="6" s="1"/>
  <c r="N65" i="6"/>
  <c r="O65" i="6"/>
  <c r="N66" i="6"/>
  <c r="O66" i="6" s="1"/>
  <c r="Q66" i="6" s="1"/>
  <c r="N72" i="6"/>
  <c r="O72" i="6"/>
  <c r="Q72" i="6" s="1"/>
  <c r="N64" i="6"/>
  <c r="O64" i="6" s="1"/>
  <c r="N63" i="6"/>
  <c r="N67" i="6"/>
  <c r="O67" i="6"/>
  <c r="N70" i="6"/>
  <c r="O70" i="6" s="1"/>
  <c r="Q70" i="6" s="1"/>
  <c r="Q25" i="6"/>
  <c r="F85" i="6"/>
  <c r="G85" i="6"/>
  <c r="K85" i="6"/>
  <c r="F86" i="6"/>
  <c r="G86" i="6"/>
  <c r="K86" i="6"/>
  <c r="Q11" i="6"/>
  <c r="Q10" i="6"/>
  <c r="O30" i="6"/>
  <c r="Q41" i="6"/>
  <c r="O60" i="6"/>
  <c r="F84" i="6"/>
  <c r="G84" i="6"/>
  <c r="K84" i="6"/>
  <c r="F82" i="6"/>
  <c r="G82" i="6"/>
  <c r="K82" i="6"/>
  <c r="F83" i="6"/>
  <c r="G83" i="6"/>
  <c r="K83" i="6"/>
  <c r="Q29" i="6"/>
  <c r="F88" i="6"/>
  <c r="G88" i="6"/>
  <c r="K88" i="6"/>
  <c r="F89" i="6"/>
  <c r="G89" i="6"/>
  <c r="K89" i="6"/>
  <c r="F87" i="6"/>
  <c r="G87" i="6"/>
  <c r="K87" i="6"/>
  <c r="F90" i="6"/>
  <c r="G90" i="6"/>
  <c r="K90" i="6"/>
  <c r="F91" i="6"/>
  <c r="G91" i="6"/>
  <c r="K91" i="6"/>
  <c r="Q48" i="6"/>
  <c r="Q17" i="6"/>
  <c r="O57" i="6"/>
  <c r="Q57" i="6" s="1"/>
  <c r="Q30" i="6"/>
  <c r="Q56" i="6"/>
  <c r="Q16" i="6"/>
  <c r="F97" i="6"/>
  <c r="G97" i="6"/>
  <c r="K97" i="6"/>
  <c r="F98" i="6"/>
  <c r="G98" i="6"/>
  <c r="K98" i="6"/>
  <c r="F99" i="6"/>
  <c r="G99" i="6"/>
  <c r="K99" i="6"/>
  <c r="Q23" i="6"/>
  <c r="F96" i="6"/>
  <c r="G96" i="6"/>
  <c r="K96" i="6"/>
  <c r="F95" i="6"/>
  <c r="G95" i="6"/>
  <c r="K95" i="6"/>
  <c r="Q69" i="6"/>
  <c r="N76" i="6"/>
  <c r="O76" i="6" s="1"/>
  <c r="N74" i="6"/>
  <c r="O74" i="6"/>
  <c r="N81" i="6"/>
  <c r="O81" i="6" s="1"/>
  <c r="Q82" i="6" s="1"/>
  <c r="N82" i="6"/>
  <c r="O82" i="6"/>
  <c r="N75" i="6"/>
  <c r="O75" i="6" s="1"/>
  <c r="Q75" i="6" s="1"/>
  <c r="N77" i="6"/>
  <c r="O77" i="6"/>
  <c r="Q77" i="6" s="1"/>
  <c r="N79" i="6"/>
  <c r="O79" i="6" s="1"/>
  <c r="N80" i="6"/>
  <c r="O80" i="6"/>
  <c r="Q80" i="6" s="1"/>
  <c r="N73" i="6"/>
  <c r="O73" i="6" s="1"/>
  <c r="N78" i="6"/>
  <c r="O78" i="6" s="1"/>
  <c r="Q78" i="6" s="1"/>
  <c r="F92" i="6"/>
  <c r="G92" i="6"/>
  <c r="K92" i="6"/>
  <c r="F93" i="6"/>
  <c r="G93" i="6"/>
  <c r="K93" i="6"/>
  <c r="F94" i="6"/>
  <c r="G94" i="6"/>
  <c r="K94" i="6"/>
  <c r="F100" i="6"/>
  <c r="G100" i="6"/>
  <c r="K100" i="6"/>
  <c r="F101" i="6"/>
  <c r="G101" i="6"/>
  <c r="K101" i="6"/>
  <c r="Q26" i="6"/>
  <c r="Q74" i="6"/>
  <c r="F110" i="6"/>
  <c r="G110" i="6"/>
  <c r="K110" i="6"/>
  <c r="F111" i="6"/>
  <c r="G111" i="6"/>
  <c r="K111" i="6"/>
  <c r="F105" i="6"/>
  <c r="G105" i="6"/>
  <c r="K105" i="6"/>
  <c r="F106" i="6"/>
  <c r="G106" i="6"/>
  <c r="K106" i="6"/>
  <c r="F108" i="6"/>
  <c r="G108" i="6"/>
  <c r="K108" i="6"/>
  <c r="F109" i="6"/>
  <c r="G109" i="6"/>
  <c r="K109" i="6"/>
  <c r="F107" i="6"/>
  <c r="G107" i="6"/>
  <c r="K107" i="6"/>
  <c r="F104" i="6"/>
  <c r="G104" i="6"/>
  <c r="K104" i="6"/>
  <c r="F102" i="6"/>
  <c r="G102" i="6"/>
  <c r="K102" i="6"/>
  <c r="F103" i="6"/>
  <c r="G103" i="6"/>
  <c r="K103" i="6"/>
  <c r="N91" i="6"/>
  <c r="O91" i="6"/>
  <c r="N83" i="6"/>
  <c r="O83" i="6" s="1"/>
  <c r="N92" i="6"/>
  <c r="O92" i="6"/>
  <c r="N89" i="6"/>
  <c r="O89" i="6" s="1"/>
  <c r="N87" i="6"/>
  <c r="O87" i="6"/>
  <c r="N86" i="6"/>
  <c r="O86" i="6" s="1"/>
  <c r="Q86" i="6" s="1"/>
  <c r="N84" i="6"/>
  <c r="O84" i="6"/>
  <c r="Q84" i="6" s="1"/>
  <c r="N85" i="6"/>
  <c r="O85" i="6" s="1"/>
  <c r="Q85" i="6" s="1"/>
  <c r="N90" i="6"/>
  <c r="O90" i="6"/>
  <c r="Q90" i="6" s="1"/>
  <c r="N88" i="6"/>
  <c r="Q92" i="6"/>
  <c r="F112" i="6"/>
  <c r="G112" i="6"/>
  <c r="K112" i="6"/>
  <c r="F113" i="6"/>
  <c r="G113" i="6"/>
  <c r="K113" i="6"/>
  <c r="F114" i="6"/>
  <c r="G114" i="6"/>
  <c r="K114" i="6"/>
  <c r="F116" i="6"/>
  <c r="G116" i="6"/>
  <c r="K116" i="6"/>
  <c r="F115" i="6"/>
  <c r="G115" i="6"/>
  <c r="K115" i="6"/>
  <c r="F120" i="6"/>
  <c r="G120" i="6"/>
  <c r="K120" i="6"/>
  <c r="F121" i="6"/>
  <c r="G121" i="6"/>
  <c r="K121" i="6"/>
  <c r="F117" i="6"/>
  <c r="G117" i="6"/>
  <c r="K117" i="6"/>
  <c r="F118" i="6"/>
  <c r="G118" i="6"/>
  <c r="K118" i="6"/>
  <c r="F119" i="6"/>
  <c r="G119" i="6"/>
  <c r="K119" i="6"/>
  <c r="N99" i="6"/>
  <c r="O99" i="6" s="1"/>
  <c r="Q99" i="6" s="1"/>
  <c r="N96" i="6"/>
  <c r="O96" i="6"/>
  <c r="N97" i="6"/>
  <c r="O97" i="6" s="1"/>
  <c r="Q97" i="6" s="1"/>
  <c r="N95" i="6"/>
  <c r="N101" i="6"/>
  <c r="O101" i="6" s="1"/>
  <c r="N94" i="6"/>
  <c r="O94" i="6" s="1"/>
  <c r="Q94" i="6" s="1"/>
  <c r="N98" i="6"/>
  <c r="O98" i="6" s="1"/>
  <c r="N100" i="6"/>
  <c r="N93" i="6"/>
  <c r="O93" i="6" s="1"/>
  <c r="N102" i="6"/>
  <c r="F130" i="6"/>
  <c r="G130" i="6"/>
  <c r="K130" i="6"/>
  <c r="F131" i="6"/>
  <c r="G131" i="6"/>
  <c r="K131" i="6"/>
  <c r="F124" i="6"/>
  <c r="G124" i="6"/>
  <c r="K124" i="6"/>
  <c r="F122" i="6"/>
  <c r="G122" i="6"/>
  <c r="K122" i="6"/>
  <c r="F123" i="6"/>
  <c r="G123" i="6"/>
  <c r="K123" i="6"/>
  <c r="O102" i="6"/>
  <c r="O100" i="6"/>
  <c r="O95" i="6"/>
  <c r="Q96" i="6" s="1"/>
  <c r="F128" i="6"/>
  <c r="G128" i="6"/>
  <c r="K128" i="6"/>
  <c r="F129" i="6"/>
  <c r="G129" i="6"/>
  <c r="K129" i="6"/>
  <c r="F127" i="6"/>
  <c r="G127" i="6"/>
  <c r="K127" i="6"/>
  <c r="F125" i="6"/>
  <c r="G125" i="6"/>
  <c r="K125" i="6"/>
  <c r="F126" i="6"/>
  <c r="G126" i="6"/>
  <c r="K126" i="6"/>
  <c r="N109" i="6"/>
  <c r="O109" i="6"/>
  <c r="N107" i="6"/>
  <c r="N112" i="6"/>
  <c r="O112" i="6"/>
  <c r="Q112" i="6" s="1"/>
  <c r="N110" i="6"/>
  <c r="O110" i="6" s="1"/>
  <c r="N104" i="6"/>
  <c r="O104" i="6"/>
  <c r="N105" i="6"/>
  <c r="O105" i="6" s="1"/>
  <c r="Q105" i="6" s="1"/>
  <c r="N108" i="6"/>
  <c r="O108" i="6"/>
  <c r="N111" i="6"/>
  <c r="O111" i="6" s="1"/>
  <c r="Q111" i="6" s="1"/>
  <c r="N103" i="6"/>
  <c r="O103" i="6"/>
  <c r="Q103" i="6" s="1"/>
  <c r="N106" i="6"/>
  <c r="O106" i="6" s="1"/>
  <c r="Q104" i="6"/>
  <c r="F132" i="6"/>
  <c r="G132" i="6"/>
  <c r="K132" i="6"/>
  <c r="F133" i="6"/>
  <c r="G133" i="6"/>
  <c r="K133" i="6"/>
  <c r="F134" i="6"/>
  <c r="G134" i="6"/>
  <c r="K134" i="6"/>
  <c r="N117" i="6"/>
  <c r="O117" i="6"/>
  <c r="Q117" i="6" s="1"/>
  <c r="N121" i="6"/>
  <c r="O121" i="6" s="1"/>
  <c r="Q121" i="6" s="1"/>
  <c r="N119" i="6"/>
  <c r="O119" i="6"/>
  <c r="N120" i="6"/>
  <c r="O120" i="6" s="1"/>
  <c r="Q120" i="6" s="1"/>
  <c r="N115" i="6"/>
  <c r="O115" i="6"/>
  <c r="N118" i="6"/>
  <c r="O118" i="6" s="1"/>
  <c r="N122" i="6"/>
  <c r="O122" i="6"/>
  <c r="Q122" i="6" s="1"/>
  <c r="N113" i="6"/>
  <c r="O113" i="6" s="1"/>
  <c r="N114" i="6"/>
  <c r="O114" i="6" s="1"/>
  <c r="Q114" i="6" s="1"/>
  <c r="N116" i="6"/>
  <c r="O116" i="6"/>
  <c r="Q116" i="6" s="1"/>
  <c r="Q110" i="6"/>
  <c r="F137" i="6"/>
  <c r="G137" i="6"/>
  <c r="K137" i="6"/>
  <c r="F138" i="6"/>
  <c r="G138" i="6"/>
  <c r="K138" i="6"/>
  <c r="F139" i="6"/>
  <c r="G139" i="6"/>
  <c r="K139" i="6"/>
  <c r="F136" i="6"/>
  <c r="G136" i="6"/>
  <c r="K136" i="6"/>
  <c r="F135" i="6"/>
  <c r="G135" i="6"/>
  <c r="K135" i="6"/>
  <c r="F140" i="6"/>
  <c r="G140" i="6"/>
  <c r="K140" i="6"/>
  <c r="F141" i="6"/>
  <c r="G141" i="6"/>
  <c r="K141" i="6"/>
  <c r="Q119" i="6"/>
  <c r="F145" i="6"/>
  <c r="G145" i="6"/>
  <c r="K145" i="6"/>
  <c r="F146" i="6"/>
  <c r="G146" i="6"/>
  <c r="K146" i="6"/>
  <c r="N124" i="6"/>
  <c r="N128" i="6"/>
  <c r="O128" i="6"/>
  <c r="Q128" i="6" s="1"/>
  <c r="N131" i="6"/>
  <c r="O131" i="6" s="1"/>
  <c r="Q131" i="6" s="1"/>
  <c r="N132" i="6"/>
  <c r="O132" i="6"/>
  <c r="N125" i="6"/>
  <c r="O125" i="6" s="1"/>
  <c r="N129" i="6"/>
  <c r="O129" i="6"/>
  <c r="Q129" i="6" s="1"/>
  <c r="N127" i="6"/>
  <c r="O127" i="6" s="1"/>
  <c r="N123" i="6"/>
  <c r="O123" i="6"/>
  <c r="Q123" i="6" s="1"/>
  <c r="N126" i="6"/>
  <c r="O126" i="6"/>
  <c r="N130" i="6"/>
  <c r="O130" i="6" s="1"/>
  <c r="Q130" i="6" s="1"/>
  <c r="F144" i="6"/>
  <c r="G144" i="6"/>
  <c r="K144" i="6"/>
  <c r="F142" i="6"/>
  <c r="G142" i="6"/>
  <c r="K142" i="6"/>
  <c r="F143" i="6"/>
  <c r="G143" i="6"/>
  <c r="K143" i="6"/>
  <c r="F150" i="6"/>
  <c r="G150" i="6"/>
  <c r="K150" i="6"/>
  <c r="F151" i="6"/>
  <c r="G151" i="6"/>
  <c r="K151" i="6"/>
  <c r="F148" i="6"/>
  <c r="G148" i="6"/>
  <c r="K148" i="6"/>
  <c r="F149" i="6"/>
  <c r="G149" i="6"/>
  <c r="K149" i="6"/>
  <c r="F147" i="6"/>
  <c r="G147" i="6"/>
  <c r="K147" i="6"/>
  <c r="Q127" i="6"/>
  <c r="F160" i="6"/>
  <c r="G160" i="6"/>
  <c r="K160" i="6"/>
  <c r="F161" i="6"/>
  <c r="G161" i="6"/>
  <c r="K161" i="6"/>
  <c r="N137" i="6"/>
  <c r="O137" i="6" s="1"/>
  <c r="N133" i="6"/>
  <c r="O143" i="6" s="1"/>
  <c r="Q143" i="6" s="1"/>
  <c r="N142" i="6"/>
  <c r="N140" i="6"/>
  <c r="N141" i="6"/>
  <c r="N136" i="6"/>
  <c r="O136" i="6" s="1"/>
  <c r="Q136" i="6" s="1"/>
  <c r="N138" i="6"/>
  <c r="N135" i="6"/>
  <c r="O135" i="6"/>
  <c r="N134" i="6"/>
  <c r="O134" i="6" s="1"/>
  <c r="N139" i="6"/>
  <c r="O139" i="6" s="1"/>
  <c r="Q139" i="6" s="1"/>
  <c r="F156" i="6"/>
  <c r="G156" i="6"/>
  <c r="K156" i="6"/>
  <c r="F155" i="6"/>
  <c r="G155" i="6"/>
  <c r="K155" i="6"/>
  <c r="F152" i="6"/>
  <c r="G152" i="6"/>
  <c r="K152" i="6"/>
  <c r="F153" i="6"/>
  <c r="G153" i="6"/>
  <c r="K153" i="6"/>
  <c r="F154" i="6"/>
  <c r="G154" i="6"/>
  <c r="K154" i="6"/>
  <c r="F157" i="6"/>
  <c r="G157" i="6"/>
  <c r="K157" i="6"/>
  <c r="F158" i="6"/>
  <c r="G158" i="6"/>
  <c r="K158" i="6"/>
  <c r="F159" i="6"/>
  <c r="G159" i="6"/>
  <c r="K159" i="6"/>
  <c r="F170" i="6"/>
  <c r="G170" i="6"/>
  <c r="K170" i="6"/>
  <c r="F171" i="6"/>
  <c r="G171" i="6"/>
  <c r="K171" i="6"/>
  <c r="F166" i="6"/>
  <c r="G166" i="6"/>
  <c r="K166" i="6"/>
  <c r="F165" i="6"/>
  <c r="G165" i="6"/>
  <c r="K165" i="6"/>
  <c r="N152" i="6"/>
  <c r="O152" i="6" s="1"/>
  <c r="N144" i="6"/>
  <c r="O144" i="6"/>
  <c r="N150" i="6"/>
  <c r="O150" i="6" s="1"/>
  <c r="Q150" i="6" s="1"/>
  <c r="N143" i="6"/>
  <c r="N149" i="6"/>
  <c r="O149" i="6" s="1"/>
  <c r="N151" i="6"/>
  <c r="O151" i="6"/>
  <c r="N148" i="6"/>
  <c r="O148" i="6" s="1"/>
  <c r="Q148" i="6" s="1"/>
  <c r="N146" i="6"/>
  <c r="O146" i="6"/>
  <c r="Q146" i="6" s="1"/>
  <c r="N147" i="6"/>
  <c r="O147" i="6" s="1"/>
  <c r="N145" i="6"/>
  <c r="O145" i="6"/>
  <c r="Q145" i="6" s="1"/>
  <c r="O133" i="6"/>
  <c r="Q133" i="6" s="1"/>
  <c r="F168" i="6"/>
  <c r="G168" i="6"/>
  <c r="K168" i="6"/>
  <c r="F167" i="6"/>
  <c r="G167" i="6"/>
  <c r="K167" i="6"/>
  <c r="F169" i="6"/>
  <c r="G169" i="6"/>
  <c r="K169" i="6"/>
  <c r="F164" i="6"/>
  <c r="G164" i="6"/>
  <c r="K164" i="6"/>
  <c r="F162" i="6"/>
  <c r="G162" i="6"/>
  <c r="K162" i="6"/>
  <c r="F163" i="6"/>
  <c r="G163" i="6"/>
  <c r="K163" i="6"/>
  <c r="O138" i="6"/>
  <c r="O142" i="6"/>
  <c r="F178" i="6"/>
  <c r="G178" i="6"/>
  <c r="K178" i="6"/>
  <c r="F179" i="6"/>
  <c r="G179" i="6"/>
  <c r="K179" i="6"/>
  <c r="F177" i="6"/>
  <c r="G177" i="6"/>
  <c r="K177" i="6"/>
  <c r="F180" i="6"/>
  <c r="G180" i="6"/>
  <c r="K180" i="6"/>
  <c r="F181" i="6"/>
  <c r="G181" i="6"/>
  <c r="K181" i="6"/>
  <c r="Q138" i="6"/>
  <c r="Q149" i="6"/>
  <c r="F184" i="6"/>
  <c r="G184" i="6"/>
  <c r="K184" i="6"/>
  <c r="F182" i="6"/>
  <c r="G182" i="6"/>
  <c r="K182" i="6"/>
  <c r="F183" i="6"/>
  <c r="G183" i="6"/>
  <c r="K183" i="6"/>
  <c r="F172" i="6"/>
  <c r="G172" i="6"/>
  <c r="K172" i="6"/>
  <c r="F174" i="6"/>
  <c r="G174" i="6"/>
  <c r="K174" i="6"/>
  <c r="F173" i="6"/>
  <c r="G173" i="6"/>
  <c r="K173" i="6"/>
  <c r="F176" i="6"/>
  <c r="G176" i="6"/>
  <c r="K176" i="6"/>
  <c r="F175" i="6"/>
  <c r="G175" i="6"/>
  <c r="K175" i="6"/>
  <c r="N156" i="6"/>
  <c r="O156" i="6"/>
  <c r="N154" i="6"/>
  <c r="O154" i="6" s="1"/>
  <c r="Q154" i="6" s="1"/>
  <c r="N157" i="6"/>
  <c r="O157" i="6"/>
  <c r="N160" i="6"/>
  <c r="O160" i="6" s="1"/>
  <c r="N159" i="6"/>
  <c r="O159" i="6"/>
  <c r="N161" i="6"/>
  <c r="O161" i="6"/>
  <c r="N153" i="6"/>
  <c r="O153" i="6"/>
  <c r="Q153" i="6"/>
  <c r="N158" i="6"/>
  <c r="O158" i="6" s="1"/>
  <c r="Q158" i="6" s="1"/>
  <c r="N155" i="6"/>
  <c r="O165" i="6" s="1"/>
  <c r="Q165" i="6" s="1"/>
  <c r="N162" i="6"/>
  <c r="O162" i="6" s="1"/>
  <c r="Q162" i="6"/>
  <c r="N172" i="6"/>
  <c r="O182" i="6" s="1"/>
  <c r="Q182" i="6" s="1"/>
  <c r="O172" i="6"/>
  <c r="Q172" i="6" s="1"/>
  <c r="N164" i="6"/>
  <c r="O164" i="6" s="1"/>
  <c r="Q164" i="6" s="1"/>
  <c r="N171" i="6"/>
  <c r="O181" i="6" s="1"/>
  <c r="O171" i="6"/>
  <c r="N167" i="6"/>
  <c r="O167" i="6" s="1"/>
  <c r="N170" i="6"/>
  <c r="O170" i="6" s="1"/>
  <c r="Q170" i="6" s="1"/>
  <c r="N163" i="6"/>
  <c r="O163" i="6" s="1"/>
  <c r="Q163" i="6"/>
  <c r="N168" i="6"/>
  <c r="O168" i="6" s="1"/>
  <c r="Q168" i="6" s="1"/>
  <c r="N165" i="6"/>
  <c r="N169" i="6"/>
  <c r="O169" i="6"/>
  <c r="N166" i="6"/>
  <c r="O166" i="6" s="1"/>
  <c r="Q157" i="6"/>
  <c r="Q160" i="6"/>
  <c r="Q159" i="6"/>
  <c r="N178" i="6"/>
  <c r="N179" i="6"/>
  <c r="N174" i="6"/>
  <c r="N181" i="6"/>
  <c r="N176" i="6"/>
  <c r="N175" i="6"/>
  <c r="O175" i="6" s="1"/>
  <c r="O185" i="6"/>
  <c r="N182" i="6"/>
  <c r="N173" i="6"/>
  <c r="N177" i="6"/>
  <c r="N180" i="6"/>
  <c r="O190" i="6" s="1"/>
  <c r="Q190" i="6" s="1"/>
  <c r="Q167" i="6"/>
  <c r="O189" i="6"/>
  <c r="Q189" i="6" s="1"/>
  <c r="O179" i="6"/>
  <c r="O187" i="6"/>
  <c r="Q187" i="6" s="1"/>
  <c r="O177" i="6"/>
  <c r="Q177" i="6" s="1"/>
  <c r="O183" i="6"/>
  <c r="Q183" i="6" s="1"/>
  <c r="O191" i="6"/>
  <c r="Q192" i="6" s="1"/>
  <c r="O186" i="6"/>
  <c r="O176" i="6"/>
  <c r="O188" i="6"/>
  <c r="Q188" i="6" s="1"/>
  <c r="O192" i="6"/>
  <c r="Q193" i="6" s="1"/>
  <c r="O184" i="6"/>
  <c r="Q184" i="6" s="1"/>
  <c r="O174" i="6"/>
  <c r="Q166" i="6"/>
  <c r="Q191" i="6"/>
  <c r="AU130" i="6" l="1"/>
  <c r="AS71" i="6"/>
  <c r="AU151" i="6"/>
  <c r="A21" i="1"/>
  <c r="AR97" i="2"/>
  <c r="BJ97" i="2" s="1"/>
  <c r="AR9" i="2"/>
  <c r="BJ9" i="2" s="1"/>
  <c r="AR57" i="2"/>
  <c r="BJ57" i="2" s="1"/>
  <c r="AR105" i="2"/>
  <c r="BJ105" i="2" s="1"/>
  <c r="P35" i="1"/>
  <c r="AR85" i="2"/>
  <c r="BJ85" i="2" s="1"/>
  <c r="AR47" i="2"/>
  <c r="BJ47" i="2" s="1"/>
  <c r="AR25" i="2"/>
  <c r="BJ25" i="2" s="1"/>
  <c r="AR107" i="2"/>
  <c r="BJ107" i="2" s="1"/>
  <c r="AR75" i="2"/>
  <c r="BJ75" i="2" s="1"/>
  <c r="AR31" i="2"/>
  <c r="BJ31" i="2" s="1"/>
  <c r="AR27" i="2"/>
  <c r="BJ27" i="2" s="1"/>
  <c r="AR90" i="2"/>
  <c r="BJ90" i="2" s="1"/>
  <c r="AR86" i="2"/>
  <c r="BJ86" i="2" s="1"/>
  <c r="AR49" i="2"/>
  <c r="BJ49" i="2" s="1"/>
  <c r="AR17" i="2"/>
  <c r="BJ17" i="2" s="1"/>
  <c r="AR104" i="2"/>
  <c r="BJ104" i="2" s="1"/>
  <c r="AR64" i="2"/>
  <c r="BJ64" i="2" s="1"/>
  <c r="AR36" i="2"/>
  <c r="BJ36" i="2" s="1"/>
  <c r="AR20" i="2"/>
  <c r="BJ20" i="2" s="1"/>
  <c r="AR8" i="2"/>
  <c r="BJ8" i="2" s="1"/>
  <c r="AG29" i="6"/>
  <c r="AG137" i="6"/>
  <c r="AS137" i="6" s="1"/>
  <c r="AG132" i="6"/>
  <c r="AT132" i="6" s="1"/>
  <c r="AG164" i="6"/>
  <c r="AT164" i="6" s="1"/>
  <c r="AG57" i="6"/>
  <c r="AG128" i="6"/>
  <c r="AS128" i="6" s="1"/>
  <c r="AG59" i="6"/>
  <c r="AT59" i="6" s="1"/>
  <c r="AG28" i="6"/>
  <c r="AG75" i="6"/>
  <c r="AU75" i="6" s="1"/>
  <c r="AG129" i="6"/>
  <c r="AS129" i="6" s="1"/>
  <c r="AG103" i="6"/>
  <c r="AS103" i="6" s="1"/>
  <c r="AG11" i="6"/>
  <c r="AG9" i="6"/>
  <c r="AS9" i="6" s="1"/>
  <c r="AG178" i="6"/>
  <c r="AT178" i="6" s="1"/>
  <c r="AG46" i="6"/>
  <c r="AU46" i="6" s="1"/>
  <c r="AG68" i="6"/>
  <c r="AT68" i="6" s="1"/>
  <c r="AG163" i="6"/>
  <c r="AS163" i="6" s="1"/>
  <c r="AG72" i="6"/>
  <c r="AS72" i="6" s="1"/>
  <c r="AG162" i="6"/>
  <c r="AU162" i="6" s="1"/>
  <c r="AG91" i="6"/>
  <c r="AT91" i="6" s="1"/>
  <c r="AG88" i="6"/>
  <c r="AU88" i="6" s="1"/>
  <c r="AG158" i="6"/>
  <c r="AU158" i="6" s="1"/>
  <c r="AG166" i="6"/>
  <c r="AT166" i="6" s="1"/>
  <c r="AG89" i="6"/>
  <c r="AU89" i="6" s="1"/>
  <c r="AG84" i="6"/>
  <c r="AS84" i="6" s="1"/>
  <c r="AG175" i="6"/>
  <c r="AS175" i="6" s="1"/>
  <c r="AG117" i="6"/>
  <c r="AS117" i="6" s="1"/>
  <c r="AG199" i="6"/>
  <c r="AG121" i="6"/>
  <c r="AU121" i="6" s="1"/>
  <c r="AG138" i="6"/>
  <c r="AS138" i="6" s="1"/>
  <c r="AG65" i="6"/>
  <c r="AU65" i="6" s="1"/>
  <c r="AG85" i="6"/>
  <c r="AG8" i="6"/>
  <c r="AT8" i="6" s="1"/>
  <c r="AG118" i="6"/>
  <c r="AS118" i="6" s="1"/>
  <c r="AG48" i="6"/>
  <c r="AU48" i="6" s="1"/>
  <c r="AG122" i="6"/>
  <c r="AG165" i="6"/>
  <c r="AT165" i="6" s="1"/>
  <c r="AR65" i="2"/>
  <c r="BJ65" i="2" s="1"/>
  <c r="AR37" i="2"/>
  <c r="BJ37" i="2" s="1"/>
  <c r="AR77" i="2"/>
  <c r="BJ77" i="2" s="1"/>
  <c r="AR78" i="2"/>
  <c r="BJ78" i="2" s="1"/>
  <c r="AR41" i="2"/>
  <c r="BJ41" i="2" s="1"/>
  <c r="AR73" i="2"/>
  <c r="BJ73" i="2" s="1"/>
  <c r="AR99" i="2"/>
  <c r="BJ99" i="2" s="1"/>
  <c r="AR91" i="2"/>
  <c r="BJ91" i="2" s="1"/>
  <c r="AR67" i="2"/>
  <c r="BJ67" i="2" s="1"/>
  <c r="AR55" i="2"/>
  <c r="BJ55" i="2" s="1"/>
  <c r="AR19" i="2"/>
  <c r="BJ19" i="2" s="1"/>
  <c r="AR11" i="2"/>
  <c r="BJ11" i="2" s="1"/>
  <c r="AR82" i="2"/>
  <c r="BJ82" i="2" s="1"/>
  <c r="AR58" i="2"/>
  <c r="BJ58" i="2" s="1"/>
  <c r="AR46" i="2"/>
  <c r="BJ46" i="2" s="1"/>
  <c r="AR38" i="2"/>
  <c r="BJ38" i="2" s="1"/>
  <c r="AR34" i="2"/>
  <c r="BJ34" i="2" s="1"/>
  <c r="AR26" i="2"/>
  <c r="BJ26" i="2" s="1"/>
  <c r="AR29" i="2"/>
  <c r="BJ29" i="2" s="1"/>
  <c r="AR88" i="2"/>
  <c r="BJ88" i="2" s="1"/>
  <c r="AR52" i="2"/>
  <c r="BJ52" i="2" s="1"/>
  <c r="AR68" i="2"/>
  <c r="BJ68" i="2" s="1"/>
  <c r="AG81" i="6"/>
  <c r="AS81" i="6" s="1"/>
  <c r="AG73" i="6"/>
  <c r="AS73" i="6" s="1"/>
  <c r="AG198" i="6"/>
  <c r="AG54" i="6"/>
  <c r="AT54" i="6" s="1"/>
  <c r="AG124" i="6"/>
  <c r="AG142" i="6"/>
  <c r="AT142" i="6" s="1"/>
  <c r="AG60" i="6"/>
  <c r="AG148" i="6"/>
  <c r="AS148" i="6" s="1"/>
  <c r="AG62" i="6"/>
  <c r="AG140" i="6"/>
  <c r="AT140" i="6" s="1"/>
  <c r="AG167" i="6"/>
  <c r="AG23" i="6"/>
  <c r="AT23" i="6" s="1"/>
  <c r="AG82" i="6"/>
  <c r="AG104" i="6"/>
  <c r="AU104" i="6" s="1"/>
  <c r="AG110" i="6"/>
  <c r="AU110" i="6" s="1"/>
  <c r="AG90" i="6"/>
  <c r="AS90" i="6" s="1"/>
  <c r="AG173" i="6"/>
  <c r="AT173" i="6" s="1"/>
  <c r="AG49" i="6"/>
  <c r="AU49" i="6" s="1"/>
  <c r="AG64" i="6"/>
  <c r="AG170" i="6"/>
  <c r="AU170" i="6" s="1"/>
  <c r="AG196" i="6"/>
  <c r="AU196" i="6" s="1"/>
  <c r="AG114" i="6"/>
  <c r="AS114" i="6" s="1"/>
  <c r="AG86" i="6"/>
  <c r="AG7" i="6"/>
  <c r="AS7" i="6" s="1"/>
  <c r="AG174" i="6"/>
  <c r="AT174" i="6" s="1"/>
  <c r="AG180" i="6"/>
  <c r="AS180" i="6" s="1"/>
  <c r="AG201" i="6"/>
  <c r="AS201" i="6" s="1"/>
  <c r="AG134" i="6"/>
  <c r="AS134" i="6" s="1"/>
  <c r="AG37" i="6"/>
  <c r="AG116" i="6"/>
  <c r="AT116" i="6" s="1"/>
  <c r="AG70" i="6"/>
  <c r="AU70" i="6" s="1"/>
  <c r="AG194" i="6"/>
  <c r="AS194" i="6" s="1"/>
  <c r="AG45" i="6"/>
  <c r="AT45" i="6" s="1"/>
  <c r="AG119" i="6"/>
  <c r="AS119" i="6" s="1"/>
  <c r="AG176" i="6"/>
  <c r="AS176" i="6" s="1"/>
  <c r="AG113" i="6"/>
  <c r="AS113" i="6" s="1"/>
  <c r="AG67" i="6"/>
  <c r="AS67" i="6" s="1"/>
  <c r="AG152" i="6"/>
  <c r="AS152" i="6" s="1"/>
  <c r="AG154" i="6"/>
  <c r="AG36" i="6"/>
  <c r="AU36" i="6" s="1"/>
  <c r="AG171" i="6"/>
  <c r="AG44" i="6"/>
  <c r="AU44" i="6" s="1"/>
  <c r="AG172" i="6"/>
  <c r="AU172" i="6" s="1"/>
  <c r="AG155" i="6"/>
  <c r="AU155" i="6" s="1"/>
  <c r="AG136" i="6"/>
  <c r="AT136" i="6" s="1"/>
  <c r="AG159" i="6"/>
  <c r="AT159" i="6" s="1"/>
  <c r="AR45" i="2"/>
  <c r="BJ45" i="2" s="1"/>
  <c r="AR74" i="2"/>
  <c r="BJ74" i="2" s="1"/>
  <c r="AR61" i="2"/>
  <c r="BJ61" i="2" s="1"/>
  <c r="AR71" i="2"/>
  <c r="BJ71" i="2" s="1"/>
  <c r="AR51" i="2"/>
  <c r="BJ51" i="2" s="1"/>
  <c r="AR43" i="2"/>
  <c r="BJ43" i="2" s="1"/>
  <c r="AR39" i="2"/>
  <c r="BJ39" i="2" s="1"/>
  <c r="AR50" i="2"/>
  <c r="BJ50" i="2" s="1"/>
  <c r="AR22" i="2"/>
  <c r="BJ22" i="2" s="1"/>
  <c r="AR14" i="2"/>
  <c r="BJ14" i="2" s="1"/>
  <c r="AR60" i="2"/>
  <c r="BJ60" i="2" s="1"/>
  <c r="AR96" i="2"/>
  <c r="BJ96" i="2" s="1"/>
  <c r="AR80" i="2"/>
  <c r="BJ80" i="2" s="1"/>
  <c r="AG61" i="6"/>
  <c r="AU61" i="6" s="1"/>
  <c r="AG79" i="6"/>
  <c r="AG55" i="6"/>
  <c r="AU55" i="6" s="1"/>
  <c r="AG126" i="6"/>
  <c r="AS126" i="6" s="1"/>
  <c r="AG131" i="6"/>
  <c r="AS131" i="6" s="1"/>
  <c r="AG92" i="6"/>
  <c r="AG141" i="6"/>
  <c r="AT141" i="6" s="1"/>
  <c r="AG27" i="6"/>
  <c r="AS27" i="6" s="1"/>
  <c r="AG179" i="6"/>
  <c r="AU179" i="6" s="1"/>
  <c r="AG69" i="6"/>
  <c r="AT69" i="6" s="1"/>
  <c r="AG156" i="6"/>
  <c r="AS156" i="6" s="1"/>
  <c r="AG51" i="6"/>
  <c r="AS51" i="6" s="1"/>
  <c r="AG66" i="6"/>
  <c r="AS66" i="6" s="1"/>
  <c r="AG87" i="6"/>
  <c r="AU87" i="6" s="1"/>
  <c r="AG161" i="6"/>
  <c r="AT161" i="6" s="1"/>
  <c r="AG195" i="6"/>
  <c r="AU195" i="6" s="1"/>
  <c r="AG52" i="6"/>
  <c r="AT52" i="6" s="1"/>
  <c r="AG41" i="6"/>
  <c r="AG157" i="6"/>
  <c r="AS157" i="6" s="1"/>
  <c r="AG22" i="6"/>
  <c r="AT22" i="6" s="1"/>
  <c r="AG100" i="6"/>
  <c r="AT100" i="6" s="1"/>
  <c r="AG191" i="6"/>
  <c r="AG187" i="6"/>
  <c r="AU187" i="6" s="1"/>
  <c r="AG101" i="6"/>
  <c r="AT101" i="6" s="1"/>
  <c r="AG192" i="6"/>
  <c r="AU192" i="6" s="1"/>
  <c r="AG20" i="6"/>
  <c r="AT20" i="6" s="1"/>
  <c r="AG184" i="6"/>
  <c r="AS184" i="6" s="1"/>
  <c r="AU93" i="6"/>
  <c r="AG17" i="6"/>
  <c r="AS17" i="6" s="1"/>
  <c r="AG109" i="6"/>
  <c r="AS109" i="6" s="1"/>
  <c r="AG189" i="6"/>
  <c r="AS189" i="6" s="1"/>
  <c r="AG190" i="6"/>
  <c r="AT190" i="6" s="1"/>
  <c r="AG13" i="6"/>
  <c r="AT13" i="6" s="1"/>
  <c r="AG186" i="6"/>
  <c r="AS186" i="6" s="1"/>
  <c r="AG94" i="6"/>
  <c r="AU94" i="6" s="1"/>
  <c r="AG16" i="6"/>
  <c r="AG18" i="6"/>
  <c r="AU18" i="6" s="1"/>
  <c r="AG188" i="6"/>
  <c r="AT188" i="6" s="1"/>
  <c r="AU111" i="6"/>
  <c r="AG63" i="6"/>
  <c r="AS63" i="6" s="1"/>
  <c r="AG193" i="6"/>
  <c r="AG177" i="6"/>
  <c r="AS177" i="6" s="1"/>
  <c r="AG182" i="6"/>
  <c r="AU182" i="6" s="1"/>
  <c r="AG43" i="6"/>
  <c r="AS43" i="6" s="1"/>
  <c r="AG181" i="6"/>
  <c r="AT181" i="6" s="1"/>
  <c r="AG32" i="6"/>
  <c r="AS32" i="6" s="1"/>
  <c r="AG38" i="6"/>
  <c r="AS38" i="6" s="1"/>
  <c r="AG197" i="6"/>
  <c r="AS197" i="6" s="1"/>
  <c r="AG202" i="6"/>
  <c r="AG153" i="6"/>
  <c r="AT153" i="6" s="1"/>
  <c r="AG33" i="6"/>
  <c r="AS33" i="6" s="1"/>
  <c r="AG31" i="6"/>
  <c r="AS31" i="6" s="1"/>
  <c r="AG123" i="6"/>
  <c r="AG58" i="6"/>
  <c r="AS58" i="6" s="1"/>
  <c r="AR12" i="2"/>
  <c r="BJ12" i="2" s="1"/>
  <c r="AR24" i="2"/>
  <c r="BJ24" i="2" s="1"/>
  <c r="AR32" i="2"/>
  <c r="BJ32" i="2" s="1"/>
  <c r="AR48" i="2"/>
  <c r="BJ48" i="2" s="1"/>
  <c r="AR92" i="2"/>
  <c r="BJ92" i="2" s="1"/>
  <c r="AR84" i="2"/>
  <c r="BJ84" i="2" s="1"/>
  <c r="AR62" i="2"/>
  <c r="BJ62" i="2" s="1"/>
  <c r="AR70" i="2"/>
  <c r="BJ70" i="2" s="1"/>
  <c r="AR15" i="2"/>
  <c r="BJ15" i="2" s="1"/>
  <c r="AR79" i="2"/>
  <c r="BJ79" i="2" s="1"/>
  <c r="AR13" i="2"/>
  <c r="BJ13" i="2" s="1"/>
  <c r="AR106" i="2"/>
  <c r="BJ106" i="2" s="1"/>
  <c r="AR42" i="2"/>
  <c r="BJ42" i="2" s="1"/>
  <c r="AR81" i="2"/>
  <c r="BJ81" i="2" s="1"/>
  <c r="AS21" i="6"/>
  <c r="AS105" i="6"/>
  <c r="AU157" i="6"/>
  <c r="AG102" i="6"/>
  <c r="AG14" i="6"/>
  <c r="AU14" i="6" s="1"/>
  <c r="AG98" i="6"/>
  <c r="AU98" i="6" s="1"/>
  <c r="AG99" i="6"/>
  <c r="AS99" i="6" s="1"/>
  <c r="AG95" i="6"/>
  <c r="AG183" i="6"/>
  <c r="AT183" i="6" s="1"/>
  <c r="AG112" i="6"/>
  <c r="AU112" i="6" s="1"/>
  <c r="AG107" i="6"/>
  <c r="AT107" i="6" s="1"/>
  <c r="AS200" i="6"/>
  <c r="AS125" i="6"/>
  <c r="AU51" i="6"/>
  <c r="AU169" i="6"/>
  <c r="AU77" i="6"/>
  <c r="AG120" i="6"/>
  <c r="AU120" i="6" s="1"/>
  <c r="AG115" i="6"/>
  <c r="AS115" i="6" s="1"/>
  <c r="AG83" i="6"/>
  <c r="AU83" i="6" s="1"/>
  <c r="AG80" i="6"/>
  <c r="AS80" i="6" s="1"/>
  <c r="AG160" i="6"/>
  <c r="AT160" i="6" s="1"/>
  <c r="AG47" i="6"/>
  <c r="AS47" i="6" s="1"/>
  <c r="AG168" i="6"/>
  <c r="AU168" i="6" s="1"/>
  <c r="AU126" i="6"/>
  <c r="AG34" i="6"/>
  <c r="AG149" i="6"/>
  <c r="AT149" i="6" s="1"/>
  <c r="AG56" i="6"/>
  <c r="AS56" i="6" s="1"/>
  <c r="AG4" i="6"/>
  <c r="AU4" i="6" s="1"/>
  <c r="AR16" i="2"/>
  <c r="BJ16" i="2" s="1"/>
  <c r="AR28" i="2"/>
  <c r="BJ28" i="2" s="1"/>
  <c r="AR44" i="2"/>
  <c r="BJ44" i="2" s="1"/>
  <c r="AR56" i="2"/>
  <c r="BJ56" i="2" s="1"/>
  <c r="AR100" i="2"/>
  <c r="BJ100" i="2" s="1"/>
  <c r="AR66" i="2"/>
  <c r="BJ66" i="2" s="1"/>
  <c r="AR83" i="2"/>
  <c r="BJ83" i="2" s="1"/>
  <c r="AR87" i="2"/>
  <c r="BJ87" i="2" s="1"/>
  <c r="AR103" i="2"/>
  <c r="BJ103" i="2" s="1"/>
  <c r="AR53" i="2"/>
  <c r="BJ53" i="2" s="1"/>
  <c r="AR69" i="2"/>
  <c r="BJ69" i="2" s="1"/>
  <c r="AU31" i="6"/>
  <c r="AU143" i="6"/>
  <c r="AS30" i="6"/>
  <c r="AG3" i="6"/>
  <c r="AU3" i="6" s="1"/>
  <c r="AG6" i="6"/>
  <c r="AU6" i="6" s="1"/>
  <c r="AG5" i="6"/>
  <c r="AS5" i="6" s="1"/>
  <c r="AU84" i="6"/>
  <c r="AS42" i="6"/>
  <c r="AU81" i="6"/>
  <c r="AS96" i="6"/>
  <c r="AU108" i="6"/>
  <c r="AS112" i="6"/>
  <c r="AU9" i="6"/>
  <c r="AE13" i="1"/>
  <c r="Z13" i="1"/>
  <c r="AJ13" i="1"/>
  <c r="P13" i="1"/>
  <c r="AO13" i="1"/>
  <c r="AT98" i="6"/>
  <c r="AS83" i="6"/>
  <c r="AU50" i="6"/>
  <c r="AS15" i="6"/>
  <c r="AS36" i="6"/>
  <c r="AU56" i="6"/>
  <c r="AS12" i="6"/>
  <c r="AS139" i="6"/>
  <c r="AU74" i="6"/>
  <c r="AS97" i="6"/>
  <c r="AS110" i="6"/>
  <c r="Q175" i="6"/>
  <c r="Q176" i="6"/>
  <c r="Q174" i="6"/>
  <c r="Q171" i="6"/>
  <c r="Q161" i="6"/>
  <c r="Q144" i="6"/>
  <c r="Q137" i="6"/>
  <c r="Q67" i="6"/>
  <c r="Q65" i="6"/>
  <c r="Q151" i="6"/>
  <c r="O140" i="6"/>
  <c r="Q140" i="6" s="1"/>
  <c r="O141" i="6"/>
  <c r="Q132" i="6"/>
  <c r="Q126" i="6"/>
  <c r="Q118" i="6"/>
  <c r="Q106" i="6"/>
  <c r="O107" i="6"/>
  <c r="Q107" i="6" s="1"/>
  <c r="Q87" i="6"/>
  <c r="Q79" i="6"/>
  <c r="Q71" i="6"/>
  <c r="Q33" i="6"/>
  <c r="Q20" i="6"/>
  <c r="Q38" i="6"/>
  <c r="Q37" i="6"/>
  <c r="Q27" i="6"/>
  <c r="Q28" i="6"/>
  <c r="O39" i="6"/>
  <c r="O46" i="6"/>
  <c r="O36" i="6"/>
  <c r="Q36" i="6" s="1"/>
  <c r="Q58" i="6"/>
  <c r="Q52" i="6"/>
  <c r="AS3" i="6"/>
  <c r="AU19" i="6"/>
  <c r="AS19" i="6"/>
  <c r="Q169" i="6"/>
  <c r="Q134" i="6"/>
  <c r="Q81" i="6"/>
  <c r="Q50" i="6"/>
  <c r="Q49" i="6"/>
  <c r="AS10" i="6"/>
  <c r="AU10" i="6"/>
  <c r="AU190" i="6"/>
  <c r="AS190" i="6"/>
  <c r="Q185" i="6"/>
  <c r="Q135" i="6"/>
  <c r="Q95" i="6"/>
  <c r="Q100" i="6"/>
  <c r="Q98" i="6"/>
  <c r="Q91" i="6"/>
  <c r="Q64" i="6"/>
  <c r="O31" i="6"/>
  <c r="Q31" i="6" s="1"/>
  <c r="Q186" i="6"/>
  <c r="O180" i="6"/>
  <c r="O178" i="6"/>
  <c r="O173" i="6"/>
  <c r="Q173" i="6" s="1"/>
  <c r="O155" i="6"/>
  <c r="Q155" i="6" s="1"/>
  <c r="Q147" i="6"/>
  <c r="Q152" i="6"/>
  <c r="O124" i="6"/>
  <c r="Q124" i="6" s="1"/>
  <c r="Q113" i="6"/>
  <c r="Q115" i="6"/>
  <c r="Q109" i="6"/>
  <c r="Q93" i="6"/>
  <c r="Q102" i="6"/>
  <c r="Q101" i="6"/>
  <c r="O88" i="6"/>
  <c r="Q88" i="6" s="1"/>
  <c r="Q83" i="6"/>
  <c r="Q73" i="6"/>
  <c r="Q76" i="6"/>
  <c r="Q60" i="6"/>
  <c r="O63" i="6"/>
  <c r="Q54" i="6"/>
  <c r="O62" i="6"/>
  <c r="Q62" i="6" s="1"/>
  <c r="AU59" i="6"/>
  <c r="AS185" i="6"/>
  <c r="AU185" i="6"/>
  <c r="AT185" i="6"/>
  <c r="AT19" i="6"/>
  <c r="AT21" i="6"/>
  <c r="AT108" i="6"/>
  <c r="AT96" i="6"/>
  <c r="AT63" i="6"/>
  <c r="AT155" i="6"/>
  <c r="AT118" i="6"/>
  <c r="AT201" i="6"/>
  <c r="AT32" i="6"/>
  <c r="AT38" i="6"/>
  <c r="AT50" i="6"/>
  <c r="AT105" i="6"/>
  <c r="AT110" i="6"/>
  <c r="AT104" i="6"/>
  <c r="AT129" i="6"/>
  <c r="AT151" i="6"/>
  <c r="AT74" i="6"/>
  <c r="AZ39" i="6"/>
  <c r="AY39" i="6"/>
  <c r="BC39" i="6"/>
  <c r="AH39" i="6"/>
  <c r="AR39" i="6" s="1"/>
  <c r="AG39" i="6"/>
  <c r="BA144" i="6"/>
  <c r="AK144" i="6"/>
  <c r="AY144" i="6"/>
  <c r="BB144" i="6"/>
  <c r="AH144" i="6"/>
  <c r="AR144" i="6" s="1"/>
  <c r="AZ144" i="6"/>
  <c r="AI144" i="6"/>
  <c r="AO144" i="6" s="1"/>
  <c r="AJ144" i="6"/>
  <c r="BC144" i="6"/>
  <c r="AG144" i="6"/>
  <c r="AZ133" i="6"/>
  <c r="AY133" i="6"/>
  <c r="AK133" i="6"/>
  <c r="AH133" i="6"/>
  <c r="BA133" i="6"/>
  <c r="AG133" i="6"/>
  <c r="AI133" i="6"/>
  <c r="AO133" i="6" s="1"/>
  <c r="BB133" i="6"/>
  <c r="BC133" i="6"/>
  <c r="AJ133" i="6"/>
  <c r="BC129" i="6"/>
  <c r="AK129" i="6"/>
  <c r="BA129" i="6"/>
  <c r="BB129" i="6"/>
  <c r="AH129" i="6"/>
  <c r="AR129" i="6" s="1"/>
  <c r="BA124" i="6"/>
  <c r="AZ124" i="6"/>
  <c r="BC124" i="6"/>
  <c r="AI124" i="6"/>
  <c r="AO124" i="6" s="1"/>
  <c r="AQ124" i="6" s="1"/>
  <c r="BB124" i="6"/>
  <c r="BB76" i="6"/>
  <c r="AZ76" i="6"/>
  <c r="AK76" i="6"/>
  <c r="BC76" i="6"/>
  <c r="BA76" i="6"/>
  <c r="AH76" i="6"/>
  <c r="AR76" i="6" s="1"/>
  <c r="AJ76" i="6"/>
  <c r="AI76" i="6"/>
  <c r="AO76" i="6" s="1"/>
  <c r="AY76" i="6"/>
  <c r="AG76" i="6"/>
  <c r="AT15" i="6"/>
  <c r="AT16" i="6"/>
  <c r="AT106" i="6"/>
  <c r="AT112" i="6"/>
  <c r="AT172" i="6"/>
  <c r="AT154" i="6"/>
  <c r="AT12" i="6"/>
  <c r="AT194" i="6"/>
  <c r="AT51" i="6"/>
  <c r="AT27" i="6"/>
  <c r="AT64" i="6"/>
  <c r="AT93" i="6"/>
  <c r="AT48" i="6"/>
  <c r="AT43" i="6"/>
  <c r="AT121" i="6"/>
  <c r="AT71" i="6"/>
  <c r="AT10" i="6"/>
  <c r="AT86" i="6"/>
  <c r="AT90" i="6"/>
  <c r="AT169" i="6"/>
  <c r="AQ123" i="6"/>
  <c r="BC40" i="6"/>
  <c r="AZ40" i="6"/>
  <c r="AK40" i="6"/>
  <c r="AG40" i="6"/>
  <c r="BA40" i="6"/>
  <c r="BB40" i="6"/>
  <c r="BA150" i="6"/>
  <c r="AY150" i="6"/>
  <c r="AJ150" i="6"/>
  <c r="AQ150" i="6" s="1"/>
  <c r="BB150" i="6"/>
  <c r="AG150" i="6"/>
  <c r="BC150" i="6"/>
  <c r="AH150" i="6"/>
  <c r="AZ150" i="6"/>
  <c r="AK150" i="6"/>
  <c r="BC26" i="6"/>
  <c r="BB26" i="6"/>
  <c r="AI26" i="6"/>
  <c r="AO26" i="6" s="1"/>
  <c r="AQ26" i="6" s="1"/>
  <c r="AK26" i="6"/>
  <c r="AZ26" i="6"/>
  <c r="AH26" i="6"/>
  <c r="AY26" i="6"/>
  <c r="BA26" i="6"/>
  <c r="BC145" i="6"/>
  <c r="AZ145" i="6"/>
  <c r="BB145" i="6"/>
  <c r="AI145" i="6"/>
  <c r="AO145" i="6" s="1"/>
  <c r="AQ145" i="6" s="1"/>
  <c r="AG145" i="6"/>
  <c r="BA146" i="6"/>
  <c r="AK146" i="6"/>
  <c r="BC146" i="6"/>
  <c r="AG146" i="6"/>
  <c r="BB146" i="6"/>
  <c r="AZ146" i="6"/>
  <c r="AY146" i="6"/>
  <c r="AI146" i="6"/>
  <c r="AO146" i="6" s="1"/>
  <c r="AQ146" i="6" s="1"/>
  <c r="AJ146" i="6"/>
  <c r="AH146" i="6"/>
  <c r="AR146" i="6" s="1"/>
  <c r="AY78" i="6"/>
  <c r="AG78" i="6"/>
  <c r="AJ78" i="6"/>
  <c r="AI78" i="6"/>
  <c r="AO78" i="6" s="1"/>
  <c r="BC78" i="6"/>
  <c r="BA78" i="6"/>
  <c r="AH78" i="6"/>
  <c r="AR78" i="6" s="1"/>
  <c r="BB78" i="6"/>
  <c r="AZ78" i="6"/>
  <c r="AT97" i="6"/>
  <c r="AT95" i="6"/>
  <c r="AT120" i="6"/>
  <c r="AT42" i="6"/>
  <c r="AT139" i="6"/>
  <c r="AT175" i="6"/>
  <c r="AT87" i="6"/>
  <c r="AT72" i="6"/>
  <c r="AT200" i="6"/>
  <c r="AT111" i="6"/>
  <c r="AT167" i="6"/>
  <c r="AR40" i="6"/>
  <c r="AT26" i="6"/>
  <c r="AT77" i="6"/>
  <c r="AZ29" i="6"/>
  <c r="BC29" i="6"/>
  <c r="AJ29" i="6"/>
  <c r="AQ29" i="6" s="1"/>
  <c r="AT28" i="6"/>
  <c r="AT128" i="6"/>
  <c r="AT198" i="6"/>
  <c r="AT79" i="6"/>
  <c r="AG127" i="6"/>
  <c r="AH127" i="6"/>
  <c r="AR127" i="6" s="1"/>
  <c r="BC127" i="6"/>
  <c r="AH56" i="6"/>
  <c r="AR56" i="6" s="1"/>
  <c r="AJ149" i="6"/>
  <c r="AQ149" i="6" s="1"/>
  <c r="AG24" i="6"/>
  <c r="AY24" i="6"/>
  <c r="AH29" i="6"/>
  <c r="AY29" i="6"/>
  <c r="P135" i="6"/>
  <c r="AT30" i="6"/>
  <c r="AT137" i="6"/>
  <c r="AT5" i="6"/>
  <c r="AT143" i="6"/>
  <c r="AT60" i="6"/>
  <c r="AT125" i="6"/>
  <c r="AT57" i="6"/>
  <c r="AT130" i="6"/>
  <c r="AY30" i="6"/>
  <c r="AG25" i="6"/>
  <c r="BB127" i="6"/>
  <c r="P147" i="6"/>
  <c r="AI24" i="6"/>
  <c r="AO24" i="6" s="1"/>
  <c r="AQ24" i="6" s="1"/>
  <c r="AH24" i="6"/>
  <c r="AR24" i="6" s="1"/>
  <c r="AK29" i="6"/>
  <c r="BB29" i="6"/>
  <c r="P53" i="6"/>
  <c r="P35" i="6"/>
  <c r="AR12" i="6"/>
  <c r="AW12" i="6" s="1"/>
  <c r="AS44" i="6" l="1"/>
  <c r="AT29" i="6"/>
  <c r="AT33" i="6"/>
  <c r="AT49" i="6"/>
  <c r="AT177" i="6"/>
  <c r="AT84" i="6"/>
  <c r="AT115" i="6"/>
  <c r="AS182" i="6"/>
  <c r="AS14" i="6"/>
  <c r="AT6" i="6"/>
  <c r="AT17" i="6"/>
  <c r="AS49" i="6"/>
  <c r="AU73" i="6"/>
  <c r="AS88" i="6"/>
  <c r="AS75" i="6"/>
  <c r="AT3" i="6"/>
  <c r="AT182" i="6"/>
  <c r="AT187" i="6"/>
  <c r="AT180" i="6"/>
  <c r="AT94" i="6"/>
  <c r="AT152" i="6"/>
  <c r="AT55" i="6"/>
  <c r="AU189" i="6"/>
  <c r="AU33" i="6"/>
  <c r="AS55" i="6"/>
  <c r="AS94" i="6"/>
  <c r="AS187" i="6"/>
  <c r="AT73" i="6"/>
  <c r="AT75" i="6"/>
  <c r="AT88" i="6"/>
  <c r="AT44" i="6"/>
  <c r="AT9" i="6"/>
  <c r="AT156" i="6"/>
  <c r="AT46" i="6"/>
  <c r="AT119" i="6"/>
  <c r="AT157" i="6"/>
  <c r="AT99" i="6"/>
  <c r="AT114" i="6"/>
  <c r="AT184" i="6"/>
  <c r="AT189" i="6"/>
  <c r="AU156" i="6"/>
  <c r="AU38" i="6"/>
  <c r="AS98" i="6"/>
  <c r="AU153" i="6"/>
  <c r="AU163" i="6"/>
  <c r="AS192" i="6"/>
  <c r="AS46" i="6"/>
  <c r="AU194" i="6"/>
  <c r="AT80" i="6"/>
  <c r="AT163" i="6"/>
  <c r="AU119" i="6"/>
  <c r="AU131" i="6"/>
  <c r="AU114" i="6"/>
  <c r="AU115" i="6"/>
  <c r="AS61" i="6"/>
  <c r="AU184" i="6"/>
  <c r="AS121" i="6"/>
  <c r="AS65" i="6"/>
  <c r="AS104" i="6"/>
  <c r="AU152" i="6"/>
  <c r="AT14" i="6"/>
  <c r="AS153" i="6"/>
  <c r="AT148" i="6"/>
  <c r="AT89" i="6"/>
  <c r="AU177" i="6"/>
  <c r="AU58" i="6"/>
  <c r="AT58" i="6"/>
  <c r="AT7" i="6"/>
  <c r="AU17" i="6"/>
  <c r="AS168" i="6"/>
  <c r="AU103" i="6"/>
  <c r="AT61" i="6"/>
  <c r="AT117" i="6"/>
  <c r="AT186" i="6"/>
  <c r="AT168" i="6"/>
  <c r="AT195" i="6"/>
  <c r="AT47" i="6"/>
  <c r="AT65" i="6"/>
  <c r="AT176" i="6"/>
  <c r="AU201" i="6"/>
  <c r="AU32" i="6"/>
  <c r="AU63" i="6"/>
  <c r="AS4" i="6"/>
  <c r="AU118" i="6"/>
  <c r="AU72" i="6"/>
  <c r="AU129" i="6"/>
  <c r="AU148" i="6"/>
  <c r="AU134" i="6"/>
  <c r="AU27" i="6"/>
  <c r="AU191" i="6"/>
  <c r="AT191" i="6"/>
  <c r="AS41" i="6"/>
  <c r="AT41" i="6"/>
  <c r="AS92" i="6"/>
  <c r="AU92" i="6"/>
  <c r="AU79" i="6"/>
  <c r="AS79" i="6"/>
  <c r="AU171" i="6"/>
  <c r="AS171" i="6"/>
  <c r="AU67" i="6"/>
  <c r="AT67" i="6"/>
  <c r="AS37" i="6"/>
  <c r="AT37" i="6"/>
  <c r="AU37" i="6"/>
  <c r="AU82" i="6"/>
  <c r="AT82" i="6"/>
  <c r="AS62" i="6"/>
  <c r="AU62" i="6"/>
  <c r="AU122" i="6"/>
  <c r="AS122" i="6"/>
  <c r="AT122" i="6"/>
  <c r="AU85" i="6"/>
  <c r="AS85" i="6"/>
  <c r="AU199" i="6"/>
  <c r="AT199" i="6"/>
  <c r="AS199" i="6"/>
  <c r="AU11" i="6"/>
  <c r="AS11" i="6"/>
  <c r="AS28" i="6"/>
  <c r="AU28" i="6"/>
  <c r="AT62" i="6"/>
  <c r="AT196" i="6"/>
  <c r="AT109" i="6"/>
  <c r="AS82" i="6"/>
  <c r="AU186" i="6"/>
  <c r="AS196" i="6"/>
  <c r="AS191" i="6"/>
  <c r="AS89" i="6"/>
  <c r="AU102" i="6"/>
  <c r="AS102" i="6"/>
  <c r="AT102" i="6"/>
  <c r="AU202" i="6"/>
  <c r="AS202" i="6"/>
  <c r="AU181" i="6"/>
  <c r="AS181" i="6"/>
  <c r="AU193" i="6"/>
  <c r="AT193" i="6"/>
  <c r="AT85" i="6"/>
  <c r="AT171" i="6"/>
  <c r="AU109" i="6"/>
  <c r="AS87" i="6"/>
  <c r="AT81" i="6"/>
  <c r="AT11" i="6"/>
  <c r="AT202" i="6"/>
  <c r="AT92" i="6"/>
  <c r="AS193" i="6"/>
  <c r="AU34" i="6"/>
  <c r="AT34" i="6"/>
  <c r="AS160" i="6"/>
  <c r="AU160" i="6"/>
  <c r="AT134" i="6"/>
  <c r="AT18" i="6"/>
  <c r="AT131" i="6"/>
  <c r="AT170" i="6"/>
  <c r="AT113" i="6"/>
  <c r="AS59" i="6"/>
  <c r="AU90" i="6"/>
  <c r="AU7" i="6"/>
  <c r="AS179" i="6"/>
  <c r="AS18" i="6"/>
  <c r="AU99" i="6"/>
  <c r="AS162" i="6"/>
  <c r="AT56" i="6"/>
  <c r="AT126" i="6"/>
  <c r="AT4" i="6"/>
  <c r="AT31" i="6"/>
  <c r="AT36" i="6"/>
  <c r="AT103" i="6"/>
  <c r="AT179" i="6"/>
  <c r="AT70" i="6"/>
  <c r="AT162" i="6"/>
  <c r="AT66" i="6"/>
  <c r="AT138" i="6"/>
  <c r="AT192" i="6"/>
  <c r="AT197" i="6"/>
  <c r="AT158" i="6"/>
  <c r="AT83" i="6"/>
  <c r="AU113" i="6"/>
  <c r="AU43" i="6"/>
  <c r="AS170" i="6"/>
  <c r="AS155" i="6"/>
  <c r="AU176" i="6"/>
  <c r="AU197" i="6"/>
  <c r="AU137" i="6"/>
  <c r="AU175" i="6"/>
  <c r="AU117" i="6"/>
  <c r="AS158" i="6"/>
  <c r="AS48" i="6"/>
  <c r="AU138" i="6"/>
  <c r="AS195" i="6"/>
  <c r="AU80" i="6"/>
  <c r="AU66" i="6"/>
  <c r="AS107" i="6"/>
  <c r="AU107" i="6"/>
  <c r="AU161" i="6"/>
  <c r="AS161" i="6"/>
  <c r="AU141" i="6"/>
  <c r="AS141" i="6"/>
  <c r="AU159" i="6"/>
  <c r="AS159" i="6"/>
  <c r="AS116" i="6"/>
  <c r="AU116" i="6"/>
  <c r="AU140" i="6"/>
  <c r="AS140" i="6"/>
  <c r="AU142" i="6"/>
  <c r="AS142" i="6"/>
  <c r="AU165" i="6"/>
  <c r="AS165" i="6"/>
  <c r="AS8" i="6"/>
  <c r="AU8" i="6"/>
  <c r="AS57" i="6"/>
  <c r="AU57" i="6"/>
  <c r="AU128" i="6"/>
  <c r="AS6" i="6"/>
  <c r="AU188" i="6"/>
  <c r="AS188" i="6"/>
  <c r="AS20" i="6"/>
  <c r="AU20" i="6"/>
  <c r="AU69" i="6"/>
  <c r="AS69" i="6"/>
  <c r="AU136" i="6"/>
  <c r="AS136" i="6"/>
  <c r="AU45" i="6"/>
  <c r="AS45" i="6"/>
  <c r="AU174" i="6"/>
  <c r="AS174" i="6"/>
  <c r="AU173" i="6"/>
  <c r="AS173" i="6"/>
  <c r="AU91" i="6"/>
  <c r="AS91" i="6"/>
  <c r="AU68" i="6"/>
  <c r="AS68" i="6"/>
  <c r="AS164" i="6"/>
  <c r="AU164" i="6"/>
  <c r="AS70" i="6"/>
  <c r="AS183" i="6"/>
  <c r="AU183" i="6"/>
  <c r="AS120" i="6"/>
  <c r="AU13" i="6"/>
  <c r="AS13" i="6"/>
  <c r="AU100" i="6"/>
  <c r="AS100" i="6"/>
  <c r="AS52" i="6"/>
  <c r="AU52" i="6"/>
  <c r="AU23" i="6"/>
  <c r="AS23" i="6"/>
  <c r="AU54" i="6"/>
  <c r="AS54" i="6"/>
  <c r="AS166" i="6"/>
  <c r="AU166" i="6"/>
  <c r="AU132" i="6"/>
  <c r="AS132" i="6"/>
  <c r="AS172" i="6"/>
  <c r="AS34" i="6"/>
  <c r="AU47" i="6"/>
  <c r="AS95" i="6"/>
  <c r="AU95" i="6"/>
  <c r="AU5" i="6"/>
  <c r="AU16" i="6"/>
  <c r="AS16" i="6"/>
  <c r="AS101" i="6"/>
  <c r="AU101" i="6"/>
  <c r="AS22" i="6"/>
  <c r="AU22" i="6"/>
  <c r="AU154" i="6"/>
  <c r="AS154" i="6"/>
  <c r="AU86" i="6"/>
  <c r="AS86" i="6"/>
  <c r="AS64" i="6"/>
  <c r="AU64" i="6"/>
  <c r="AU167" i="6"/>
  <c r="AS167" i="6"/>
  <c r="AS60" i="6"/>
  <c r="AU60" i="6"/>
  <c r="AS198" i="6"/>
  <c r="AU198" i="6"/>
  <c r="AU178" i="6"/>
  <c r="AS178" i="6"/>
  <c r="AU41" i="6"/>
  <c r="AU180" i="6"/>
  <c r="AS123" i="6"/>
  <c r="AU123" i="6"/>
  <c r="BB35" i="6"/>
  <c r="AH35" i="6"/>
  <c r="AR35" i="6" s="1"/>
  <c r="BC35" i="6"/>
  <c r="AG35" i="6"/>
  <c r="AJ35" i="6"/>
  <c r="BA35" i="6"/>
  <c r="AZ35" i="6"/>
  <c r="AY35" i="6"/>
  <c r="AI35" i="6"/>
  <c r="AO35" i="6" s="1"/>
  <c r="AQ35" i="6" s="1"/>
  <c r="AK35" i="6"/>
  <c r="AT24" i="6"/>
  <c r="AU24" i="6"/>
  <c r="AS24" i="6"/>
  <c r="AV39" i="6"/>
  <c r="AW39" i="6"/>
  <c r="Q180" i="6"/>
  <c r="Q181" i="6"/>
  <c r="BC53" i="6"/>
  <c r="BA53" i="6"/>
  <c r="BB53" i="6"/>
  <c r="AI53" i="6"/>
  <c r="AO53" i="6" s="1"/>
  <c r="AQ53" i="6" s="1"/>
  <c r="AH53" i="6"/>
  <c r="AR53" i="6" s="1"/>
  <c r="AG53" i="6"/>
  <c r="AJ53" i="6"/>
  <c r="AK53" i="6"/>
  <c r="AY53" i="6"/>
  <c r="AZ53" i="6"/>
  <c r="AT25" i="6"/>
  <c r="AS25" i="6"/>
  <c r="AU25" i="6"/>
  <c r="AU149" i="6"/>
  <c r="AS149" i="6"/>
  <c r="AT127" i="6"/>
  <c r="AS127" i="6"/>
  <c r="AU127" i="6"/>
  <c r="AQ78" i="6"/>
  <c r="AW146" i="6"/>
  <c r="AV146" i="6"/>
  <c r="AU26" i="6"/>
  <c r="AS26" i="6"/>
  <c r="AQ76" i="6"/>
  <c r="AU76" i="6" s="1"/>
  <c r="AR133" i="6"/>
  <c r="Q125" i="6"/>
  <c r="Q32" i="6"/>
  <c r="AT146" i="6"/>
  <c r="AS146" i="6"/>
  <c r="AU146" i="6"/>
  <c r="AW24" i="6"/>
  <c r="AV24" i="6"/>
  <c r="BA135" i="6"/>
  <c r="AY135" i="6"/>
  <c r="BC135" i="6"/>
  <c r="AG135" i="6"/>
  <c r="AH135" i="6"/>
  <c r="AK135" i="6"/>
  <c r="AZ135" i="6"/>
  <c r="BB135" i="6"/>
  <c r="AI135" i="6"/>
  <c r="AO135" i="6" s="1"/>
  <c r="AJ135" i="6"/>
  <c r="AV127" i="6"/>
  <c r="AW127" i="6"/>
  <c r="AV40" i="6"/>
  <c r="AW40" i="6"/>
  <c r="AT150" i="6"/>
  <c r="AS150" i="6"/>
  <c r="AU150" i="6"/>
  <c r="AQ144" i="6"/>
  <c r="AT144" i="6" s="1"/>
  <c r="AZ147" i="6"/>
  <c r="AJ147" i="6"/>
  <c r="AG147" i="6"/>
  <c r="BC147" i="6"/>
  <c r="AH147" i="6"/>
  <c r="AR147" i="6" s="1"/>
  <c r="AK147" i="6"/>
  <c r="BA147" i="6"/>
  <c r="AI147" i="6"/>
  <c r="AO147" i="6" s="1"/>
  <c r="AQ147" i="6" s="1"/>
  <c r="AY147" i="6"/>
  <c r="BB147" i="6"/>
  <c r="AR29" i="6"/>
  <c r="AV56" i="6"/>
  <c r="AW56" i="6"/>
  <c r="AS29" i="6"/>
  <c r="AU29" i="6"/>
  <c r="AT123" i="6"/>
  <c r="AW78" i="6"/>
  <c r="AV78" i="6"/>
  <c r="AR26" i="6"/>
  <c r="AR150" i="6"/>
  <c r="AS124" i="6"/>
  <c r="AU124" i="6"/>
  <c r="AW129" i="6"/>
  <c r="AV129" i="6"/>
  <c r="AQ133" i="6"/>
  <c r="AU133" i="6" s="1"/>
  <c r="AV144" i="6"/>
  <c r="AW144" i="6"/>
  <c r="AT124" i="6"/>
  <c r="Q63" i="6"/>
  <c r="Q22" i="6"/>
  <c r="Q21" i="6"/>
  <c r="Q89" i="6"/>
  <c r="Q47" i="6"/>
  <c r="Q46" i="6"/>
  <c r="AT78" i="6"/>
  <c r="AS78" i="6"/>
  <c r="AU78" i="6"/>
  <c r="AT145" i="6"/>
  <c r="AU145" i="6"/>
  <c r="AS145" i="6"/>
  <c r="AT40" i="6"/>
  <c r="AU40" i="6"/>
  <c r="AS40" i="6"/>
  <c r="AT76" i="6"/>
  <c r="AV76" i="6"/>
  <c r="AW76" i="6"/>
  <c r="AT133" i="6"/>
  <c r="AS133" i="6"/>
  <c r="AT39" i="6"/>
  <c r="AU39" i="6"/>
  <c r="AS39" i="6"/>
  <c r="Q178" i="6"/>
  <c r="Q179" i="6"/>
  <c r="Q156" i="6"/>
  <c r="Q40" i="6"/>
  <c r="Q39" i="6"/>
  <c r="Q142" i="6"/>
  <c r="Q141" i="6"/>
  <c r="Q108" i="6"/>
  <c r="AV12" i="6"/>
  <c r="AW150" i="6" l="1"/>
  <c r="AV150" i="6"/>
  <c r="AW133" i="6"/>
  <c r="AV133" i="6"/>
  <c r="AV53" i="6"/>
  <c r="AW53" i="6"/>
  <c r="AV26" i="6"/>
  <c r="AW26" i="6"/>
  <c r="AW29" i="6"/>
  <c r="AV29" i="6"/>
  <c r="AQ135" i="6"/>
  <c r="AT135" i="6" s="1"/>
  <c r="AS76" i="6"/>
  <c r="AS135" i="6"/>
  <c r="AU135" i="6"/>
  <c r="AS144" i="6"/>
  <c r="AT35" i="6"/>
  <c r="AU35" i="6"/>
  <c r="AS35" i="6"/>
  <c r="AV35" i="6"/>
  <c r="AW35" i="6"/>
  <c r="AT147" i="6"/>
  <c r="AU147" i="6"/>
  <c r="AS147" i="6"/>
  <c r="AR135" i="6"/>
  <c r="AU144" i="6"/>
  <c r="AW147" i="6"/>
  <c r="AV147" i="6"/>
  <c r="AT53" i="6"/>
  <c r="AU53" i="6"/>
  <c r="AS53" i="6"/>
  <c r="AW135" i="6" l="1"/>
  <c r="AV135" i="6"/>
</calcChain>
</file>

<file path=xl/comments1.xml><?xml version="1.0" encoding="utf-8"?>
<comments xmlns="http://schemas.openxmlformats.org/spreadsheetml/2006/main">
  <authors>
    <author>Sky123.Org</author>
  </authors>
  <commentLis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Sky123.Org:</t>
        </r>
        <r>
          <rPr>
            <sz val="9"/>
            <color indexed="81"/>
            <rFont val="宋体"/>
            <family val="3"/>
            <charset val="134"/>
          </rPr>
          <t xml:space="preserve">
公式计算所用基础值</t>
        </r>
      </text>
    </comment>
  </commentList>
</comments>
</file>

<file path=xl/sharedStrings.xml><?xml version="1.0" encoding="utf-8"?>
<sst xmlns="http://schemas.openxmlformats.org/spreadsheetml/2006/main" count="613" uniqueCount="291">
  <si>
    <t>标准怪物点数分配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</si>
  <si>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</si>
  <si>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</si>
  <si>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</si>
  <si>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减免伤害</t>
    <phoneticPr fontId="2" type="noConversion"/>
  </si>
  <si>
    <t>最终伤害</t>
    <phoneticPr fontId="2" type="noConversion"/>
  </si>
  <si>
    <t>怪物强度</t>
    <phoneticPr fontId="2" type="noConversion"/>
  </si>
  <si>
    <t>攻击</t>
    <phoneticPr fontId="2" type="noConversion"/>
  </si>
  <si>
    <t>属性分配比例</t>
    <phoneticPr fontId="2" type="noConversion"/>
  </si>
  <si>
    <t>极限分配比例</t>
    <phoneticPr fontId="2" type="noConversion"/>
  </si>
  <si>
    <t>对应点数</t>
    <phoneticPr fontId="2" type="noConversion"/>
  </si>
  <si>
    <t>极限对应点数</t>
    <phoneticPr fontId="2" type="noConversion"/>
  </si>
  <si>
    <t>怪物属性计算方式：</t>
    <phoneticPr fontId="2" type="noConversion"/>
  </si>
  <si>
    <t>初始值+怪物属性标准值*怪物等级系数*怪物属性分配比例</t>
    <phoneticPr fontId="2" type="noConversion"/>
  </si>
  <si>
    <t>怪物初始值设定为0</t>
    <phoneticPr fontId="2" type="noConversion"/>
  </si>
  <si>
    <t>属性标准值</t>
    <phoneticPr fontId="2" type="noConversion"/>
  </si>
  <si>
    <t>怪物标准属性</t>
    <phoneticPr fontId="2" type="noConversion"/>
  </si>
  <si>
    <t>怪物极限属性</t>
    <phoneticPr fontId="2" type="noConversion"/>
  </si>
  <si>
    <t>怪物承受普攻次数</t>
    <phoneticPr fontId="2" type="noConversion"/>
  </si>
  <si>
    <t>角色承受普攻次数</t>
    <phoneticPr fontId="2" type="noConversion"/>
  </si>
  <si>
    <t>怪物承受极限普攻次数</t>
    <phoneticPr fontId="2" type="noConversion"/>
  </si>
  <si>
    <t>角色承受极限普攻次数</t>
    <phoneticPr fontId="2" type="noConversion"/>
  </si>
  <si>
    <t>角色普攻一套输出倍数</t>
    <phoneticPr fontId="2" type="noConversion"/>
  </si>
  <si>
    <t>怪物属性放大系数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</si>
  <si>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</si>
  <si>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</si>
  <si>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</si>
  <si>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减免伤害</t>
    <phoneticPr fontId="2" type="noConversion"/>
  </si>
  <si>
    <t>最终伤害</t>
    <phoneticPr fontId="2" type="noConversion"/>
  </si>
  <si>
    <t>怪物减伤率</t>
    <phoneticPr fontId="2" type="noConversion"/>
  </si>
  <si>
    <t>怪物承受攻击</t>
    <phoneticPr fontId="2" type="noConversion"/>
  </si>
  <si>
    <t>等级</t>
    <phoneticPr fontId="2" type="noConversion"/>
  </si>
  <si>
    <t>累积成长</t>
    <phoneticPr fontId="2" type="noConversion"/>
  </si>
  <si>
    <t>角色成长初始属性点</t>
    <phoneticPr fontId="2" type="noConversion"/>
  </si>
  <si>
    <t>角色成长属性点</t>
    <phoneticPr fontId="2" type="noConversion"/>
  </si>
  <si>
    <t>角色成长配点</t>
    <phoneticPr fontId="2" type="noConversion"/>
  </si>
  <si>
    <t>装备进阶等级</t>
  </si>
  <si>
    <t>装备星级</t>
    <phoneticPr fontId="2" type="noConversion"/>
  </si>
  <si>
    <t>装备星级</t>
  </si>
  <si>
    <t>星级属性增量</t>
  </si>
  <si>
    <t>成长属性点</t>
  </si>
  <si>
    <t>装备进阶等级</t>
    <phoneticPr fontId="2" type="noConversion"/>
  </si>
  <si>
    <t>角色等级</t>
    <phoneticPr fontId="2" type="noConversion"/>
  </si>
  <si>
    <t>装备属性点</t>
    <phoneticPr fontId="2" type="noConversion"/>
  </si>
  <si>
    <t>角色属性点和</t>
    <phoneticPr fontId="2" type="noConversion"/>
  </si>
  <si>
    <t>宝石等级</t>
  </si>
  <si>
    <t>单颗属性点</t>
  </si>
  <si>
    <t>宝石等级</t>
    <phoneticPr fontId="2" type="noConversion"/>
  </si>
  <si>
    <t>宝石颗数</t>
    <phoneticPr fontId="2" type="noConversion"/>
  </si>
  <si>
    <t>宝石属性点</t>
    <phoneticPr fontId="2" type="noConversion"/>
  </si>
  <si>
    <t>等级</t>
  </si>
  <si>
    <t>生命</t>
  </si>
  <si>
    <t>攻击</t>
  </si>
  <si>
    <t>护甲</t>
  </si>
  <si>
    <t>减免伤害</t>
  </si>
  <si>
    <t>最终伤害</t>
  </si>
  <si>
    <t>暴击几率</t>
  </si>
  <si>
    <t>抗暴几率</t>
  </si>
  <si>
    <t>暴击伤害</t>
  </si>
  <si>
    <t>火</t>
  </si>
  <si>
    <t>冰</t>
  </si>
  <si>
    <t>雷</t>
  </si>
  <si>
    <t>冥</t>
  </si>
  <si>
    <t>火抗</t>
  </si>
  <si>
    <t>冰抗</t>
  </si>
  <si>
    <t>雷抗</t>
  </si>
  <si>
    <t>冥抗</t>
  </si>
  <si>
    <t>生命偷取</t>
  </si>
  <si>
    <t>伤害反弹</t>
  </si>
  <si>
    <t>怒气</t>
  </si>
  <si>
    <t>气力值</t>
  </si>
  <si>
    <t>速度</t>
  </si>
  <si>
    <t>冷却缩减</t>
  </si>
  <si>
    <t>装备等级</t>
    <phoneticPr fontId="2" type="noConversion"/>
  </si>
  <si>
    <t>f(lv)</t>
    <phoneticPr fontId="2" type="noConversion"/>
  </si>
  <si>
    <t>*守卫对象</t>
    <phoneticPr fontId="2" type="noConversion"/>
  </si>
  <si>
    <t>守卫对象承受怪物普攻次数</t>
    <phoneticPr fontId="2" type="noConversion"/>
  </si>
  <si>
    <t>天赋初始属性点</t>
    <phoneticPr fontId="2" type="noConversion"/>
  </si>
  <si>
    <t>天赋成长配点</t>
    <phoneticPr fontId="2" type="noConversion"/>
  </si>
  <si>
    <t>属性比</t>
  </si>
  <si>
    <t>进阶属性比例</t>
  </si>
  <si>
    <t>进阶成长属性增量</t>
  </si>
  <si>
    <t>进阶初值属性增量</t>
  </si>
  <si>
    <t>进阶成长属性点</t>
  </si>
  <si>
    <t>进阶初值属性点</t>
  </si>
  <si>
    <t>初值属性增量</t>
  </si>
  <si>
    <t>初值属性点</t>
  </si>
  <si>
    <t>装备初始属性点</t>
    <phoneticPr fontId="2" type="noConversion"/>
  </si>
  <si>
    <t>装备成长配点</t>
    <phoneticPr fontId="2" type="noConversion"/>
  </si>
  <si>
    <t>怪物属性点</t>
    <phoneticPr fontId="2" type="noConversion"/>
  </si>
  <si>
    <t>怪物等级修正</t>
    <phoneticPr fontId="2" type="noConversion"/>
  </si>
  <si>
    <t>*因角色技能等级会提升，怪物生命做同比放大</t>
    <phoneticPr fontId="2" type="noConversion"/>
  </si>
  <si>
    <t>关卡编号</t>
    <phoneticPr fontId="2" type="noConversion"/>
  </si>
  <si>
    <t>关卡等级</t>
    <phoneticPr fontId="2" type="noConversion"/>
  </si>
  <si>
    <t>第3章</t>
    <phoneticPr fontId="2" type="noConversion"/>
  </si>
  <si>
    <t>开启等级</t>
    <phoneticPr fontId="2" type="noConversion"/>
  </si>
  <si>
    <t>章节</t>
    <phoneticPr fontId="2" type="noConversion"/>
  </si>
  <si>
    <t>功夫熊猫3</t>
    <phoneticPr fontId="2" type="noConversion"/>
  </si>
  <si>
    <t>第15章</t>
  </si>
  <si>
    <t>第4章</t>
  </si>
  <si>
    <t>第5章</t>
  </si>
  <si>
    <t>第6章</t>
  </si>
  <si>
    <t>第7章</t>
  </si>
  <si>
    <t>第8章</t>
  </si>
  <si>
    <t>第9章</t>
  </si>
  <si>
    <t>第10章</t>
  </si>
  <si>
    <t>第11章</t>
  </si>
  <si>
    <t>第12章</t>
  </si>
  <si>
    <t>第13章</t>
  </si>
  <si>
    <t>第14章</t>
  </si>
  <si>
    <t>第16章</t>
  </si>
  <si>
    <t>第2章</t>
    <phoneticPr fontId="2" type="noConversion"/>
  </si>
  <si>
    <t>第1章</t>
    <phoneticPr fontId="2" type="noConversion"/>
  </si>
  <si>
    <t>第2章</t>
    <phoneticPr fontId="2" type="noConversion"/>
  </si>
  <si>
    <t>第3章</t>
    <phoneticPr fontId="2" type="noConversion"/>
  </si>
  <si>
    <t>第4章</t>
    <phoneticPr fontId="2" type="noConversion"/>
  </si>
  <si>
    <t>第5章</t>
    <phoneticPr fontId="2" type="noConversion"/>
  </si>
  <si>
    <t>第6章</t>
    <phoneticPr fontId="2" type="noConversion"/>
  </si>
  <si>
    <t>第7章</t>
    <phoneticPr fontId="2" type="noConversion"/>
  </si>
  <si>
    <t>第8章</t>
    <phoneticPr fontId="2" type="noConversion"/>
  </si>
  <si>
    <t>第9章</t>
    <phoneticPr fontId="2" type="noConversion"/>
  </si>
  <si>
    <t>第10章</t>
    <phoneticPr fontId="2" type="noConversion"/>
  </si>
  <si>
    <t>第11章</t>
    <phoneticPr fontId="2" type="noConversion"/>
  </si>
  <si>
    <t>第12章</t>
    <phoneticPr fontId="2" type="noConversion"/>
  </si>
  <si>
    <t>第13章</t>
    <phoneticPr fontId="2" type="noConversion"/>
  </si>
  <si>
    <t>第14章</t>
    <phoneticPr fontId="2" type="noConversion"/>
  </si>
  <si>
    <t>第15章</t>
    <phoneticPr fontId="2" type="noConversion"/>
  </si>
  <si>
    <t>第16章</t>
    <phoneticPr fontId="2" type="noConversion"/>
  </si>
  <si>
    <t>第17章</t>
    <phoneticPr fontId="2" type="noConversion"/>
  </si>
  <si>
    <t>第18章</t>
    <phoneticPr fontId="2" type="noConversion"/>
  </si>
  <si>
    <t>第19章</t>
    <phoneticPr fontId="2" type="noConversion"/>
  </si>
  <si>
    <t>第20章</t>
    <phoneticPr fontId="2" type="noConversion"/>
  </si>
  <si>
    <t>怪物护甲</t>
    <phoneticPr fontId="2" type="noConversion"/>
  </si>
  <si>
    <t>怪物等级</t>
    <phoneticPr fontId="2" type="noConversion"/>
  </si>
  <si>
    <t>f(lv)</t>
    <phoneticPr fontId="2" type="noConversion"/>
  </si>
  <si>
    <t>攻击</t>
    <phoneticPr fontId="2" type="noConversion"/>
  </si>
  <si>
    <t>怪物生命</t>
    <phoneticPr fontId="2" type="noConversion"/>
  </si>
  <si>
    <t>护身符、神戒除外</t>
    <phoneticPr fontId="2" type="noConversion"/>
  </si>
  <si>
    <t>护身符、神戒</t>
    <phoneticPr fontId="2" type="noConversion"/>
  </si>
  <si>
    <t>护身符神戒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</si>
  <si>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</si>
  <si>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</si>
  <si>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</si>
  <si>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减免伤害</t>
    <phoneticPr fontId="2" type="noConversion"/>
  </si>
  <si>
    <t>最终伤害</t>
    <phoneticPr fontId="2" type="noConversion"/>
  </si>
  <si>
    <t>角色属性</t>
    <phoneticPr fontId="2" type="noConversion"/>
  </si>
  <si>
    <t>怪物属性</t>
    <phoneticPr fontId="2" type="noConversion"/>
  </si>
  <si>
    <t>怪物减伤f(lv)</t>
    <phoneticPr fontId="2" type="noConversion"/>
  </si>
  <si>
    <t>技能伤害提升倍数</t>
    <phoneticPr fontId="2" type="noConversion"/>
  </si>
  <si>
    <t>怪物减伤率</t>
    <phoneticPr fontId="2" type="noConversion"/>
  </si>
  <si>
    <t>角色减伤f(lv)</t>
    <phoneticPr fontId="2" type="noConversion"/>
  </si>
  <si>
    <t>角色减伤率</t>
    <phoneticPr fontId="2" type="noConversion"/>
  </si>
  <si>
    <t>角色对怪物伤害</t>
    <phoneticPr fontId="2" type="noConversion"/>
  </si>
  <si>
    <t>*非暴击伤害倍数2</t>
    <phoneticPr fontId="2" type="noConversion"/>
  </si>
  <si>
    <t>怪物对角色伤害</t>
    <phoneticPr fontId="2" type="noConversion"/>
  </si>
  <si>
    <t>怪物承受普攻套数</t>
    <phoneticPr fontId="2" type="noConversion"/>
  </si>
  <si>
    <t>角色承受普攻次数</t>
    <phoneticPr fontId="2" type="noConversion"/>
  </si>
  <si>
    <t>关卡固定属性修正</t>
    <phoneticPr fontId="2" type="noConversion"/>
  </si>
  <si>
    <t>怪物级别</t>
    <phoneticPr fontId="2" type="noConversion"/>
  </si>
  <si>
    <t>骷髅刀盾兵</t>
  </si>
  <si>
    <t>骷髅弓箭手</t>
  </si>
  <si>
    <t>骷髅法师怪</t>
  </si>
  <si>
    <t>火焰雕像</t>
  </si>
  <si>
    <t>雷雕像</t>
  </si>
  <si>
    <t>冰雕像</t>
  </si>
  <si>
    <t>冥雕像</t>
  </si>
  <si>
    <t>蛮族斧头兵</t>
  </si>
  <si>
    <t>蛮族弓箭兵</t>
  </si>
  <si>
    <t>蛮族法师</t>
  </si>
  <si>
    <t>僵尸狗</t>
  </si>
  <si>
    <t>石像鬼</t>
  </si>
  <si>
    <t>熔岩自爆怪</t>
  </si>
  <si>
    <t>燃烧瓶羊头怪</t>
  </si>
  <si>
    <t>火焰牛头守卫</t>
  </si>
  <si>
    <t>雷牛头守卫</t>
  </si>
  <si>
    <t>冰牛头守卫</t>
  </si>
  <si>
    <t>冥牛头守卫</t>
  </si>
  <si>
    <t>火焰双刀羊头精英</t>
  </si>
  <si>
    <t>雷双刀羊头精英</t>
  </si>
  <si>
    <t>冰双刀羊头精英</t>
  </si>
  <si>
    <t>冥双刀羊头精英</t>
  </si>
  <si>
    <t>牛头BOSS</t>
  </si>
  <si>
    <t>羊头BOSS</t>
  </si>
  <si>
    <t>地狱犬</t>
  </si>
  <si>
    <t>独眼巨人</t>
  </si>
  <si>
    <t>火泰坦</t>
  </si>
  <si>
    <t>蝎子</t>
  </si>
  <si>
    <t>怪物名称</t>
    <phoneticPr fontId="2" type="noConversion"/>
  </si>
  <si>
    <t>小怪</t>
    <phoneticPr fontId="2" type="noConversion"/>
  </si>
  <si>
    <t>精英</t>
    <phoneticPr fontId="2" type="noConversion"/>
  </si>
  <si>
    <t>BOSS</t>
    <phoneticPr fontId="2" type="noConversion"/>
  </si>
  <si>
    <t>斩</t>
  </si>
  <si>
    <t>打</t>
  </si>
  <si>
    <t>刺</t>
  </si>
  <si>
    <t>中</t>
  </si>
  <si>
    <t>弱</t>
  </si>
  <si>
    <t>强</t>
  </si>
  <si>
    <t>弱</t>
    <phoneticPr fontId="2" type="noConversion"/>
  </si>
  <si>
    <t>圣火等级</t>
    <phoneticPr fontId="2" type="noConversion"/>
  </si>
  <si>
    <t>圣火1</t>
    <phoneticPr fontId="2" type="noConversion"/>
  </si>
  <si>
    <t>圣火2</t>
    <phoneticPr fontId="2" type="noConversion"/>
  </si>
  <si>
    <t>圣火3</t>
    <phoneticPr fontId="2" type="noConversion"/>
  </si>
  <si>
    <t>圣火4</t>
    <phoneticPr fontId="2" type="noConversion"/>
  </si>
  <si>
    <t>圣火5</t>
    <phoneticPr fontId="2" type="noConversion"/>
  </si>
  <si>
    <t>圣火属性点</t>
    <phoneticPr fontId="2" type="noConversion"/>
  </si>
  <si>
    <t>等级</t>
    <phoneticPr fontId="2" type="noConversion"/>
  </si>
  <si>
    <t>圣火成长点分配</t>
    <phoneticPr fontId="2" type="noConversion"/>
  </si>
  <si>
    <t>各页面属性</t>
    <phoneticPr fontId="2" type="noConversion"/>
  </si>
  <si>
    <t>累积属性</t>
    <phoneticPr fontId="2" type="noConversion"/>
  </si>
  <si>
    <t>技能等级</t>
    <phoneticPr fontId="2" type="noConversion"/>
  </si>
  <si>
    <t>技能等级</t>
    <phoneticPr fontId="2" type="noConversion"/>
  </si>
  <si>
    <t>技能伤害提升</t>
    <phoneticPr fontId="2" type="noConversion"/>
  </si>
  <si>
    <t>角色属性点平滑</t>
    <phoneticPr fontId="2" type="noConversion"/>
  </si>
  <si>
    <t>怪物属性点</t>
    <phoneticPr fontId="2" type="noConversion"/>
  </si>
  <si>
    <t>等级</t>
    <phoneticPr fontId="2" type="noConversion"/>
  </si>
  <si>
    <t>4个技能战斗力百分比</t>
    <phoneticPr fontId="2" type="noConversion"/>
  </si>
  <si>
    <t>整数关卡编号</t>
    <phoneticPr fontId="2" type="noConversion"/>
  </si>
  <si>
    <t>关卡编号</t>
    <phoneticPr fontId="2" type="noConversion"/>
  </si>
  <si>
    <t>战斗力系数比</t>
    <phoneticPr fontId="2" type="noConversion"/>
  </si>
  <si>
    <t>第1关战斗力</t>
    <phoneticPr fontId="2" type="noConversion"/>
  </si>
  <si>
    <t>百分比属性ID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</si>
  <si>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</si>
  <si>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</si>
  <si>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</si>
  <si>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减免伤害</t>
    <phoneticPr fontId="2" type="noConversion"/>
  </si>
  <si>
    <t>最终伤害</t>
    <phoneticPr fontId="2" type="noConversion"/>
  </si>
  <si>
    <t>关卡战斗力增量</t>
    <phoneticPr fontId="2" type="noConversion"/>
  </si>
  <si>
    <t>累积系数比</t>
    <phoneticPr fontId="2" type="noConversion"/>
  </si>
  <si>
    <t>角色战斗力</t>
    <phoneticPr fontId="2" type="noConversion"/>
  </si>
  <si>
    <t>关卡调节系数</t>
    <phoneticPr fontId="2" type="noConversion"/>
  </si>
  <si>
    <t>生命</t>
    <phoneticPr fontId="2" type="noConversion"/>
  </si>
  <si>
    <t>攻击</t>
    <phoneticPr fontId="2" type="noConversion"/>
  </si>
  <si>
    <t>护甲</t>
    <phoneticPr fontId="2" type="noConversion"/>
  </si>
  <si>
    <t>减免伤害</t>
    <phoneticPr fontId="2" type="noConversion"/>
  </si>
  <si>
    <t>最终伤害</t>
    <phoneticPr fontId="2" type="noConversion"/>
  </si>
  <si>
    <t>角色属性</t>
    <phoneticPr fontId="2" type="noConversion"/>
  </si>
  <si>
    <t>怪物属性</t>
    <phoneticPr fontId="2" type="noConversion"/>
  </si>
  <si>
    <t>关卡固定属性修正</t>
    <phoneticPr fontId="2" type="noConversion"/>
  </si>
  <si>
    <t>角色承受普攻次数(弱属性)</t>
    <phoneticPr fontId="2" type="noConversion"/>
  </si>
  <si>
    <t>怪物承受普攻套数(弱属性)</t>
    <phoneticPr fontId="2" type="noConversion"/>
  </si>
  <si>
    <t>角色对角色伤害</t>
    <phoneticPr fontId="2" type="noConversion"/>
  </si>
  <si>
    <t>角色承受普攻套数</t>
    <phoneticPr fontId="2" type="noConversion"/>
  </si>
  <si>
    <t>普攻倍数</t>
    <phoneticPr fontId="2" type="noConversion"/>
  </si>
  <si>
    <t>胜利获得积分</t>
    <phoneticPr fontId="2" type="noConversion"/>
  </si>
  <si>
    <t>失败获得积分</t>
    <phoneticPr fontId="2" type="noConversion"/>
  </si>
  <si>
    <t>素霜</t>
    <phoneticPr fontId="2" type="noConversion"/>
  </si>
  <si>
    <t>竹青</t>
    <phoneticPr fontId="2" type="noConversion"/>
  </si>
  <si>
    <t>靛蓝</t>
    <phoneticPr fontId="2" type="noConversion"/>
  </si>
  <si>
    <t>紫藤</t>
    <phoneticPr fontId="2" type="noConversion"/>
  </si>
  <si>
    <t>赤金</t>
    <phoneticPr fontId="2" type="noConversion"/>
  </si>
  <si>
    <t>阶段名称</t>
    <phoneticPr fontId="2" type="noConversion"/>
  </si>
  <si>
    <t>阶段编号</t>
    <phoneticPr fontId="2" type="noConversion"/>
  </si>
  <si>
    <t>最低积分</t>
    <phoneticPr fontId="2" type="noConversion"/>
  </si>
  <si>
    <t>最高积分</t>
    <phoneticPr fontId="2" type="noConversion"/>
  </si>
  <si>
    <t>角斗士</t>
  </si>
  <si>
    <t>十夫长</t>
  </si>
  <si>
    <t>百夫长</t>
  </si>
  <si>
    <t>千夫长</t>
  </si>
  <si>
    <t>禁卫军</t>
  </si>
  <si>
    <t>皇家卫队长</t>
  </si>
  <si>
    <t>战神</t>
  </si>
  <si>
    <t>阶段名称</t>
    <phoneticPr fontId="2" type="noConversion"/>
  </si>
  <si>
    <t>最低积分</t>
    <phoneticPr fontId="2" type="noConversion"/>
  </si>
  <si>
    <t>最高积分</t>
    <phoneticPr fontId="2" type="noConversion"/>
  </si>
  <si>
    <t>胜利获得积分</t>
    <phoneticPr fontId="2" type="noConversion"/>
  </si>
  <si>
    <t>失败获得积分</t>
    <phoneticPr fontId="2" type="noConversion"/>
  </si>
  <si>
    <t>普通</t>
    <phoneticPr fontId="2" type="noConversion"/>
  </si>
  <si>
    <t>极限</t>
    <phoneticPr fontId="2" type="noConversion"/>
  </si>
  <si>
    <t>宠物战斗力</t>
    <phoneticPr fontId="2" type="noConversion"/>
  </si>
  <si>
    <t>出战宠物个数</t>
    <phoneticPr fontId="2" type="noConversion"/>
  </si>
  <si>
    <t>宠物提供战斗力比</t>
    <phoneticPr fontId="2" type="noConversion"/>
  </si>
  <si>
    <t>关卡战斗力(不带宠物)</t>
    <phoneticPr fontId="2" type="noConversion"/>
  </si>
  <si>
    <t>关卡战斗力(带宠物)</t>
    <phoneticPr fontId="2" type="noConversion"/>
  </si>
  <si>
    <t>整数关卡(带宠物)</t>
    <phoneticPr fontId="2" type="noConversion"/>
  </si>
  <si>
    <t>整数关卡战斗力(不带宠物)</t>
    <phoneticPr fontId="2" type="noConversion"/>
  </si>
  <si>
    <t>关卡推荐战斗力(带宠物)</t>
    <phoneticPr fontId="2" type="noConversion"/>
  </si>
  <si>
    <t>关卡推荐战斗力(不带宠物)</t>
    <phoneticPr fontId="2" type="noConversion"/>
  </si>
  <si>
    <t>等级</t>
    <phoneticPr fontId="2" type="noConversion"/>
  </si>
  <si>
    <t>角色成长</t>
    <phoneticPr fontId="2" type="noConversion"/>
  </si>
  <si>
    <t>装备</t>
    <phoneticPr fontId="2" type="noConversion"/>
  </si>
  <si>
    <t>宝石</t>
    <phoneticPr fontId="2" type="noConversion"/>
  </si>
  <si>
    <t>圣火</t>
    <phoneticPr fontId="2" type="noConversion"/>
  </si>
  <si>
    <t>神器</t>
    <phoneticPr fontId="2" type="noConversion"/>
  </si>
  <si>
    <t>神器等级</t>
  </si>
  <si>
    <t>神器属性比</t>
  </si>
  <si>
    <t>神器属性点</t>
  </si>
  <si>
    <t>神器等级</t>
    <phoneticPr fontId="2" type="noConversion"/>
  </si>
  <si>
    <t>神器个数</t>
    <phoneticPr fontId="2" type="noConversion"/>
  </si>
  <si>
    <t>个数</t>
    <phoneticPr fontId="2" type="noConversion"/>
  </si>
  <si>
    <t>神器属性点</t>
    <phoneticPr fontId="2" type="noConversion"/>
  </si>
  <si>
    <t>怪物承受普攻套数(半弱属性)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</si>
</sst>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#.0&quot;倍&quot;"/>
    <numFmt numFmtId="178" formatCode="0.000"/>
    <numFmt numFmtId="179" formatCode="0.0000"/>
  </numFmts>
  <fonts count="11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rgb="FFFF0000"/>
      <name val="宋体"/>
      <family val="2"/>
      <charset val="134"/>
      <scheme val="minor"/>
    </font>
    <font>
      <b/>
      <sz val="9"/>
      <color rgb="FFFF0000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9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177" fontId="1" fillId="0" borderId="0" xfId="0" applyNumberFormat="1" applyFont="1">
      <alignment vertical="center"/>
    </xf>
    <xf numFmtId="2" fontId="4" fillId="2" borderId="1" xfId="0" applyNumberFormat="1" applyFont="1" applyFill="1" applyBorder="1">
      <alignment vertical="center"/>
    </xf>
    <xf numFmtId="2" fontId="4" fillId="3" borderId="1" xfId="0" applyNumberFormat="1" applyFont="1" applyFill="1" applyBorder="1">
      <alignment vertical="center"/>
    </xf>
    <xf numFmtId="2" fontId="4" fillId="4" borderId="1" xfId="0" applyNumberFormat="1" applyFont="1" applyFill="1" applyBorder="1">
      <alignment vertical="center"/>
    </xf>
    <xf numFmtId="2" fontId="4" fillId="5" borderId="1" xfId="0" applyNumberFormat="1" applyFont="1" applyFill="1" applyBorder="1">
      <alignment vertical="center"/>
    </xf>
    <xf numFmtId="2" fontId="4" fillId="6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7" borderId="1" xfId="0" applyFont="1" applyFill="1" applyBorder="1">
      <alignment vertical="center"/>
    </xf>
    <xf numFmtId="0" fontId="1" fillId="8" borderId="1" xfId="0" applyFont="1" applyFill="1" applyBorder="1">
      <alignment vertical="center"/>
    </xf>
    <xf numFmtId="1" fontId="1" fillId="0" borderId="1" xfId="0" applyNumberFormat="1" applyFont="1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" fontId="1" fillId="0" borderId="0" xfId="0" applyNumberFormat="1" applyFont="1">
      <alignment vertical="center"/>
    </xf>
    <xf numFmtId="1" fontId="4" fillId="0" borderId="1" xfId="0" applyNumberFormat="1" applyFont="1" applyBorder="1">
      <alignment vertical="center"/>
    </xf>
    <xf numFmtId="178" fontId="1" fillId="0" borderId="0" xfId="0" applyNumberFormat="1" applyFont="1">
      <alignment vertical="center"/>
    </xf>
    <xf numFmtId="0" fontId="3" fillId="9" borderId="1" xfId="0" applyFont="1" applyFill="1" applyBorder="1">
      <alignment vertical="center"/>
    </xf>
    <xf numFmtId="0" fontId="9" fillId="0" borderId="0" xfId="0" applyFont="1">
      <alignment vertical="center"/>
    </xf>
    <xf numFmtId="0" fontId="4" fillId="0" borderId="1" xfId="0" applyFont="1" applyBorder="1">
      <alignment vertical="center"/>
    </xf>
    <xf numFmtId="2" fontId="4" fillId="9" borderId="1" xfId="0" applyNumberFormat="1" applyFont="1" applyFill="1" applyBorder="1">
      <alignment vertical="center"/>
    </xf>
    <xf numFmtId="176" fontId="3" fillId="10" borderId="1" xfId="0" applyNumberFormat="1" applyFont="1" applyFill="1" applyBorder="1">
      <alignment vertical="center"/>
    </xf>
    <xf numFmtId="2" fontId="3" fillId="0" borderId="1" xfId="0" applyNumberFormat="1" applyFont="1" applyBorder="1">
      <alignment vertical="center"/>
    </xf>
    <xf numFmtId="0" fontId="1" fillId="10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>
      <alignment vertical="center"/>
    </xf>
    <xf numFmtId="178" fontId="1" fillId="0" borderId="1" xfId="0" applyNumberFormat="1" applyFont="1" applyBorder="1">
      <alignment vertical="center"/>
    </xf>
    <xf numFmtId="2" fontId="4" fillId="8" borderId="1" xfId="0" applyNumberFormat="1" applyFont="1" applyFill="1" applyBorder="1">
      <alignment vertical="center"/>
    </xf>
    <xf numFmtId="0" fontId="3" fillId="14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3" fillId="12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13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8" borderId="11" xfId="0" applyFont="1" applyFill="1" applyBorder="1">
      <alignment vertical="center"/>
    </xf>
    <xf numFmtId="176" fontId="3" fillId="8" borderId="1" xfId="0" applyNumberFormat="1" applyFont="1" applyFill="1" applyBorder="1">
      <alignment vertical="center"/>
    </xf>
    <xf numFmtId="0" fontId="1" fillId="15" borderId="1" xfId="0" applyFont="1" applyFill="1" applyBorder="1">
      <alignment vertical="center"/>
    </xf>
    <xf numFmtId="176" fontId="1" fillId="15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15" borderId="0" xfId="0" applyNumberFormat="1" applyFont="1" applyFill="1" applyBorder="1">
      <alignment vertical="center"/>
    </xf>
    <xf numFmtId="0" fontId="1" fillId="0" borderId="12" xfId="0" applyFont="1" applyBorder="1" applyAlignment="1">
      <alignment vertical="center" wrapText="1"/>
    </xf>
    <xf numFmtId="1" fontId="1" fillId="0" borderId="12" xfId="0" applyNumberFormat="1" applyFont="1" applyBorder="1">
      <alignment vertical="center"/>
    </xf>
    <xf numFmtId="179" fontId="1" fillId="0" borderId="0" xfId="0" applyNumberFormat="1" applyFont="1">
      <alignment vertical="center"/>
    </xf>
    <xf numFmtId="0" fontId="1" fillId="0" borderId="18" xfId="0" applyFont="1" applyBorder="1" applyAlignment="1">
      <alignment vertical="center" wrapText="1"/>
    </xf>
    <xf numFmtId="2" fontId="1" fillId="0" borderId="12" xfId="0" applyNumberFormat="1" applyFont="1" applyBorder="1">
      <alignment vertical="center"/>
    </xf>
    <xf numFmtId="2" fontId="1" fillId="0" borderId="1" xfId="0" applyNumberFormat="1" applyFont="1" applyBorder="1">
      <alignment vertical="center"/>
    </xf>
    <xf numFmtId="178" fontId="1" fillId="0" borderId="12" xfId="0" applyNumberFormat="1" applyFont="1" applyBorder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2" fontId="4" fillId="8" borderId="1" xfId="0" applyNumberFormat="1" applyFont="1" applyFill="1" applyBorder="1" applyAlignment="1">
      <alignment vertical="center" wrapText="1"/>
    </xf>
    <xf numFmtId="176" fontId="1" fillId="0" borderId="0" xfId="0" applyNumberFormat="1" applyFont="1">
      <alignment vertical="center"/>
    </xf>
    <xf numFmtId="0" fontId="4" fillId="16" borderId="1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" fontId="1" fillId="17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lang="zh-CN" altLang="en-US"/>
              <a:t>级属性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角色属性!$BP$6:$BT$6</c:f>
              <c:strCache>
                <c:ptCount val="5"/>
                <c:pt idx="0">
                  <c:v>角色成长</c:v>
                </c:pt>
                <c:pt idx="1">
                  <c:v>装备</c:v>
                </c:pt>
                <c:pt idx="2">
                  <c:v>宝石</c:v>
                </c:pt>
                <c:pt idx="3">
                  <c:v>圣火</c:v>
                </c:pt>
                <c:pt idx="4">
                  <c:v>神器</c:v>
                </c:pt>
              </c:strCache>
            </c:strRef>
          </c:cat>
          <c:val>
            <c:numRef>
              <c:f>角色属性!$BP$7:$BT$7</c:f>
              <c:numCache>
                <c:formatCode>0</c:formatCode>
                <c:ptCount val="5"/>
                <c:pt idx="0" formatCode="General">
                  <c:v>80</c:v>
                </c:pt>
                <c:pt idx="1">
                  <c:v>116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角色属性!$BP$6:$BT$6</c:f>
              <c:strCache>
                <c:ptCount val="5"/>
                <c:pt idx="0">
                  <c:v>角色成长</c:v>
                </c:pt>
                <c:pt idx="1">
                  <c:v>装备</c:v>
                </c:pt>
                <c:pt idx="2">
                  <c:v>宝石</c:v>
                </c:pt>
                <c:pt idx="3">
                  <c:v>圣火</c:v>
                </c:pt>
                <c:pt idx="4">
                  <c:v>神器</c:v>
                </c:pt>
              </c:strCache>
            </c:strRef>
          </c:cat>
          <c:val>
            <c:numRef>
              <c:f>角色属性!$BP$7:$BT$7</c:f>
              <c:numCache>
                <c:formatCode>0</c:formatCode>
                <c:ptCount val="5"/>
                <c:pt idx="0" formatCode="General">
                  <c:v>80</c:v>
                </c:pt>
                <c:pt idx="1">
                  <c:v>116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</a:t>
            </a:r>
            <a:r>
              <a:rPr lang="zh-CN" altLang="en-US"/>
              <a:t>级属性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角色属性!$BP$6:$BT$6</c:f>
              <c:strCache>
                <c:ptCount val="5"/>
                <c:pt idx="0">
                  <c:v>角色成长</c:v>
                </c:pt>
                <c:pt idx="1">
                  <c:v>装备</c:v>
                </c:pt>
                <c:pt idx="2">
                  <c:v>宝石</c:v>
                </c:pt>
                <c:pt idx="3">
                  <c:v>圣火</c:v>
                </c:pt>
                <c:pt idx="4">
                  <c:v>神器</c:v>
                </c:pt>
              </c:strCache>
            </c:strRef>
          </c:cat>
          <c:val>
            <c:numRef>
              <c:f>角色属性!$BP$8:$BT$8</c:f>
              <c:numCache>
                <c:formatCode>0</c:formatCode>
                <c:ptCount val="5"/>
                <c:pt idx="0" formatCode="General">
                  <c:v>180</c:v>
                </c:pt>
                <c:pt idx="1">
                  <c:v>1476</c:v>
                </c:pt>
                <c:pt idx="2">
                  <c:v>0</c:v>
                </c:pt>
                <c:pt idx="3">
                  <c:v>157.5</c:v>
                </c:pt>
                <c:pt idx="4">
                  <c:v>42.4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角色属性!$BP$6:$BT$6</c:f>
              <c:strCache>
                <c:ptCount val="5"/>
                <c:pt idx="0">
                  <c:v>角色成长</c:v>
                </c:pt>
                <c:pt idx="1">
                  <c:v>装备</c:v>
                </c:pt>
                <c:pt idx="2">
                  <c:v>宝石</c:v>
                </c:pt>
                <c:pt idx="3">
                  <c:v>圣火</c:v>
                </c:pt>
                <c:pt idx="4">
                  <c:v>神器</c:v>
                </c:pt>
              </c:strCache>
            </c:strRef>
          </c:cat>
          <c:val>
            <c:numRef>
              <c:f>角色属性!$BP$8:$BT$8</c:f>
              <c:numCache>
                <c:formatCode>0</c:formatCode>
                <c:ptCount val="5"/>
                <c:pt idx="0" formatCode="General">
                  <c:v>180</c:v>
                </c:pt>
                <c:pt idx="1">
                  <c:v>1476</c:v>
                </c:pt>
                <c:pt idx="2">
                  <c:v>0</c:v>
                </c:pt>
                <c:pt idx="3">
                  <c:v>157.5</c:v>
                </c:pt>
                <c:pt idx="4">
                  <c:v>42.4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</a:t>
            </a:r>
            <a:r>
              <a:rPr lang="zh-CN" altLang="en-US"/>
              <a:t>级属性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角色属性!$BP$6:$BT$6</c:f>
              <c:strCache>
                <c:ptCount val="5"/>
                <c:pt idx="0">
                  <c:v>角色成长</c:v>
                </c:pt>
                <c:pt idx="1">
                  <c:v>装备</c:v>
                </c:pt>
                <c:pt idx="2">
                  <c:v>宝石</c:v>
                </c:pt>
                <c:pt idx="3">
                  <c:v>圣火</c:v>
                </c:pt>
                <c:pt idx="4">
                  <c:v>神器</c:v>
                </c:pt>
              </c:strCache>
            </c:strRef>
          </c:cat>
          <c:val>
            <c:numRef>
              <c:f>角色属性!$BP$9:$BT$9</c:f>
              <c:numCache>
                <c:formatCode>0</c:formatCode>
                <c:ptCount val="5"/>
                <c:pt idx="0" formatCode="General">
                  <c:v>280</c:v>
                </c:pt>
                <c:pt idx="1">
                  <c:v>4230.0969920039533</c:v>
                </c:pt>
                <c:pt idx="2">
                  <c:v>1184.711111111111</c:v>
                </c:pt>
                <c:pt idx="3">
                  <c:v>952.5</c:v>
                </c:pt>
                <c:pt idx="4">
                  <c:v>848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角色属性!$BP$6:$BT$6</c:f>
              <c:strCache>
                <c:ptCount val="5"/>
                <c:pt idx="0">
                  <c:v>角色成长</c:v>
                </c:pt>
                <c:pt idx="1">
                  <c:v>装备</c:v>
                </c:pt>
                <c:pt idx="2">
                  <c:v>宝石</c:v>
                </c:pt>
                <c:pt idx="3">
                  <c:v>圣火</c:v>
                </c:pt>
                <c:pt idx="4">
                  <c:v>神器</c:v>
                </c:pt>
              </c:strCache>
            </c:strRef>
          </c:cat>
          <c:val>
            <c:numRef>
              <c:f>角色属性!$BP$9:$BT$9</c:f>
              <c:numCache>
                <c:formatCode>0</c:formatCode>
                <c:ptCount val="5"/>
                <c:pt idx="0" formatCode="General">
                  <c:v>280</c:v>
                </c:pt>
                <c:pt idx="1">
                  <c:v>4230.0969920039533</c:v>
                </c:pt>
                <c:pt idx="2">
                  <c:v>1184.711111111111</c:v>
                </c:pt>
                <c:pt idx="3">
                  <c:v>952.5</c:v>
                </c:pt>
                <c:pt idx="4">
                  <c:v>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70</a:t>
            </a:r>
            <a:r>
              <a:rPr lang="zh-CN" altLang="en-US"/>
              <a:t>级属性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角色属性!$BP$6:$BT$6</c:f>
              <c:strCache>
                <c:ptCount val="5"/>
                <c:pt idx="0">
                  <c:v>角色成长</c:v>
                </c:pt>
                <c:pt idx="1">
                  <c:v>装备</c:v>
                </c:pt>
                <c:pt idx="2">
                  <c:v>宝石</c:v>
                </c:pt>
                <c:pt idx="3">
                  <c:v>圣火</c:v>
                </c:pt>
                <c:pt idx="4">
                  <c:v>神器</c:v>
                </c:pt>
              </c:strCache>
            </c:strRef>
          </c:cat>
          <c:val>
            <c:numRef>
              <c:f>角色属性!$BP$10:$BT$10</c:f>
              <c:numCache>
                <c:formatCode>0</c:formatCode>
                <c:ptCount val="5"/>
                <c:pt idx="0" formatCode="General">
                  <c:v>380</c:v>
                </c:pt>
                <c:pt idx="1">
                  <c:v>7756.5302950263167</c:v>
                </c:pt>
                <c:pt idx="2">
                  <c:v>6272</c:v>
                </c:pt>
                <c:pt idx="3">
                  <c:v>2385</c:v>
                </c:pt>
                <c:pt idx="4">
                  <c:v>3052.7999999999997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角色属性!$BP$6:$BT$6</c:f>
              <c:strCache>
                <c:ptCount val="5"/>
                <c:pt idx="0">
                  <c:v>角色成长</c:v>
                </c:pt>
                <c:pt idx="1">
                  <c:v>装备</c:v>
                </c:pt>
                <c:pt idx="2">
                  <c:v>宝石</c:v>
                </c:pt>
                <c:pt idx="3">
                  <c:v>圣火</c:v>
                </c:pt>
                <c:pt idx="4">
                  <c:v>神器</c:v>
                </c:pt>
              </c:strCache>
            </c:strRef>
          </c:cat>
          <c:val>
            <c:numRef>
              <c:f>角色属性!$BP$10:$BT$10</c:f>
              <c:numCache>
                <c:formatCode>0</c:formatCode>
                <c:ptCount val="5"/>
                <c:pt idx="0" formatCode="General">
                  <c:v>380</c:v>
                </c:pt>
                <c:pt idx="1">
                  <c:v>7756.5302950263167</c:v>
                </c:pt>
                <c:pt idx="2">
                  <c:v>6272</c:v>
                </c:pt>
                <c:pt idx="3">
                  <c:v>2385</c:v>
                </c:pt>
                <c:pt idx="4">
                  <c:v>3052.7999999999997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关卡等级!$Q$3:$Q$182</c:f>
              <c:numCache>
                <c:formatCode>0</c:formatCode>
                <c:ptCount val="180"/>
                <c:pt idx="0">
                  <c:v>0</c:v>
                </c:pt>
                <c:pt idx="1">
                  <c:v>121</c:v>
                </c:pt>
                <c:pt idx="2">
                  <c:v>38</c:v>
                </c:pt>
                <c:pt idx="3">
                  <c:v>67</c:v>
                </c:pt>
                <c:pt idx="4">
                  <c:v>200</c:v>
                </c:pt>
                <c:pt idx="5">
                  <c:v>200</c:v>
                </c:pt>
                <c:pt idx="6">
                  <c:v>305</c:v>
                </c:pt>
                <c:pt idx="7">
                  <c:v>361</c:v>
                </c:pt>
                <c:pt idx="8">
                  <c:v>372</c:v>
                </c:pt>
                <c:pt idx="9">
                  <c:v>541</c:v>
                </c:pt>
                <c:pt idx="10">
                  <c:v>21</c:v>
                </c:pt>
                <c:pt idx="11">
                  <c:v>168</c:v>
                </c:pt>
                <c:pt idx="12">
                  <c:v>238</c:v>
                </c:pt>
                <c:pt idx="13">
                  <c:v>574</c:v>
                </c:pt>
                <c:pt idx="14">
                  <c:v>825</c:v>
                </c:pt>
                <c:pt idx="15">
                  <c:v>395</c:v>
                </c:pt>
                <c:pt idx="16">
                  <c:v>332</c:v>
                </c:pt>
                <c:pt idx="17">
                  <c:v>444</c:v>
                </c:pt>
                <c:pt idx="18">
                  <c:v>554</c:v>
                </c:pt>
                <c:pt idx="19">
                  <c:v>1250</c:v>
                </c:pt>
                <c:pt idx="20">
                  <c:v>65</c:v>
                </c:pt>
                <c:pt idx="21">
                  <c:v>93</c:v>
                </c:pt>
                <c:pt idx="22">
                  <c:v>207</c:v>
                </c:pt>
                <c:pt idx="23">
                  <c:v>1361</c:v>
                </c:pt>
                <c:pt idx="24">
                  <c:v>233</c:v>
                </c:pt>
                <c:pt idx="25">
                  <c:v>335</c:v>
                </c:pt>
                <c:pt idx="26">
                  <c:v>502</c:v>
                </c:pt>
                <c:pt idx="27">
                  <c:v>670</c:v>
                </c:pt>
                <c:pt idx="28">
                  <c:v>838</c:v>
                </c:pt>
                <c:pt idx="29">
                  <c:v>2512</c:v>
                </c:pt>
                <c:pt idx="30">
                  <c:v>363</c:v>
                </c:pt>
                <c:pt idx="31">
                  <c:v>605</c:v>
                </c:pt>
                <c:pt idx="32">
                  <c:v>847</c:v>
                </c:pt>
                <c:pt idx="33">
                  <c:v>1088</c:v>
                </c:pt>
                <c:pt idx="34">
                  <c:v>2178</c:v>
                </c:pt>
                <c:pt idx="35">
                  <c:v>483</c:v>
                </c:pt>
                <c:pt idx="36">
                  <c:v>726</c:v>
                </c:pt>
                <c:pt idx="37">
                  <c:v>968</c:v>
                </c:pt>
                <c:pt idx="38">
                  <c:v>1209</c:v>
                </c:pt>
                <c:pt idx="39">
                  <c:v>3629</c:v>
                </c:pt>
                <c:pt idx="40">
                  <c:v>756</c:v>
                </c:pt>
                <c:pt idx="41">
                  <c:v>1259</c:v>
                </c:pt>
                <c:pt idx="42">
                  <c:v>1762</c:v>
                </c:pt>
                <c:pt idx="43">
                  <c:v>2266</c:v>
                </c:pt>
                <c:pt idx="44">
                  <c:v>4533</c:v>
                </c:pt>
                <c:pt idx="45">
                  <c:v>1007</c:v>
                </c:pt>
                <c:pt idx="46">
                  <c:v>1510</c:v>
                </c:pt>
                <c:pt idx="47">
                  <c:v>2015</c:v>
                </c:pt>
                <c:pt idx="48">
                  <c:v>2518</c:v>
                </c:pt>
                <c:pt idx="49">
                  <c:v>7554</c:v>
                </c:pt>
                <c:pt idx="50">
                  <c:v>460</c:v>
                </c:pt>
                <c:pt idx="51">
                  <c:v>767</c:v>
                </c:pt>
                <c:pt idx="52">
                  <c:v>1074</c:v>
                </c:pt>
                <c:pt idx="53">
                  <c:v>1381</c:v>
                </c:pt>
                <c:pt idx="54">
                  <c:v>2762</c:v>
                </c:pt>
                <c:pt idx="55">
                  <c:v>614</c:v>
                </c:pt>
                <c:pt idx="56">
                  <c:v>921</c:v>
                </c:pt>
                <c:pt idx="57">
                  <c:v>1227</c:v>
                </c:pt>
                <c:pt idx="58">
                  <c:v>1535</c:v>
                </c:pt>
                <c:pt idx="59">
                  <c:v>4603</c:v>
                </c:pt>
                <c:pt idx="60">
                  <c:v>655</c:v>
                </c:pt>
                <c:pt idx="61">
                  <c:v>1092</c:v>
                </c:pt>
                <c:pt idx="62">
                  <c:v>1529</c:v>
                </c:pt>
                <c:pt idx="63">
                  <c:v>1965</c:v>
                </c:pt>
                <c:pt idx="64">
                  <c:v>3931</c:v>
                </c:pt>
                <c:pt idx="65">
                  <c:v>874</c:v>
                </c:pt>
                <c:pt idx="66">
                  <c:v>1310</c:v>
                </c:pt>
                <c:pt idx="67">
                  <c:v>1747</c:v>
                </c:pt>
                <c:pt idx="68">
                  <c:v>2184</c:v>
                </c:pt>
                <c:pt idx="69">
                  <c:v>6552</c:v>
                </c:pt>
                <c:pt idx="70">
                  <c:v>1133</c:v>
                </c:pt>
                <c:pt idx="71">
                  <c:v>1890</c:v>
                </c:pt>
                <c:pt idx="72">
                  <c:v>2646</c:v>
                </c:pt>
                <c:pt idx="73">
                  <c:v>3401</c:v>
                </c:pt>
                <c:pt idx="74">
                  <c:v>6803</c:v>
                </c:pt>
                <c:pt idx="75">
                  <c:v>1512</c:v>
                </c:pt>
                <c:pt idx="76">
                  <c:v>2267</c:v>
                </c:pt>
                <c:pt idx="77">
                  <c:v>3024</c:v>
                </c:pt>
                <c:pt idx="78">
                  <c:v>3779</c:v>
                </c:pt>
                <c:pt idx="79">
                  <c:v>11338</c:v>
                </c:pt>
                <c:pt idx="80">
                  <c:v>1072</c:v>
                </c:pt>
                <c:pt idx="81">
                  <c:v>1787</c:v>
                </c:pt>
                <c:pt idx="82">
                  <c:v>2502</c:v>
                </c:pt>
                <c:pt idx="83">
                  <c:v>3217</c:v>
                </c:pt>
                <c:pt idx="84">
                  <c:v>6433</c:v>
                </c:pt>
                <c:pt idx="85">
                  <c:v>1429</c:v>
                </c:pt>
                <c:pt idx="86">
                  <c:v>2145</c:v>
                </c:pt>
                <c:pt idx="87">
                  <c:v>2859</c:v>
                </c:pt>
                <c:pt idx="88">
                  <c:v>3574</c:v>
                </c:pt>
                <c:pt idx="89">
                  <c:v>10722</c:v>
                </c:pt>
                <c:pt idx="90">
                  <c:v>1265</c:v>
                </c:pt>
                <c:pt idx="91">
                  <c:v>2107</c:v>
                </c:pt>
                <c:pt idx="92">
                  <c:v>2950</c:v>
                </c:pt>
                <c:pt idx="93">
                  <c:v>3794</c:v>
                </c:pt>
                <c:pt idx="94">
                  <c:v>7586</c:v>
                </c:pt>
                <c:pt idx="95">
                  <c:v>1686</c:v>
                </c:pt>
                <c:pt idx="96">
                  <c:v>2529</c:v>
                </c:pt>
                <c:pt idx="97">
                  <c:v>3372</c:v>
                </c:pt>
                <c:pt idx="98">
                  <c:v>4214</c:v>
                </c:pt>
                <c:pt idx="99">
                  <c:v>12644</c:v>
                </c:pt>
                <c:pt idx="100">
                  <c:v>904</c:v>
                </c:pt>
                <c:pt idx="101">
                  <c:v>1507</c:v>
                </c:pt>
                <c:pt idx="102">
                  <c:v>2109</c:v>
                </c:pt>
                <c:pt idx="103">
                  <c:v>2712</c:v>
                </c:pt>
                <c:pt idx="104">
                  <c:v>5424</c:v>
                </c:pt>
                <c:pt idx="105">
                  <c:v>1206</c:v>
                </c:pt>
                <c:pt idx="106">
                  <c:v>1808</c:v>
                </c:pt>
                <c:pt idx="107">
                  <c:v>2410</c:v>
                </c:pt>
                <c:pt idx="108">
                  <c:v>3013</c:v>
                </c:pt>
                <c:pt idx="109">
                  <c:v>9040</c:v>
                </c:pt>
                <c:pt idx="110">
                  <c:v>1170</c:v>
                </c:pt>
                <c:pt idx="111">
                  <c:v>1951</c:v>
                </c:pt>
                <c:pt idx="112">
                  <c:v>2730</c:v>
                </c:pt>
                <c:pt idx="113">
                  <c:v>3511</c:v>
                </c:pt>
                <c:pt idx="114">
                  <c:v>7021</c:v>
                </c:pt>
                <c:pt idx="115">
                  <c:v>1560</c:v>
                </c:pt>
                <c:pt idx="116">
                  <c:v>2340</c:v>
                </c:pt>
                <c:pt idx="117">
                  <c:v>3121</c:v>
                </c:pt>
                <c:pt idx="118">
                  <c:v>3900</c:v>
                </c:pt>
                <c:pt idx="119">
                  <c:v>11702</c:v>
                </c:pt>
                <c:pt idx="120">
                  <c:v>1166</c:v>
                </c:pt>
                <c:pt idx="121">
                  <c:v>1943</c:v>
                </c:pt>
                <c:pt idx="122">
                  <c:v>2721</c:v>
                </c:pt>
                <c:pt idx="123">
                  <c:v>3498</c:v>
                </c:pt>
                <c:pt idx="124">
                  <c:v>6996</c:v>
                </c:pt>
                <c:pt idx="125">
                  <c:v>1554</c:v>
                </c:pt>
                <c:pt idx="126">
                  <c:v>2332</c:v>
                </c:pt>
                <c:pt idx="127">
                  <c:v>3109</c:v>
                </c:pt>
                <c:pt idx="128">
                  <c:v>3887</c:v>
                </c:pt>
                <c:pt idx="129">
                  <c:v>11660</c:v>
                </c:pt>
                <c:pt idx="130">
                  <c:v>1225</c:v>
                </c:pt>
                <c:pt idx="131">
                  <c:v>2042</c:v>
                </c:pt>
                <c:pt idx="132">
                  <c:v>2859</c:v>
                </c:pt>
                <c:pt idx="133">
                  <c:v>3676</c:v>
                </c:pt>
                <c:pt idx="134">
                  <c:v>7352</c:v>
                </c:pt>
                <c:pt idx="135">
                  <c:v>1633</c:v>
                </c:pt>
                <c:pt idx="136">
                  <c:v>2451</c:v>
                </c:pt>
                <c:pt idx="137">
                  <c:v>3267</c:v>
                </c:pt>
                <c:pt idx="138">
                  <c:v>4084</c:v>
                </c:pt>
                <c:pt idx="139">
                  <c:v>12253</c:v>
                </c:pt>
                <c:pt idx="140">
                  <c:v>1442</c:v>
                </c:pt>
                <c:pt idx="141">
                  <c:v>2403</c:v>
                </c:pt>
                <c:pt idx="142">
                  <c:v>3363</c:v>
                </c:pt>
                <c:pt idx="143">
                  <c:v>4325</c:v>
                </c:pt>
                <c:pt idx="144">
                  <c:v>8650</c:v>
                </c:pt>
                <c:pt idx="145">
                  <c:v>1923</c:v>
                </c:pt>
                <c:pt idx="146">
                  <c:v>2883</c:v>
                </c:pt>
                <c:pt idx="147">
                  <c:v>3844</c:v>
                </c:pt>
                <c:pt idx="148">
                  <c:v>4806</c:v>
                </c:pt>
                <c:pt idx="149">
                  <c:v>14417</c:v>
                </c:pt>
                <c:pt idx="150">
                  <c:v>2578</c:v>
                </c:pt>
                <c:pt idx="151">
                  <c:v>4297</c:v>
                </c:pt>
                <c:pt idx="152">
                  <c:v>6015</c:v>
                </c:pt>
                <c:pt idx="153">
                  <c:v>7735</c:v>
                </c:pt>
                <c:pt idx="154">
                  <c:v>15469</c:v>
                </c:pt>
                <c:pt idx="155">
                  <c:v>3437</c:v>
                </c:pt>
                <c:pt idx="156">
                  <c:v>5157</c:v>
                </c:pt>
                <c:pt idx="157">
                  <c:v>6875</c:v>
                </c:pt>
                <c:pt idx="158">
                  <c:v>8593</c:v>
                </c:pt>
                <c:pt idx="159">
                  <c:v>25782</c:v>
                </c:pt>
                <c:pt idx="160">
                  <c:v>3006</c:v>
                </c:pt>
                <c:pt idx="161">
                  <c:v>5010</c:v>
                </c:pt>
                <c:pt idx="162">
                  <c:v>7015</c:v>
                </c:pt>
                <c:pt idx="163">
                  <c:v>9018</c:v>
                </c:pt>
                <c:pt idx="164">
                  <c:v>18037</c:v>
                </c:pt>
                <c:pt idx="165">
                  <c:v>4008</c:v>
                </c:pt>
                <c:pt idx="166">
                  <c:v>6012</c:v>
                </c:pt>
                <c:pt idx="167">
                  <c:v>8016</c:v>
                </c:pt>
                <c:pt idx="168">
                  <c:v>10021</c:v>
                </c:pt>
                <c:pt idx="169">
                  <c:v>30061</c:v>
                </c:pt>
                <c:pt idx="170">
                  <c:v>3776</c:v>
                </c:pt>
                <c:pt idx="171">
                  <c:v>6295</c:v>
                </c:pt>
                <c:pt idx="172">
                  <c:v>8812</c:v>
                </c:pt>
                <c:pt idx="173">
                  <c:v>11330</c:v>
                </c:pt>
                <c:pt idx="174">
                  <c:v>22659</c:v>
                </c:pt>
                <c:pt idx="175">
                  <c:v>5036</c:v>
                </c:pt>
                <c:pt idx="176">
                  <c:v>7553</c:v>
                </c:pt>
                <c:pt idx="177">
                  <c:v>10071</c:v>
                </c:pt>
                <c:pt idx="178">
                  <c:v>12589</c:v>
                </c:pt>
                <c:pt idx="179">
                  <c:v>37766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77264"/>
        <c:axId val="278977824"/>
      </c:scatterChart>
      <c:valAx>
        <c:axId val="2789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977824"/>
        <c:crosses val="autoZero"/>
        <c:crossBetween val="midCat"/>
        <c:majorUnit val="1"/>
        <c:minorUnit val="1"/>
      </c:valAx>
      <c:valAx>
        <c:axId val="2789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9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647700</xdr:colOff>
      <xdr:row>12</xdr:row>
      <xdr:rowOff>95250</xdr:rowOff>
    </xdr:from>
    <xdr:to>
      <xdr:col>69</xdr:col>
      <xdr:colOff>123825</xdr:colOff>
      <xdr:row>29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76200</xdr:colOff>
      <xdr:row>12</xdr:row>
      <xdr:rowOff>76200</xdr:rowOff>
    </xdr:from>
    <xdr:to>
      <xdr:col>74</xdr:col>
      <xdr:colOff>238125</xdr:colOff>
      <xdr:row>29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28575</xdr:colOff>
      <xdr:row>32</xdr:row>
      <xdr:rowOff>0</xdr:rowOff>
    </xdr:from>
    <xdr:to>
      <xdr:col>69</xdr:col>
      <xdr:colOff>190500</xdr:colOff>
      <xdr:row>49</xdr:row>
      <xdr:rowOff>28575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676275</xdr:colOff>
      <xdr:row>32</xdr:row>
      <xdr:rowOff>9525</xdr:rowOff>
    </xdr:from>
    <xdr:to>
      <xdr:col>74</xdr:col>
      <xdr:colOff>152400</xdr:colOff>
      <xdr:row>49</xdr:row>
      <xdr:rowOff>38100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180975</xdr:colOff>
      <xdr:row>22</xdr:row>
      <xdr:rowOff>57150</xdr:rowOff>
    </xdr:from>
    <xdr:to>
      <xdr:col>82</xdr:col>
      <xdr:colOff>66676</xdr:colOff>
      <xdr:row>62</xdr:row>
      <xdr:rowOff>76201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30784;&#23646;&#24615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12;&#31070;&#25216;&#3302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6;&#29289;&#23646;&#2461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斗预期"/>
      <sheetName val="属性成长"/>
      <sheetName val="属性分配"/>
      <sheetName val="属性成长值"/>
      <sheetName val="角色成长"/>
    </sheetNames>
    <sheetDataSet>
      <sheetData sheetId="0">
        <row r="1">
          <cell r="E1">
            <v>0.7</v>
          </cell>
        </row>
        <row r="3">
          <cell r="J3">
            <v>2</v>
          </cell>
        </row>
        <row r="4">
          <cell r="C4">
            <v>100</v>
          </cell>
          <cell r="D4">
            <v>10</v>
          </cell>
          <cell r="E4">
            <v>5</v>
          </cell>
          <cell r="F4">
            <v>4</v>
          </cell>
          <cell r="G4">
            <v>4</v>
          </cell>
        </row>
        <row r="6">
          <cell r="C6">
            <v>100</v>
          </cell>
          <cell r="D6">
            <v>10</v>
          </cell>
        </row>
      </sheetData>
      <sheetData sheetId="1">
        <row r="8">
          <cell r="D8">
            <v>5</v>
          </cell>
        </row>
        <row r="9">
          <cell r="D9">
            <v>10</v>
          </cell>
        </row>
        <row r="10">
          <cell r="D10">
            <v>15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30</v>
          </cell>
        </row>
        <row r="14">
          <cell r="D14">
            <v>35</v>
          </cell>
        </row>
        <row r="15">
          <cell r="D15">
            <v>40</v>
          </cell>
        </row>
        <row r="16">
          <cell r="D16">
            <v>45</v>
          </cell>
        </row>
        <row r="17">
          <cell r="D17">
            <v>50</v>
          </cell>
        </row>
        <row r="18">
          <cell r="D18">
            <v>55</v>
          </cell>
        </row>
        <row r="19">
          <cell r="D19">
            <v>60</v>
          </cell>
        </row>
        <row r="20">
          <cell r="D20">
            <v>65</v>
          </cell>
        </row>
        <row r="21">
          <cell r="D21">
            <v>70</v>
          </cell>
        </row>
        <row r="22">
          <cell r="D22">
            <v>75</v>
          </cell>
        </row>
        <row r="23">
          <cell r="D23">
            <v>80</v>
          </cell>
        </row>
        <row r="24">
          <cell r="D24">
            <v>85</v>
          </cell>
        </row>
        <row r="25">
          <cell r="D25">
            <v>90</v>
          </cell>
        </row>
        <row r="26">
          <cell r="D26">
            <v>95</v>
          </cell>
        </row>
        <row r="27">
          <cell r="D27">
            <v>100</v>
          </cell>
        </row>
        <row r="28">
          <cell r="D28">
            <v>105</v>
          </cell>
        </row>
        <row r="29">
          <cell r="D29">
            <v>110</v>
          </cell>
        </row>
        <row r="30">
          <cell r="D30">
            <v>115</v>
          </cell>
        </row>
        <row r="31">
          <cell r="D31">
            <v>120</v>
          </cell>
        </row>
        <row r="32">
          <cell r="D32">
            <v>125</v>
          </cell>
        </row>
        <row r="33">
          <cell r="D33">
            <v>130</v>
          </cell>
        </row>
        <row r="34">
          <cell r="D34">
            <v>135</v>
          </cell>
        </row>
        <row r="35">
          <cell r="D35">
            <v>140</v>
          </cell>
        </row>
        <row r="36">
          <cell r="D36">
            <v>145</v>
          </cell>
        </row>
        <row r="37">
          <cell r="D37">
            <v>150</v>
          </cell>
        </row>
        <row r="38">
          <cell r="D38">
            <v>155</v>
          </cell>
        </row>
        <row r="39">
          <cell r="D39">
            <v>160</v>
          </cell>
        </row>
        <row r="40">
          <cell r="D40">
            <v>165</v>
          </cell>
        </row>
        <row r="41">
          <cell r="D41">
            <v>170</v>
          </cell>
        </row>
        <row r="42">
          <cell r="D42">
            <v>175</v>
          </cell>
        </row>
        <row r="43">
          <cell r="D43">
            <v>180</v>
          </cell>
        </row>
        <row r="44">
          <cell r="D44">
            <v>185</v>
          </cell>
        </row>
        <row r="45">
          <cell r="D45">
            <v>190</v>
          </cell>
        </row>
        <row r="46">
          <cell r="D46">
            <v>195</v>
          </cell>
        </row>
        <row r="47">
          <cell r="D47">
            <v>200</v>
          </cell>
        </row>
        <row r="48">
          <cell r="D48">
            <v>205</v>
          </cell>
        </row>
        <row r="49">
          <cell r="D49">
            <v>210</v>
          </cell>
        </row>
        <row r="50">
          <cell r="D50">
            <v>215</v>
          </cell>
        </row>
        <row r="51">
          <cell r="D51">
            <v>220</v>
          </cell>
        </row>
        <row r="52">
          <cell r="D52">
            <v>225</v>
          </cell>
        </row>
        <row r="53">
          <cell r="D53">
            <v>230</v>
          </cell>
        </row>
        <row r="54">
          <cell r="D54">
            <v>235</v>
          </cell>
        </row>
        <row r="55">
          <cell r="D55">
            <v>240</v>
          </cell>
        </row>
        <row r="56">
          <cell r="D56">
            <v>245</v>
          </cell>
        </row>
        <row r="57">
          <cell r="D57">
            <v>250</v>
          </cell>
        </row>
        <row r="58">
          <cell r="D58">
            <v>255</v>
          </cell>
        </row>
        <row r="59">
          <cell r="D59">
            <v>260</v>
          </cell>
        </row>
        <row r="60">
          <cell r="D60">
            <v>265</v>
          </cell>
        </row>
        <row r="61">
          <cell r="D61">
            <v>270</v>
          </cell>
        </row>
        <row r="62">
          <cell r="D62">
            <v>275</v>
          </cell>
        </row>
        <row r="63">
          <cell r="D63">
            <v>280</v>
          </cell>
        </row>
        <row r="64">
          <cell r="D64">
            <v>285</v>
          </cell>
        </row>
        <row r="65">
          <cell r="D65">
            <v>290</v>
          </cell>
        </row>
        <row r="66">
          <cell r="D66">
            <v>295</v>
          </cell>
        </row>
        <row r="67">
          <cell r="D67">
            <v>300</v>
          </cell>
        </row>
        <row r="68">
          <cell r="D68">
            <v>305</v>
          </cell>
        </row>
        <row r="69">
          <cell r="D69">
            <v>310</v>
          </cell>
        </row>
        <row r="70">
          <cell r="D70">
            <v>315</v>
          </cell>
        </row>
        <row r="71">
          <cell r="D71">
            <v>320</v>
          </cell>
        </row>
        <row r="72">
          <cell r="D72">
            <v>325</v>
          </cell>
        </row>
        <row r="73">
          <cell r="D73">
            <v>330</v>
          </cell>
        </row>
        <row r="74">
          <cell r="D74">
            <v>335</v>
          </cell>
        </row>
        <row r="75">
          <cell r="D75">
            <v>340</v>
          </cell>
        </row>
        <row r="76">
          <cell r="D76">
            <v>345</v>
          </cell>
        </row>
        <row r="77">
          <cell r="D77">
            <v>350</v>
          </cell>
        </row>
        <row r="78">
          <cell r="D78">
            <v>355</v>
          </cell>
        </row>
        <row r="79">
          <cell r="D79">
            <v>360</v>
          </cell>
        </row>
        <row r="80">
          <cell r="D80">
            <v>365</v>
          </cell>
        </row>
        <row r="81">
          <cell r="D81">
            <v>370</v>
          </cell>
        </row>
        <row r="82">
          <cell r="D82">
            <v>375</v>
          </cell>
        </row>
        <row r="83">
          <cell r="D83">
            <v>380</v>
          </cell>
        </row>
        <row r="84">
          <cell r="D84">
            <v>385</v>
          </cell>
        </row>
        <row r="85">
          <cell r="D85">
            <v>390</v>
          </cell>
        </row>
        <row r="86">
          <cell r="D86">
            <v>395</v>
          </cell>
        </row>
        <row r="87">
          <cell r="D87">
            <v>400</v>
          </cell>
        </row>
        <row r="88">
          <cell r="D88">
            <v>405</v>
          </cell>
        </row>
        <row r="89">
          <cell r="D89">
            <v>410</v>
          </cell>
        </row>
        <row r="90">
          <cell r="D90">
            <v>415</v>
          </cell>
        </row>
        <row r="91">
          <cell r="D91">
            <v>420</v>
          </cell>
        </row>
        <row r="92">
          <cell r="D92">
            <v>425</v>
          </cell>
        </row>
        <row r="93">
          <cell r="D93">
            <v>430</v>
          </cell>
        </row>
        <row r="94">
          <cell r="D94">
            <v>435</v>
          </cell>
        </row>
        <row r="95">
          <cell r="D95">
            <v>440</v>
          </cell>
        </row>
        <row r="96">
          <cell r="D96">
            <v>445</v>
          </cell>
        </row>
        <row r="97">
          <cell r="D97">
            <v>450</v>
          </cell>
        </row>
        <row r="98">
          <cell r="D98">
            <v>455</v>
          </cell>
        </row>
        <row r="99">
          <cell r="D99">
            <v>460</v>
          </cell>
        </row>
        <row r="100">
          <cell r="D100">
            <v>465</v>
          </cell>
        </row>
        <row r="101">
          <cell r="D101">
            <v>470</v>
          </cell>
        </row>
        <row r="102">
          <cell r="D102">
            <v>475</v>
          </cell>
        </row>
        <row r="103">
          <cell r="D103">
            <v>480</v>
          </cell>
        </row>
        <row r="104">
          <cell r="D104">
            <v>485</v>
          </cell>
        </row>
        <row r="105">
          <cell r="D105">
            <v>490</v>
          </cell>
        </row>
        <row r="106">
          <cell r="D106">
            <v>495</v>
          </cell>
        </row>
        <row r="107">
          <cell r="D107">
            <v>500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技能数据"/>
      <sheetName val="技能伤害"/>
    </sheetNames>
    <sheetDataSet>
      <sheetData sheetId="0"/>
      <sheetData sheetId="1">
        <row r="3">
          <cell r="C3">
            <v>1</v>
          </cell>
          <cell r="L3">
            <v>63</v>
          </cell>
          <cell r="N3">
            <v>44</v>
          </cell>
          <cell r="T3">
            <v>1</v>
          </cell>
        </row>
        <row r="4">
          <cell r="C4">
            <v>1.01</v>
          </cell>
          <cell r="L4">
            <v>69</v>
          </cell>
          <cell r="N4">
            <v>55</v>
          </cell>
          <cell r="T4">
            <v>1.026261174676933</v>
          </cell>
        </row>
        <row r="5">
          <cell r="C5">
            <v>1.02</v>
          </cell>
          <cell r="L5">
            <v>75</v>
          </cell>
          <cell r="N5">
            <v>68</v>
          </cell>
          <cell r="T5">
            <v>1.0433425797503464</v>
          </cell>
        </row>
        <row r="6">
          <cell r="C6">
            <v>1.03</v>
          </cell>
          <cell r="L6">
            <v>82</v>
          </cell>
          <cell r="N6">
            <v>82</v>
          </cell>
          <cell r="T6">
            <v>1.0546238514009978</v>
          </cell>
        </row>
        <row r="7">
          <cell r="C7">
            <v>1.04</v>
          </cell>
          <cell r="L7">
            <v>114</v>
          </cell>
          <cell r="N7">
            <v>99</v>
          </cell>
          <cell r="T7">
            <v>1.0773922500224156</v>
          </cell>
        </row>
        <row r="8">
          <cell r="C8">
            <v>1.05</v>
          </cell>
          <cell r="L8">
            <v>120</v>
          </cell>
          <cell r="N8">
            <v>113</v>
          </cell>
          <cell r="T8">
            <v>1.1047155506781379</v>
          </cell>
        </row>
        <row r="9">
          <cell r="C9">
            <v>1.06</v>
          </cell>
          <cell r="L9">
            <v>126</v>
          </cell>
          <cell r="N9">
            <v>120</v>
          </cell>
          <cell r="T9">
            <v>1.1281463296193377</v>
          </cell>
        </row>
        <row r="10">
          <cell r="C10">
            <v>1.07</v>
          </cell>
          <cell r="L10">
            <v>132</v>
          </cell>
          <cell r="N10">
            <v>135</v>
          </cell>
          <cell r="T10">
            <v>1.1466157817768297</v>
          </cell>
        </row>
        <row r="11">
          <cell r="C11">
            <v>1.08</v>
          </cell>
          <cell r="L11">
            <v>138</v>
          </cell>
          <cell r="N11">
            <v>159</v>
          </cell>
          <cell r="T11">
            <v>1.1702076844649194</v>
          </cell>
        </row>
        <row r="12">
          <cell r="C12">
            <v>1.0900000000000001</v>
          </cell>
          <cell r="L12">
            <v>174</v>
          </cell>
          <cell r="N12">
            <v>197</v>
          </cell>
          <cell r="T12">
            <v>1.1879379976419588</v>
          </cell>
        </row>
        <row r="13">
          <cell r="C13">
            <v>1.1000000000000001</v>
          </cell>
          <cell r="L13">
            <v>179</v>
          </cell>
          <cell r="N13">
            <v>221</v>
          </cell>
          <cell r="T13">
            <v>1.2111908223641115</v>
          </cell>
        </row>
        <row r="14">
          <cell r="C14">
            <v>1.1100000000000001</v>
          </cell>
          <cell r="L14">
            <v>186</v>
          </cell>
          <cell r="N14">
            <v>245</v>
          </cell>
          <cell r="T14">
            <v>1.2356488905171572</v>
          </cell>
        </row>
        <row r="15">
          <cell r="C15">
            <v>1.1200000000000001</v>
          </cell>
          <cell r="L15">
            <v>191</v>
          </cell>
          <cell r="N15">
            <v>273</v>
          </cell>
          <cell r="T15">
            <v>1.2559965507833157</v>
          </cell>
        </row>
        <row r="16">
          <cell r="C16">
            <v>1.1300000000000001</v>
          </cell>
          <cell r="L16">
            <v>197</v>
          </cell>
          <cell r="N16">
            <v>303</v>
          </cell>
          <cell r="T16">
            <v>1.2791254231885261</v>
          </cell>
        </row>
        <row r="17">
          <cell r="C17">
            <v>1.1400000000000001</v>
          </cell>
          <cell r="L17">
            <v>249</v>
          </cell>
          <cell r="N17">
            <v>335</v>
          </cell>
          <cell r="T17">
            <v>1.3002037096601269</v>
          </cell>
        </row>
        <row r="18">
          <cell r="C18">
            <v>1.1500000000000001</v>
          </cell>
          <cell r="L18">
            <v>254</v>
          </cell>
          <cell r="N18">
            <v>370</v>
          </cell>
          <cell r="T18">
            <v>1.322085964903664</v>
          </cell>
        </row>
        <row r="19">
          <cell r="C19">
            <v>1.1600000000000001</v>
          </cell>
          <cell r="L19">
            <v>260</v>
          </cell>
          <cell r="N19">
            <v>410</v>
          </cell>
          <cell r="T19">
            <v>1.3452650983825947</v>
          </cell>
        </row>
        <row r="20">
          <cell r="C20">
            <v>1.1700000000000002</v>
          </cell>
          <cell r="L20">
            <v>266</v>
          </cell>
          <cell r="N20">
            <v>452</v>
          </cell>
          <cell r="T20">
            <v>1.3693751696136149</v>
          </cell>
        </row>
        <row r="21">
          <cell r="C21">
            <v>1.1800000000000002</v>
          </cell>
          <cell r="L21">
            <v>271</v>
          </cell>
          <cell r="N21">
            <v>497</v>
          </cell>
          <cell r="T21">
            <v>1.393005695922499</v>
          </cell>
        </row>
        <row r="22">
          <cell r="C22">
            <v>1.1900000000000002</v>
          </cell>
          <cell r="L22">
            <v>355</v>
          </cell>
          <cell r="N22">
            <v>547</v>
          </cell>
          <cell r="T22">
            <v>1.4161695306879183</v>
          </cell>
        </row>
        <row r="23">
          <cell r="C23">
            <v>1.2000000000000002</v>
          </cell>
          <cell r="L23">
            <v>370</v>
          </cell>
          <cell r="N23">
            <v>601</v>
          </cell>
          <cell r="T23">
            <v>1.4403239170437123</v>
          </cell>
        </row>
        <row r="24">
          <cell r="C24">
            <v>1.2100000000000002</v>
          </cell>
          <cell r="L24">
            <v>382</v>
          </cell>
          <cell r="N24">
            <v>660</v>
          </cell>
          <cell r="T24">
            <v>1.4632843273164526</v>
          </cell>
        </row>
        <row r="25">
          <cell r="C25">
            <v>1.2200000000000002</v>
          </cell>
          <cell r="L25">
            <v>395</v>
          </cell>
          <cell r="N25">
            <v>722</v>
          </cell>
          <cell r="T25">
            <v>1.4877512940432716</v>
          </cell>
        </row>
        <row r="26">
          <cell r="C26">
            <v>1.2300000000000002</v>
          </cell>
          <cell r="L26">
            <v>412</v>
          </cell>
          <cell r="N26">
            <v>790</v>
          </cell>
          <cell r="T26">
            <v>1.5121477101100933</v>
          </cell>
        </row>
        <row r="27">
          <cell r="C27">
            <v>1.2400000000000002</v>
          </cell>
          <cell r="L27">
            <v>515</v>
          </cell>
          <cell r="N27">
            <v>864</v>
          </cell>
          <cell r="T27">
            <v>1.5386301318735036</v>
          </cell>
        </row>
        <row r="28">
          <cell r="C28">
            <v>1.2500000000000002</v>
          </cell>
          <cell r="L28">
            <v>528</v>
          </cell>
          <cell r="N28">
            <v>942</v>
          </cell>
          <cell r="T28">
            <v>1.5618300483925776</v>
          </cell>
        </row>
        <row r="29">
          <cell r="C29">
            <v>1.2600000000000002</v>
          </cell>
          <cell r="L29">
            <v>545</v>
          </cell>
          <cell r="N29">
            <v>1027</v>
          </cell>
          <cell r="T29">
            <v>1.5875363529133171</v>
          </cell>
        </row>
        <row r="30">
          <cell r="C30">
            <v>1.2700000000000002</v>
          </cell>
          <cell r="L30">
            <v>557</v>
          </cell>
          <cell r="N30">
            <v>1118</v>
          </cell>
          <cell r="T30">
            <v>1.6142169609973041</v>
          </cell>
        </row>
        <row r="31">
          <cell r="C31">
            <v>1.2800000000000002</v>
          </cell>
          <cell r="L31">
            <v>569</v>
          </cell>
          <cell r="N31">
            <v>1216</v>
          </cell>
          <cell r="T31">
            <v>1.6384550007838861</v>
          </cell>
        </row>
        <row r="32">
          <cell r="C32">
            <v>1.2900000000000003</v>
          </cell>
          <cell r="L32">
            <v>702</v>
          </cell>
          <cell r="N32">
            <v>1320</v>
          </cell>
          <cell r="T32">
            <v>1.665013553462638</v>
          </cell>
        </row>
        <row r="33">
          <cell r="C33">
            <v>1.3000000000000003</v>
          </cell>
          <cell r="L33">
            <v>724</v>
          </cell>
          <cell r="N33">
            <v>1431</v>
          </cell>
          <cell r="T33">
            <v>1.6905718052700183</v>
          </cell>
        </row>
        <row r="34">
          <cell r="C34">
            <v>1.3100000000000003</v>
          </cell>
          <cell r="L34">
            <v>740</v>
          </cell>
          <cell r="N34">
            <v>1550</v>
          </cell>
          <cell r="T34">
            <v>1.7159932941597877</v>
          </cell>
        </row>
        <row r="35">
          <cell r="C35">
            <v>1.3200000000000003</v>
          </cell>
          <cell r="L35">
            <v>758</v>
          </cell>
          <cell r="N35">
            <v>1678</v>
          </cell>
          <cell r="T35">
            <v>1.7417054026237437</v>
          </cell>
        </row>
        <row r="36">
          <cell r="C36">
            <v>1.3300000000000003</v>
          </cell>
          <cell r="L36">
            <v>781</v>
          </cell>
          <cell r="N36">
            <v>1813</v>
          </cell>
          <cell r="T36">
            <v>1.7691787505681</v>
          </cell>
        </row>
        <row r="37">
          <cell r="C37">
            <v>1.3400000000000003</v>
          </cell>
          <cell r="L37">
            <v>919</v>
          </cell>
          <cell r="N37">
            <v>1958</v>
          </cell>
          <cell r="T37">
            <v>1.7955186258447489</v>
          </cell>
        </row>
        <row r="38">
          <cell r="C38">
            <v>1.3500000000000003</v>
          </cell>
          <cell r="L38">
            <v>937</v>
          </cell>
          <cell r="N38">
            <v>2111</v>
          </cell>
          <cell r="T38">
            <v>1.8222878262468905</v>
          </cell>
        </row>
        <row r="39">
          <cell r="C39">
            <v>1.3600000000000003</v>
          </cell>
          <cell r="L39">
            <v>959</v>
          </cell>
          <cell r="N39">
            <v>2274</v>
          </cell>
          <cell r="T39">
            <v>1.8489692031864764</v>
          </cell>
        </row>
        <row r="40">
          <cell r="C40">
            <v>1.3700000000000003</v>
          </cell>
          <cell r="L40">
            <v>977</v>
          </cell>
          <cell r="N40">
            <v>2448</v>
          </cell>
          <cell r="T40">
            <v>1.8773231968649648</v>
          </cell>
        </row>
        <row r="41">
          <cell r="C41">
            <v>1.3800000000000003</v>
          </cell>
          <cell r="L41">
            <v>994</v>
          </cell>
          <cell r="N41">
            <v>2631</v>
          </cell>
          <cell r="T41">
            <v>1.9046877964266793</v>
          </cell>
        </row>
        <row r="42">
          <cell r="C42">
            <v>1.3900000000000003</v>
          </cell>
          <cell r="L42">
            <v>1138</v>
          </cell>
          <cell r="N42">
            <v>2826</v>
          </cell>
          <cell r="T42">
            <v>1.9322404431473694</v>
          </cell>
        </row>
        <row r="43">
          <cell r="C43">
            <v>1.4000000000000004</v>
          </cell>
          <cell r="L43">
            <v>1166</v>
          </cell>
          <cell r="N43">
            <v>3032</v>
          </cell>
          <cell r="T43">
            <v>1.9593910323356492</v>
          </cell>
        </row>
        <row r="44">
          <cell r="C44">
            <v>1.4100000000000004</v>
          </cell>
          <cell r="L44">
            <v>1188</v>
          </cell>
          <cell r="N44">
            <v>3251</v>
          </cell>
          <cell r="T44">
            <v>1.9882632015727448</v>
          </cell>
        </row>
        <row r="45">
          <cell r="C45">
            <v>1.4200000000000004</v>
          </cell>
          <cell r="L45">
            <v>1212</v>
          </cell>
          <cell r="N45">
            <v>3481</v>
          </cell>
          <cell r="T45">
            <v>2.0163727903574875</v>
          </cell>
        </row>
        <row r="46">
          <cell r="C46">
            <v>1.4300000000000004</v>
          </cell>
          <cell r="L46">
            <v>1241</v>
          </cell>
          <cell r="N46">
            <v>3724</v>
          </cell>
          <cell r="T46">
            <v>2.0443014462360738</v>
          </cell>
        </row>
        <row r="47">
          <cell r="C47">
            <v>1.4400000000000004</v>
          </cell>
          <cell r="L47">
            <v>1388</v>
          </cell>
          <cell r="N47">
            <v>3981</v>
          </cell>
          <cell r="T47">
            <v>2.0736083530444791</v>
          </cell>
        </row>
        <row r="48">
          <cell r="C48">
            <v>1.4500000000000004</v>
          </cell>
          <cell r="L48">
            <v>1411</v>
          </cell>
          <cell r="N48">
            <v>4253</v>
          </cell>
          <cell r="T48">
            <v>2.1019865383660341</v>
          </cell>
        </row>
        <row r="49">
          <cell r="C49">
            <v>1.4600000000000004</v>
          </cell>
          <cell r="L49">
            <v>1442</v>
          </cell>
          <cell r="N49">
            <v>4540</v>
          </cell>
          <cell r="T49">
            <v>2.1316037121189333</v>
          </cell>
        </row>
        <row r="50">
          <cell r="C50">
            <v>1.4700000000000004</v>
          </cell>
          <cell r="L50">
            <v>1465</v>
          </cell>
          <cell r="N50">
            <v>4841</v>
          </cell>
          <cell r="T50">
            <v>2.1606772207385618</v>
          </cell>
        </row>
        <row r="51">
          <cell r="C51">
            <v>1.4800000000000004</v>
          </cell>
          <cell r="L51">
            <v>1488</v>
          </cell>
          <cell r="N51">
            <v>5159</v>
          </cell>
          <cell r="T51">
            <v>2.1902285482686463</v>
          </cell>
        </row>
        <row r="52">
          <cell r="C52">
            <v>1.4900000000000004</v>
          </cell>
          <cell r="L52">
            <v>1639</v>
          </cell>
          <cell r="N52">
            <v>5492</v>
          </cell>
          <cell r="T52">
            <v>2.2202851313776732</v>
          </cell>
        </row>
        <row r="53">
          <cell r="C53">
            <v>1.5000000000000004</v>
          </cell>
          <cell r="L53">
            <v>1670</v>
          </cell>
          <cell r="N53">
            <v>5843</v>
          </cell>
          <cell r="T53">
            <v>2.2496879052275869</v>
          </cell>
        </row>
        <row r="54">
          <cell r="C54">
            <v>1.5100000000000005</v>
          </cell>
          <cell r="L54">
            <v>1695</v>
          </cell>
          <cell r="N54">
            <v>6212</v>
          </cell>
          <cell r="T54">
            <v>2.2801342904044164</v>
          </cell>
        </row>
        <row r="55">
          <cell r="C55">
            <v>1.5200000000000005</v>
          </cell>
          <cell r="L55">
            <v>1721</v>
          </cell>
          <cell r="N55">
            <v>6599</v>
          </cell>
          <cell r="T55">
            <v>2.3104611625514702</v>
          </cell>
        </row>
        <row r="56">
          <cell r="C56">
            <v>1.5300000000000005</v>
          </cell>
          <cell r="L56">
            <v>1753</v>
          </cell>
          <cell r="N56">
            <v>7006</v>
          </cell>
          <cell r="T56">
            <v>2.34109826794589</v>
          </cell>
        </row>
        <row r="57">
          <cell r="C57">
            <v>1.5400000000000005</v>
          </cell>
          <cell r="L57">
            <v>1904</v>
          </cell>
          <cell r="N57">
            <v>7434</v>
          </cell>
          <cell r="T57">
            <v>2.3711548768557646</v>
          </cell>
        </row>
        <row r="58">
          <cell r="C58">
            <v>1.5500000000000005</v>
          </cell>
          <cell r="L58">
            <v>1930</v>
          </cell>
          <cell r="N58">
            <v>7881</v>
          </cell>
          <cell r="T58">
            <v>2.4027206290223257</v>
          </cell>
        </row>
        <row r="59">
          <cell r="C59">
            <v>1.5600000000000005</v>
          </cell>
          <cell r="L59">
            <v>1964</v>
          </cell>
          <cell r="N59">
            <v>8351</v>
          </cell>
          <cell r="T59">
            <v>2.4337726840634368</v>
          </cell>
        </row>
        <row r="60">
          <cell r="C60">
            <v>1.5700000000000005</v>
          </cell>
          <cell r="L60">
            <v>1989</v>
          </cell>
          <cell r="N60">
            <v>8843</v>
          </cell>
          <cell r="T60">
            <v>2.4649187711294411</v>
          </cell>
        </row>
        <row r="61">
          <cell r="C61">
            <v>1.5800000000000005</v>
          </cell>
          <cell r="L61">
            <v>2014</v>
          </cell>
          <cell r="N61">
            <v>9358</v>
          </cell>
          <cell r="T61">
            <v>2.4961869702143935</v>
          </cell>
        </row>
        <row r="62">
          <cell r="C62">
            <v>1.5900000000000005</v>
          </cell>
          <cell r="L62">
            <v>2170</v>
          </cell>
          <cell r="N62">
            <v>9895</v>
          </cell>
          <cell r="T62">
            <v>2.527985300748969</v>
          </cell>
        </row>
        <row r="63">
          <cell r="C63">
            <v>1.6000000000000005</v>
          </cell>
          <cell r="L63">
            <v>2204</v>
          </cell>
          <cell r="N63">
            <v>10458</v>
          </cell>
          <cell r="T63">
            <v>2.5602134675078294</v>
          </cell>
        </row>
        <row r="64">
          <cell r="C64">
            <v>1.6100000000000005</v>
          </cell>
          <cell r="L64">
            <v>2229</v>
          </cell>
          <cell r="N64">
            <v>11049</v>
          </cell>
          <cell r="T64">
            <v>2.5921930679401197</v>
          </cell>
        </row>
        <row r="65">
          <cell r="C65">
            <v>1.6200000000000006</v>
          </cell>
          <cell r="L65">
            <v>2257</v>
          </cell>
          <cell r="N65">
            <v>11664</v>
          </cell>
          <cell r="T65">
            <v>2.6245815524199125</v>
          </cell>
        </row>
        <row r="66">
          <cell r="C66">
            <v>1.6300000000000006</v>
          </cell>
          <cell r="L66">
            <v>2292</v>
          </cell>
          <cell r="N66">
            <v>12310</v>
          </cell>
          <cell r="T66">
            <v>2.6569923459515987</v>
          </cell>
        </row>
        <row r="67">
          <cell r="C67">
            <v>1.6400000000000006</v>
          </cell>
          <cell r="L67">
            <v>2445</v>
          </cell>
          <cell r="N67">
            <v>12981</v>
          </cell>
          <cell r="T67">
            <v>2.689697974002351</v>
          </cell>
        </row>
        <row r="68">
          <cell r="C68">
            <v>1.6500000000000006</v>
          </cell>
          <cell r="L68">
            <v>2473</v>
          </cell>
          <cell r="N68">
            <v>13685</v>
          </cell>
          <cell r="T68">
            <v>2.7224045790494071</v>
          </cell>
        </row>
        <row r="69">
          <cell r="C69">
            <v>1.6600000000000006</v>
          </cell>
          <cell r="L69">
            <v>2511</v>
          </cell>
          <cell r="N69">
            <v>14417</v>
          </cell>
          <cell r="T69">
            <v>2.7556397274551485</v>
          </cell>
        </row>
        <row r="70">
          <cell r="C70">
            <v>1.6700000000000006</v>
          </cell>
          <cell r="L70">
            <v>2538</v>
          </cell>
          <cell r="N70">
            <v>15182</v>
          </cell>
          <cell r="T70">
            <v>2.7892023255400948</v>
          </cell>
        </row>
        <row r="71">
          <cell r="C71">
            <v>1.6800000000000006</v>
          </cell>
          <cell r="L71">
            <v>2565</v>
          </cell>
          <cell r="N71">
            <v>15977</v>
          </cell>
          <cell r="T71">
            <v>2.8225721306833154</v>
          </cell>
        </row>
        <row r="72">
          <cell r="C72">
            <v>1.6900000000000006</v>
          </cell>
          <cell r="L72">
            <v>2684</v>
          </cell>
          <cell r="N72">
            <v>16809</v>
          </cell>
          <cell r="T72">
            <v>2.8558734172287794</v>
          </cell>
        </row>
        <row r="73">
          <cell r="C73">
            <v>1.7000000000000006</v>
          </cell>
          <cell r="L73">
            <v>2695</v>
          </cell>
          <cell r="N73">
            <v>17678</v>
          </cell>
          <cell r="T73">
            <v>2.8903083486771441</v>
          </cell>
        </row>
        <row r="74">
          <cell r="C74">
            <v>1.7100000000000006</v>
          </cell>
          <cell r="L74">
            <v>2707</v>
          </cell>
          <cell r="N74">
            <v>18580</v>
          </cell>
          <cell r="T74">
            <v>2.9238633971296664</v>
          </cell>
        </row>
        <row r="75">
          <cell r="C75">
            <v>1.7200000000000006</v>
          </cell>
          <cell r="L75">
            <v>2718</v>
          </cell>
          <cell r="N75">
            <v>19521</v>
          </cell>
          <cell r="T75">
            <v>2.9584743189291975</v>
          </cell>
        </row>
        <row r="76">
          <cell r="C76">
            <v>1.7300000000000006</v>
          </cell>
          <cell r="L76">
            <v>2730</v>
          </cell>
          <cell r="N76">
            <v>20501</v>
          </cell>
          <cell r="T76">
            <v>2.9926230646177858</v>
          </cell>
        </row>
        <row r="77">
          <cell r="C77">
            <v>1.7400000000000007</v>
          </cell>
          <cell r="L77">
            <v>2841</v>
          </cell>
          <cell r="N77">
            <v>21519</v>
          </cell>
          <cell r="T77">
            <v>3.0273983945686371</v>
          </cell>
        </row>
        <row r="78">
          <cell r="C78">
            <v>1.7500000000000007</v>
          </cell>
          <cell r="L78">
            <v>2852</v>
          </cell>
          <cell r="N78">
            <v>22582</v>
          </cell>
          <cell r="T78">
            <v>3.0627919694134422</v>
          </cell>
        </row>
        <row r="79">
          <cell r="C79">
            <v>1.7600000000000007</v>
          </cell>
          <cell r="L79">
            <v>2862</v>
          </cell>
          <cell r="N79">
            <v>23686</v>
          </cell>
          <cell r="T79">
            <v>3.097590948610689</v>
          </cell>
        </row>
        <row r="80">
          <cell r="C80">
            <v>1.7700000000000007</v>
          </cell>
          <cell r="L80">
            <v>2873</v>
          </cell>
          <cell r="N80">
            <v>24832</v>
          </cell>
          <cell r="T80">
            <v>3.1329704298318592</v>
          </cell>
        </row>
        <row r="81">
          <cell r="C81">
            <v>1.7800000000000007</v>
          </cell>
          <cell r="L81">
            <v>2883</v>
          </cell>
          <cell r="N81">
            <v>26027</v>
          </cell>
          <cell r="T81">
            <v>3.1683199343556194</v>
          </cell>
        </row>
        <row r="82">
          <cell r="C82">
            <v>1.7900000000000007</v>
          </cell>
          <cell r="L82">
            <v>2993</v>
          </cell>
          <cell r="N82">
            <v>27269</v>
          </cell>
          <cell r="T82">
            <v>3.2038830419308657</v>
          </cell>
        </row>
        <row r="83">
          <cell r="C83">
            <v>1.8000000000000007</v>
          </cell>
          <cell r="L83">
            <v>2995</v>
          </cell>
          <cell r="N83">
            <v>28559</v>
          </cell>
          <cell r="T83">
            <v>3.2401775579403194</v>
          </cell>
        </row>
        <row r="84">
          <cell r="C84">
            <v>1.8100000000000007</v>
          </cell>
          <cell r="L84">
            <v>2997</v>
          </cell>
          <cell r="N84">
            <v>29900</v>
          </cell>
          <cell r="T84">
            <v>3.2761501485809994</v>
          </cell>
        </row>
        <row r="85">
          <cell r="C85">
            <v>1.8200000000000007</v>
          </cell>
          <cell r="L85">
            <v>2999</v>
          </cell>
          <cell r="N85">
            <v>31294</v>
          </cell>
          <cell r="T85">
            <v>3.3124815336667548</v>
          </cell>
        </row>
        <row r="86">
          <cell r="C86">
            <v>1.8300000000000007</v>
          </cell>
          <cell r="L86">
            <v>3002</v>
          </cell>
          <cell r="N86">
            <v>32742</v>
          </cell>
          <cell r="T86">
            <v>3.3490089208620208</v>
          </cell>
        </row>
        <row r="87">
          <cell r="C87">
            <v>1.8400000000000007</v>
          </cell>
          <cell r="L87">
            <v>3103</v>
          </cell>
          <cell r="N87">
            <v>34243</v>
          </cell>
          <cell r="T87">
            <v>3.3856008838950298</v>
          </cell>
        </row>
        <row r="88">
          <cell r="C88">
            <v>1.8500000000000008</v>
          </cell>
          <cell r="L88">
            <v>3105</v>
          </cell>
          <cell r="N88">
            <v>35803</v>
          </cell>
          <cell r="T88">
            <v>3.422550405248443</v>
          </cell>
        </row>
        <row r="89">
          <cell r="C89">
            <v>1.8600000000000008</v>
          </cell>
          <cell r="L89">
            <v>3106</v>
          </cell>
          <cell r="N89">
            <v>37423</v>
          </cell>
          <cell r="T89">
            <v>3.4598019346380124</v>
          </cell>
        </row>
        <row r="90">
          <cell r="C90">
            <v>1.8700000000000008</v>
          </cell>
          <cell r="L90">
            <v>3108</v>
          </cell>
          <cell r="N90">
            <v>39102</v>
          </cell>
          <cell r="T90">
            <v>3.4971190374162529</v>
          </cell>
        </row>
        <row r="91">
          <cell r="C91">
            <v>1.8800000000000008</v>
          </cell>
          <cell r="L91">
            <v>3110</v>
          </cell>
          <cell r="N91">
            <v>40848</v>
          </cell>
          <cell r="T91">
            <v>3.5344472270348177</v>
          </cell>
        </row>
        <row r="92">
          <cell r="C92">
            <v>1.8900000000000008</v>
          </cell>
          <cell r="L92">
            <v>3211</v>
          </cell>
          <cell r="N92">
            <v>42656</v>
          </cell>
          <cell r="T92">
            <v>3.572289117305508</v>
          </cell>
        </row>
        <row r="93">
          <cell r="C93">
            <v>1.9000000000000008</v>
          </cell>
          <cell r="L93">
            <v>3202</v>
          </cell>
          <cell r="N93">
            <v>44533</v>
          </cell>
          <cell r="T93">
            <v>3.6100440190609673</v>
          </cell>
        </row>
        <row r="94">
          <cell r="C94">
            <v>1.9100000000000008</v>
          </cell>
          <cell r="L94">
            <v>3194</v>
          </cell>
          <cell r="N94">
            <v>46477</v>
          </cell>
          <cell r="T94">
            <v>3.6483196914444331</v>
          </cell>
        </row>
        <row r="95">
          <cell r="C95">
            <v>1.9200000000000008</v>
          </cell>
          <cell r="L95">
            <v>3186</v>
          </cell>
          <cell r="N95">
            <v>48495</v>
          </cell>
          <cell r="T95">
            <v>3.6865155951859636</v>
          </cell>
        </row>
        <row r="96">
          <cell r="C96">
            <v>1.9300000000000008</v>
          </cell>
          <cell r="L96">
            <v>3179</v>
          </cell>
          <cell r="N96">
            <v>50589</v>
          </cell>
          <cell r="T96">
            <v>3.7250838795727566</v>
          </cell>
        </row>
        <row r="97">
          <cell r="C97">
            <v>1.9400000000000008</v>
          </cell>
          <cell r="L97">
            <v>3269</v>
          </cell>
          <cell r="N97">
            <v>52757</v>
          </cell>
          <cell r="T97">
            <v>3.7637758582477603</v>
          </cell>
        </row>
        <row r="98">
          <cell r="C98">
            <v>1.9500000000000008</v>
          </cell>
          <cell r="L98">
            <v>3261</v>
          </cell>
          <cell r="N98">
            <v>55003</v>
          </cell>
          <cell r="T98">
            <v>3.8026357347644657</v>
          </cell>
        </row>
        <row r="99">
          <cell r="C99">
            <v>1.9600000000000009</v>
          </cell>
          <cell r="L99">
            <v>3253</v>
          </cell>
          <cell r="N99">
            <v>57334</v>
          </cell>
          <cell r="T99">
            <v>3.841527104680158</v>
          </cell>
        </row>
        <row r="100">
          <cell r="C100">
            <v>1.9700000000000009</v>
          </cell>
          <cell r="L100">
            <v>3245</v>
          </cell>
          <cell r="N100">
            <v>59747</v>
          </cell>
          <cell r="T100">
            <v>3.8809856342820535</v>
          </cell>
        </row>
        <row r="101">
          <cell r="C101">
            <v>1.9800000000000009</v>
          </cell>
          <cell r="L101">
            <v>3238</v>
          </cell>
          <cell r="N101">
            <v>62244</v>
          </cell>
          <cell r="T101">
            <v>3.920538463960948</v>
          </cell>
        </row>
        <row r="102">
          <cell r="C102">
            <v>1.9900000000000009</v>
          </cell>
          <cell r="L102">
            <v>3328</v>
          </cell>
          <cell r="N102">
            <v>64834</v>
          </cell>
          <cell r="T102">
            <v>3.9600944399506424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宠物成长"/>
      <sheetName val="宠物天赋"/>
      <sheetName val="宠物缘分"/>
      <sheetName val="宠物设定"/>
      <sheetName val="宠物属性"/>
      <sheetName val="宠物属性点预览"/>
      <sheetName val="宠物缘分资料"/>
      <sheetName val="宠物列表"/>
      <sheetName val="太极熊猫宠物数据"/>
    </sheetNames>
    <sheetDataSet>
      <sheetData sheetId="0"/>
      <sheetData sheetId="1"/>
      <sheetData sheetId="2"/>
      <sheetData sheetId="3"/>
      <sheetData sheetId="4">
        <row r="8">
          <cell r="I8">
            <v>1</v>
          </cell>
          <cell r="AL8">
            <v>700</v>
          </cell>
        </row>
        <row r="9">
          <cell r="I9">
            <v>2</v>
          </cell>
          <cell r="AL9">
            <v>745.19111111111113</v>
          </cell>
        </row>
        <row r="10">
          <cell r="I10">
            <v>3</v>
          </cell>
          <cell r="AL10">
            <v>790.72</v>
          </cell>
        </row>
        <row r="11">
          <cell r="I11">
            <v>4</v>
          </cell>
          <cell r="AL11">
            <v>836.5866666666667</v>
          </cell>
        </row>
        <row r="12">
          <cell r="I12">
            <v>5</v>
          </cell>
          <cell r="AL12">
            <v>1171.7866666666669</v>
          </cell>
        </row>
        <row r="13">
          <cell r="I13">
            <v>6</v>
          </cell>
          <cell r="AL13">
            <v>1230.8000000000002</v>
          </cell>
        </row>
        <row r="14">
          <cell r="I14">
            <v>7</v>
          </cell>
          <cell r="AL14">
            <v>1290.24</v>
          </cell>
        </row>
        <row r="15">
          <cell r="I15">
            <v>8</v>
          </cell>
          <cell r="AL15">
            <v>1350.1066666666668</v>
          </cell>
        </row>
        <row r="16">
          <cell r="I16">
            <v>9</v>
          </cell>
          <cell r="AL16">
            <v>1410.4000000000003</v>
          </cell>
        </row>
        <row r="17">
          <cell r="I17">
            <v>10</v>
          </cell>
          <cell r="AL17">
            <v>1823.3600000000001</v>
          </cell>
        </row>
        <row r="18">
          <cell r="I18">
            <v>11</v>
          </cell>
          <cell r="AL18">
            <v>1897.4222222222224</v>
          </cell>
        </row>
        <row r="19">
          <cell r="I19">
            <v>12</v>
          </cell>
          <cell r="AL19">
            <v>1972</v>
          </cell>
        </row>
        <row r="20">
          <cell r="I20">
            <v>13</v>
          </cell>
          <cell r="AL20">
            <v>2047.0933333333335</v>
          </cell>
        </row>
        <row r="21">
          <cell r="I21">
            <v>14</v>
          </cell>
          <cell r="AL21">
            <v>2122.7022222222222</v>
          </cell>
        </row>
        <row r="22">
          <cell r="I22">
            <v>15</v>
          </cell>
          <cell r="AL22">
            <v>2785.4933333333333</v>
          </cell>
        </row>
        <row r="23">
          <cell r="I23">
            <v>16</v>
          </cell>
          <cell r="AL23">
            <v>2876.1333333333341</v>
          </cell>
        </row>
        <row r="24">
          <cell r="I24">
            <v>17</v>
          </cell>
          <cell r="AL24">
            <v>2967.3777777777782</v>
          </cell>
        </row>
        <row r="25">
          <cell r="I25">
            <v>18</v>
          </cell>
          <cell r="AL25">
            <v>3059.2266666666669</v>
          </cell>
        </row>
        <row r="26">
          <cell r="I26">
            <v>19</v>
          </cell>
          <cell r="AL26">
            <v>3151.6800000000003</v>
          </cell>
        </row>
        <row r="27">
          <cell r="I27">
            <v>20</v>
          </cell>
          <cell r="AL27">
            <v>4074.4533333333338</v>
          </cell>
        </row>
        <row r="28">
          <cell r="I28">
            <v>21</v>
          </cell>
          <cell r="AL28">
            <v>4183.2000000000007</v>
          </cell>
        </row>
        <row r="29">
          <cell r="I29">
            <v>22</v>
          </cell>
          <cell r="AL29">
            <v>4292.6400000000003</v>
          </cell>
        </row>
        <row r="30">
          <cell r="I30">
            <v>23</v>
          </cell>
          <cell r="AL30">
            <v>4402.7733333333335</v>
          </cell>
        </row>
        <row r="31">
          <cell r="I31">
            <v>24</v>
          </cell>
          <cell r="AL31">
            <v>4513.6000000000013</v>
          </cell>
        </row>
        <row r="32">
          <cell r="I32">
            <v>25</v>
          </cell>
          <cell r="AL32">
            <v>9272.16</v>
          </cell>
        </row>
        <row r="33">
          <cell r="I33">
            <v>26</v>
          </cell>
          <cell r="AL33">
            <v>9482</v>
          </cell>
        </row>
        <row r="34">
          <cell r="I34">
            <v>27</v>
          </cell>
          <cell r="AL34">
            <v>9693.119999999999</v>
          </cell>
        </row>
        <row r="35">
          <cell r="I35">
            <v>28</v>
          </cell>
          <cell r="AL35">
            <v>9905.52</v>
          </cell>
        </row>
        <row r="36">
          <cell r="I36">
            <v>29</v>
          </cell>
          <cell r="AL36">
            <v>10458.064</v>
          </cell>
        </row>
        <row r="37">
          <cell r="I37">
            <v>30</v>
          </cell>
          <cell r="AL37">
            <v>18887.793600000005</v>
          </cell>
        </row>
        <row r="38">
          <cell r="I38">
            <v>31</v>
          </cell>
          <cell r="AL38">
            <v>19576.081200000001</v>
          </cell>
        </row>
        <row r="39">
          <cell r="I39">
            <v>32</v>
          </cell>
          <cell r="AL39">
            <v>20858.617929599997</v>
          </cell>
        </row>
        <row r="40">
          <cell r="I40">
            <v>33</v>
          </cell>
          <cell r="AL40">
            <v>21817.331218800002</v>
          </cell>
        </row>
        <row r="41">
          <cell r="I41">
            <v>34</v>
          </cell>
          <cell r="AL41">
            <v>22785.014447999998</v>
          </cell>
        </row>
        <row r="42">
          <cell r="I42">
            <v>35</v>
          </cell>
          <cell r="AL42">
            <v>38418.558338575152</v>
          </cell>
        </row>
        <row r="43">
          <cell r="I43">
            <v>36</v>
          </cell>
          <cell r="AL43">
            <v>39755.243440018938</v>
          </cell>
        </row>
        <row r="44">
          <cell r="I44">
            <v>37</v>
          </cell>
          <cell r="AL44">
            <v>41103.755741462723</v>
          </cell>
        </row>
        <row r="45">
          <cell r="I45">
            <v>38</v>
          </cell>
          <cell r="AL45">
            <v>42137.094148847347</v>
          </cell>
        </row>
        <row r="46">
          <cell r="I46">
            <v>39</v>
          </cell>
          <cell r="AL46">
            <v>42849.514022172785</v>
          </cell>
        </row>
        <row r="47">
          <cell r="I47">
            <v>40</v>
          </cell>
          <cell r="AL47">
            <v>56443.732653898216</v>
          </cell>
        </row>
        <row r="48">
          <cell r="I48">
            <v>41</v>
          </cell>
          <cell r="AL48">
            <v>57310.717135223684</v>
          </cell>
        </row>
        <row r="49">
          <cell r="I49">
            <v>42</v>
          </cell>
          <cell r="AL49">
            <v>59546.256178187003</v>
          </cell>
        </row>
        <row r="50">
          <cell r="I50">
            <v>43</v>
          </cell>
          <cell r="AL50">
            <v>60443.589968293505</v>
          </cell>
        </row>
        <row r="51">
          <cell r="I51">
            <v>44</v>
          </cell>
          <cell r="AL51">
            <v>61345.9384384</v>
          </cell>
        </row>
        <row r="52">
          <cell r="I52">
            <v>45</v>
          </cell>
          <cell r="AL52">
            <v>73941.703625620881</v>
          </cell>
        </row>
        <row r="53">
          <cell r="I53">
            <v>46</v>
          </cell>
          <cell r="AL53">
            <v>74961.960654923838</v>
          </cell>
        </row>
        <row r="54">
          <cell r="I54">
            <v>47</v>
          </cell>
          <cell r="AL54">
            <v>78205.805168625127</v>
          </cell>
        </row>
        <row r="55">
          <cell r="I55">
            <v>48</v>
          </cell>
          <cell r="AL55">
            <v>79267.145331966109</v>
          </cell>
        </row>
        <row r="56">
          <cell r="I56">
            <v>49</v>
          </cell>
          <cell r="AL56">
            <v>80334.136305307096</v>
          </cell>
        </row>
        <row r="57">
          <cell r="I57">
            <v>50</v>
          </cell>
          <cell r="AL57">
            <v>118118.23954053766</v>
          </cell>
        </row>
        <row r="58">
          <cell r="I58">
            <v>51</v>
          </cell>
          <cell r="AL58">
            <v>119616.17767974685</v>
          </cell>
        </row>
        <row r="59">
          <cell r="I59">
            <v>52</v>
          </cell>
          <cell r="AL59">
            <v>124557.12906998227</v>
          </cell>
        </row>
        <row r="60">
          <cell r="I60">
            <v>53</v>
          </cell>
          <cell r="AL60">
            <v>126113.42756443711</v>
          </cell>
        </row>
        <row r="61">
          <cell r="I61">
            <v>54</v>
          </cell>
          <cell r="AL61">
            <v>127677.66374689191</v>
          </cell>
        </row>
        <row r="62">
          <cell r="I62">
            <v>55</v>
          </cell>
          <cell r="AL62">
            <v>150829.7682034559</v>
          </cell>
        </row>
        <row r="63">
          <cell r="I63">
            <v>56</v>
          </cell>
          <cell r="AL63">
            <v>152589.63785586561</v>
          </cell>
        </row>
        <row r="64">
          <cell r="I64">
            <v>57</v>
          </cell>
          <cell r="AL64">
            <v>154358.17515627533</v>
          </cell>
        </row>
        <row r="65">
          <cell r="I65">
            <v>58</v>
          </cell>
          <cell r="AL65">
            <v>156135.38010468509</v>
          </cell>
        </row>
        <row r="66">
          <cell r="I66">
            <v>59</v>
          </cell>
          <cell r="AL66">
            <v>157921.25270109478</v>
          </cell>
        </row>
        <row r="67">
          <cell r="I67">
            <v>60</v>
          </cell>
          <cell r="AL67">
            <v>197800.51813973335</v>
          </cell>
        </row>
        <row r="68">
          <cell r="I68">
            <v>61</v>
          </cell>
          <cell r="AL68">
            <v>199934.84733098105</v>
          </cell>
        </row>
        <row r="69">
          <cell r="I69">
            <v>62</v>
          </cell>
          <cell r="AL69">
            <v>202079.22304222872</v>
          </cell>
        </row>
        <row r="70">
          <cell r="I70">
            <v>63</v>
          </cell>
          <cell r="AL70">
            <v>204233.6452734764</v>
          </cell>
        </row>
        <row r="71">
          <cell r="I71">
            <v>64</v>
          </cell>
          <cell r="AL71">
            <v>206398.11402472408</v>
          </cell>
        </row>
        <row r="72">
          <cell r="I72">
            <v>65</v>
          </cell>
          <cell r="AL72">
            <v>220784.26034475889</v>
          </cell>
        </row>
        <row r="73">
          <cell r="I73">
            <v>66</v>
          </cell>
          <cell r="AL73">
            <v>223067.65918007243</v>
          </cell>
        </row>
        <row r="74">
          <cell r="I74">
            <v>67</v>
          </cell>
          <cell r="AL74">
            <v>225361.49393538595</v>
          </cell>
        </row>
        <row r="75">
          <cell r="I75">
            <v>68</v>
          </cell>
          <cell r="AL75">
            <v>227665.76461069952</v>
          </cell>
        </row>
        <row r="76">
          <cell r="I76">
            <v>69</v>
          </cell>
          <cell r="AL76">
            <v>229980.471206013</v>
          </cell>
        </row>
        <row r="77">
          <cell r="I77">
            <v>70</v>
          </cell>
          <cell r="AL77">
            <v>261110.63560752003</v>
          </cell>
        </row>
        <row r="78">
          <cell r="I78">
            <v>71</v>
          </cell>
          <cell r="AL78">
            <v>263693.94680567225</v>
          </cell>
        </row>
        <row r="79">
          <cell r="I79">
            <v>72</v>
          </cell>
          <cell r="AL79">
            <v>266288.70636382455</v>
          </cell>
        </row>
        <row r="80">
          <cell r="I80">
            <v>73</v>
          </cell>
          <cell r="AL80">
            <v>268894.91428197676</v>
          </cell>
        </row>
        <row r="81">
          <cell r="I81">
            <v>74</v>
          </cell>
          <cell r="AL81">
            <v>271512.57056012895</v>
          </cell>
        </row>
        <row r="82">
          <cell r="I82">
            <v>75</v>
          </cell>
          <cell r="AL82">
            <v>287407.90159433859</v>
          </cell>
        </row>
        <row r="83">
          <cell r="I83">
            <v>76</v>
          </cell>
          <cell r="AL83">
            <v>290151.34722217923</v>
          </cell>
        </row>
        <row r="84">
          <cell r="I84">
            <v>77</v>
          </cell>
          <cell r="AL84">
            <v>292906.63061001973</v>
          </cell>
        </row>
        <row r="85">
          <cell r="I85">
            <v>78</v>
          </cell>
          <cell r="AL85">
            <v>295673.7517578603</v>
          </cell>
        </row>
        <row r="86">
          <cell r="I86">
            <v>79</v>
          </cell>
          <cell r="AL86">
            <v>298452.71066570084</v>
          </cell>
        </row>
        <row r="87">
          <cell r="I87">
            <v>80</v>
          </cell>
          <cell r="AL87">
            <v>315050.57562687469</v>
          </cell>
        </row>
        <row r="88">
          <cell r="I88">
            <v>81</v>
          </cell>
          <cell r="AL88">
            <v>317958.12306804856</v>
          </cell>
        </row>
        <row r="89">
          <cell r="I89">
            <v>82</v>
          </cell>
          <cell r="AL89">
            <v>320877.89766922238</v>
          </cell>
        </row>
        <row r="90">
          <cell r="I90">
            <v>83</v>
          </cell>
          <cell r="AL90">
            <v>323809.89943039627</v>
          </cell>
        </row>
        <row r="91">
          <cell r="I91">
            <v>84</v>
          </cell>
          <cell r="AL91">
            <v>326754.12835157017</v>
          </cell>
        </row>
        <row r="92">
          <cell r="I92">
            <v>85</v>
          </cell>
          <cell r="AL92">
            <v>344060.5122480712</v>
          </cell>
        </row>
        <row r="93">
          <cell r="I93">
            <v>86</v>
          </cell>
          <cell r="AL93">
            <v>347136.10174681508</v>
          </cell>
        </row>
        <row r="94">
          <cell r="I94">
            <v>87</v>
          </cell>
          <cell r="AL94">
            <v>350224.30780555913</v>
          </cell>
        </row>
        <row r="95">
          <cell r="I95">
            <v>88</v>
          </cell>
          <cell r="AL95">
            <v>353325.13042430306</v>
          </cell>
        </row>
        <row r="96">
          <cell r="I96">
            <v>89</v>
          </cell>
          <cell r="AL96">
            <v>356438.56960304698</v>
          </cell>
        </row>
        <row r="97">
          <cell r="I97">
            <v>90</v>
          </cell>
          <cell r="AL97">
            <v>374471.06818764471</v>
          </cell>
        </row>
        <row r="98">
          <cell r="I98">
            <v>91</v>
          </cell>
          <cell r="AL98">
            <v>377718.65091760812</v>
          </cell>
        </row>
        <row r="99">
          <cell r="I99">
            <v>92</v>
          </cell>
          <cell r="AL99">
            <v>380979.23960757162</v>
          </cell>
        </row>
        <row r="100">
          <cell r="I100">
            <v>93</v>
          </cell>
          <cell r="AL100">
            <v>384252.83425753511</v>
          </cell>
        </row>
        <row r="101">
          <cell r="I101">
            <v>94</v>
          </cell>
          <cell r="AL101">
            <v>387539.43486749852</v>
          </cell>
        </row>
        <row r="102">
          <cell r="I102">
            <v>95</v>
          </cell>
          <cell r="AL102">
            <v>406305.16685642756</v>
          </cell>
        </row>
        <row r="103">
          <cell r="I103">
            <v>96</v>
          </cell>
          <cell r="AL103">
            <v>409728.67177846003</v>
          </cell>
        </row>
        <row r="104">
          <cell r="I104">
            <v>97</v>
          </cell>
          <cell r="AL104">
            <v>413165.57206049253</v>
          </cell>
        </row>
        <row r="105">
          <cell r="I105">
            <v>98</v>
          </cell>
          <cell r="AL105">
            <v>416615.86770252499</v>
          </cell>
        </row>
        <row r="106">
          <cell r="I106">
            <v>99</v>
          </cell>
          <cell r="AL106">
            <v>420079.55870455742</v>
          </cell>
        </row>
        <row r="107">
          <cell r="I107">
            <v>100</v>
          </cell>
          <cell r="AL107">
            <v>460338.87876119843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52"/>
  <sheetViews>
    <sheetView tabSelected="1" workbookViewId="0">
      <selection activeCell="A16" sqref="A16"/>
    </sheetView>
  </sheetViews>
  <sheetFormatPr defaultRowHeight="11.25" x14ac:dyDescent="0.15"/>
  <cols>
    <col min="1" max="1" width="14.375" style="1" customWidth="1"/>
    <col min="2" max="14" width="9" style="1"/>
    <col min="15" max="15" width="16" style="1" customWidth="1"/>
    <col min="16" max="16" width="10.375" style="1" bestFit="1" customWidth="1"/>
    <col min="17" max="20" width="9" style="1"/>
    <col min="21" max="21" width="10" style="1" bestFit="1" customWidth="1"/>
    <col min="22" max="25" width="9" style="1"/>
    <col min="26" max="26" width="9.75" style="1" bestFit="1" customWidth="1"/>
    <col min="27" max="30" width="9" style="1"/>
    <col min="31" max="31" width="9.75" style="1" bestFit="1" customWidth="1"/>
    <col min="32" max="35" width="9" style="1"/>
    <col min="36" max="36" width="9.75" style="1" bestFit="1" customWidth="1"/>
    <col min="37" max="40" width="9" style="1"/>
    <col min="41" max="41" width="9.75" style="1" bestFit="1" customWidth="1"/>
    <col min="42" max="16384" width="9" style="1"/>
  </cols>
  <sheetData>
    <row r="1" spans="1:51" x14ac:dyDescent="0.15">
      <c r="O1" s="2" t="s">
        <v>6</v>
      </c>
      <c r="P1" s="11">
        <v>1</v>
      </c>
      <c r="Q1" s="11">
        <v>1</v>
      </c>
      <c r="R1" s="11">
        <v>1</v>
      </c>
      <c r="S1" s="11">
        <v>1</v>
      </c>
      <c r="T1" s="11">
        <v>1</v>
      </c>
      <c r="U1" s="12">
        <v>2</v>
      </c>
      <c r="V1" s="12">
        <v>2</v>
      </c>
      <c r="W1" s="12">
        <v>2</v>
      </c>
      <c r="X1" s="12">
        <v>2</v>
      </c>
      <c r="Y1" s="12">
        <v>2</v>
      </c>
      <c r="Z1" s="13">
        <v>3</v>
      </c>
      <c r="AA1" s="13">
        <v>3</v>
      </c>
      <c r="AB1" s="13">
        <v>3</v>
      </c>
      <c r="AC1" s="13">
        <v>3</v>
      </c>
      <c r="AD1" s="13">
        <v>3</v>
      </c>
      <c r="AE1" s="11">
        <v>4</v>
      </c>
      <c r="AF1" s="11">
        <v>4</v>
      </c>
      <c r="AG1" s="11">
        <v>4</v>
      </c>
      <c r="AH1" s="11">
        <v>4</v>
      </c>
      <c r="AI1" s="11">
        <v>4</v>
      </c>
      <c r="AJ1" s="14">
        <v>5</v>
      </c>
      <c r="AK1" s="14">
        <v>5</v>
      </c>
      <c r="AL1" s="14">
        <v>5</v>
      </c>
      <c r="AM1" s="14">
        <v>5</v>
      </c>
      <c r="AN1" s="14">
        <v>5</v>
      </c>
      <c r="AO1" s="15">
        <v>6</v>
      </c>
      <c r="AP1" s="15">
        <v>6</v>
      </c>
      <c r="AQ1" s="15">
        <v>6</v>
      </c>
      <c r="AR1" s="15">
        <v>6</v>
      </c>
      <c r="AS1" s="15">
        <v>6</v>
      </c>
      <c r="AT1" s="38">
        <v>7</v>
      </c>
      <c r="AU1" s="38">
        <v>7</v>
      </c>
      <c r="AV1" s="38">
        <v>7</v>
      </c>
      <c r="AW1" s="38">
        <v>7</v>
      </c>
      <c r="AX1" s="38">
        <v>7</v>
      </c>
      <c r="AY1" s="39" t="s">
        <v>75</v>
      </c>
    </row>
    <row r="2" spans="1:51" ht="12" thickBot="1" x14ac:dyDescent="0.2">
      <c r="O2" s="2"/>
      <c r="P2" s="11" t="s">
        <v>1</v>
      </c>
      <c r="Q2" s="11" t="s">
        <v>7</v>
      </c>
      <c r="R2" s="11" t="s">
        <v>3</v>
      </c>
      <c r="S2" s="11" t="s">
        <v>4</v>
      </c>
      <c r="T2" s="11" t="s">
        <v>5</v>
      </c>
      <c r="U2" s="12" t="s">
        <v>1</v>
      </c>
      <c r="V2" s="12" t="s">
        <v>7</v>
      </c>
      <c r="W2" s="12" t="s">
        <v>3</v>
      </c>
      <c r="X2" s="12" t="s">
        <v>4</v>
      </c>
      <c r="Y2" s="12" t="s">
        <v>5</v>
      </c>
      <c r="Z2" s="13" t="s">
        <v>1</v>
      </c>
      <c r="AA2" s="13" t="s">
        <v>7</v>
      </c>
      <c r="AB2" s="13" t="s">
        <v>3</v>
      </c>
      <c r="AC2" s="13" t="s">
        <v>4</v>
      </c>
      <c r="AD2" s="13" t="s">
        <v>5</v>
      </c>
      <c r="AE2" s="11" t="s">
        <v>1</v>
      </c>
      <c r="AF2" s="11" t="s">
        <v>7</v>
      </c>
      <c r="AG2" s="11" t="s">
        <v>3</v>
      </c>
      <c r="AH2" s="11" t="s">
        <v>4</v>
      </c>
      <c r="AI2" s="11" t="s">
        <v>5</v>
      </c>
      <c r="AJ2" s="14" t="s">
        <v>1</v>
      </c>
      <c r="AK2" s="14" t="s">
        <v>7</v>
      </c>
      <c r="AL2" s="14" t="s">
        <v>3</v>
      </c>
      <c r="AM2" s="14" t="s">
        <v>4</v>
      </c>
      <c r="AN2" s="14" t="s">
        <v>5</v>
      </c>
      <c r="AO2" s="15" t="s">
        <v>1</v>
      </c>
      <c r="AP2" s="15" t="s">
        <v>7</v>
      </c>
      <c r="AQ2" s="15" t="s">
        <v>3</v>
      </c>
      <c r="AR2" s="15" t="s">
        <v>4</v>
      </c>
      <c r="AS2" s="15" t="s">
        <v>5</v>
      </c>
      <c r="AT2" s="38" t="s">
        <v>1</v>
      </c>
      <c r="AU2" s="38" t="s">
        <v>2</v>
      </c>
      <c r="AV2" s="38" t="s">
        <v>3</v>
      </c>
      <c r="AW2" s="38" t="s">
        <v>4</v>
      </c>
      <c r="AX2" s="38" t="s">
        <v>5</v>
      </c>
    </row>
    <row r="3" spans="1:51" x14ac:dyDescent="0.15">
      <c r="A3" s="3" t="s">
        <v>0</v>
      </c>
      <c r="B3" s="4"/>
      <c r="C3" s="4"/>
      <c r="D3" s="4"/>
      <c r="E3" s="5"/>
      <c r="O3" s="2" t="s">
        <v>8</v>
      </c>
      <c r="P3" s="16">
        <v>1</v>
      </c>
      <c r="Q3" s="16">
        <v>1</v>
      </c>
      <c r="R3" s="16">
        <v>1</v>
      </c>
      <c r="S3" s="16">
        <v>1</v>
      </c>
      <c r="T3" s="16">
        <v>1</v>
      </c>
      <c r="U3" s="16">
        <v>2.1</v>
      </c>
      <c r="V3" s="16">
        <v>1</v>
      </c>
      <c r="W3" s="16">
        <v>1</v>
      </c>
      <c r="X3" s="16">
        <v>1</v>
      </c>
      <c r="Y3" s="16">
        <v>1</v>
      </c>
      <c r="Z3" s="16">
        <v>4</v>
      </c>
      <c r="AA3" s="16">
        <v>1</v>
      </c>
      <c r="AB3" s="16">
        <v>1</v>
      </c>
      <c r="AC3" s="16">
        <v>1</v>
      </c>
      <c r="AD3" s="16">
        <v>1</v>
      </c>
      <c r="AE3" s="16">
        <v>6</v>
      </c>
      <c r="AF3" s="16">
        <v>1</v>
      </c>
      <c r="AG3" s="16">
        <v>1</v>
      </c>
      <c r="AH3" s="16">
        <v>1</v>
      </c>
      <c r="AI3" s="16">
        <v>1</v>
      </c>
      <c r="AJ3" s="16">
        <v>10</v>
      </c>
      <c r="AK3" s="16">
        <v>1</v>
      </c>
      <c r="AL3" s="16">
        <v>1</v>
      </c>
      <c r="AM3" s="16">
        <v>1</v>
      </c>
      <c r="AN3" s="16">
        <v>1</v>
      </c>
      <c r="AO3" s="16">
        <v>15</v>
      </c>
      <c r="AP3" s="16">
        <v>1</v>
      </c>
      <c r="AQ3" s="16">
        <v>1</v>
      </c>
      <c r="AR3" s="16">
        <v>1</v>
      </c>
      <c r="AS3" s="16">
        <v>1</v>
      </c>
      <c r="AT3" s="16">
        <v>8.5</v>
      </c>
      <c r="AU3" s="16">
        <v>1</v>
      </c>
      <c r="AV3" s="16">
        <v>1</v>
      </c>
      <c r="AW3" s="16">
        <v>1</v>
      </c>
      <c r="AX3" s="16">
        <v>1</v>
      </c>
    </row>
    <row r="4" spans="1:51" x14ac:dyDescent="0.15">
      <c r="A4" s="6" t="s">
        <v>1</v>
      </c>
      <c r="B4" s="2" t="s">
        <v>2</v>
      </c>
      <c r="C4" s="2" t="s">
        <v>3</v>
      </c>
      <c r="D4" s="2" t="s">
        <v>4</v>
      </c>
      <c r="E4" s="7" t="s">
        <v>5</v>
      </c>
      <c r="O4" s="2" t="s">
        <v>9</v>
      </c>
      <c r="P4" s="16">
        <v>1.2</v>
      </c>
      <c r="Q4" s="16">
        <v>1.2</v>
      </c>
      <c r="R4" s="16">
        <v>1.2</v>
      </c>
      <c r="S4" s="16">
        <v>1.2</v>
      </c>
      <c r="T4" s="16">
        <v>1.2</v>
      </c>
      <c r="U4" s="16">
        <v>2.5</v>
      </c>
      <c r="V4" s="16">
        <v>1.2</v>
      </c>
      <c r="W4" s="16">
        <v>1.2</v>
      </c>
      <c r="X4" s="16">
        <v>1.2</v>
      </c>
      <c r="Y4" s="16">
        <v>1.2</v>
      </c>
      <c r="Z4" s="16">
        <v>4.5</v>
      </c>
      <c r="AA4" s="16">
        <v>1.2</v>
      </c>
      <c r="AB4" s="16">
        <v>1.2</v>
      </c>
      <c r="AC4" s="16">
        <v>1.2</v>
      </c>
      <c r="AD4" s="16">
        <v>1.2</v>
      </c>
      <c r="AE4" s="16">
        <v>7</v>
      </c>
      <c r="AF4" s="16">
        <v>1.2</v>
      </c>
      <c r="AG4" s="16">
        <v>1</v>
      </c>
      <c r="AH4" s="16">
        <v>1</v>
      </c>
      <c r="AI4" s="16">
        <v>1</v>
      </c>
      <c r="AJ4" s="16">
        <v>13</v>
      </c>
      <c r="AK4" s="16">
        <v>1.2</v>
      </c>
      <c r="AL4" s="16">
        <v>1</v>
      </c>
      <c r="AM4" s="16">
        <v>1</v>
      </c>
      <c r="AN4" s="16">
        <v>1</v>
      </c>
      <c r="AO4" s="16">
        <v>18</v>
      </c>
      <c r="AP4" s="16">
        <v>1.2</v>
      </c>
      <c r="AQ4" s="16">
        <v>1</v>
      </c>
      <c r="AR4" s="16">
        <v>1</v>
      </c>
      <c r="AS4" s="16">
        <v>1</v>
      </c>
      <c r="AT4" s="16">
        <v>8.5</v>
      </c>
      <c r="AU4" s="16">
        <v>1.2</v>
      </c>
      <c r="AV4" s="16">
        <v>1</v>
      </c>
      <c r="AW4" s="16">
        <v>1</v>
      </c>
      <c r="AX4" s="16">
        <v>1</v>
      </c>
    </row>
    <row r="5" spans="1:51" ht="12" thickBot="1" x14ac:dyDescent="0.2">
      <c r="A5" s="8">
        <v>1</v>
      </c>
      <c r="B5" s="9">
        <v>1</v>
      </c>
      <c r="C5" s="9">
        <v>1</v>
      </c>
      <c r="D5" s="9">
        <v>1</v>
      </c>
      <c r="E5" s="10">
        <v>1</v>
      </c>
      <c r="O5" s="2" t="s">
        <v>10</v>
      </c>
      <c r="P5" s="2">
        <f>P3*A$5</f>
        <v>1</v>
      </c>
      <c r="Q5" s="2">
        <f t="shared" ref="Q5:T5" si="0">Q3*B$5</f>
        <v>1</v>
      </c>
      <c r="R5" s="2">
        <f t="shared" si="0"/>
        <v>1</v>
      </c>
      <c r="S5" s="2">
        <f t="shared" si="0"/>
        <v>1</v>
      </c>
      <c r="T5" s="2">
        <f t="shared" si="0"/>
        <v>1</v>
      </c>
      <c r="U5" s="2">
        <f>U3*A$5</f>
        <v>2.1</v>
      </c>
      <c r="V5" s="2">
        <f t="shared" ref="V5:Y5" si="1">V3*B$5</f>
        <v>1</v>
      </c>
      <c r="W5" s="2">
        <f t="shared" si="1"/>
        <v>1</v>
      </c>
      <c r="X5" s="2">
        <f t="shared" si="1"/>
        <v>1</v>
      </c>
      <c r="Y5" s="2">
        <f t="shared" si="1"/>
        <v>1</v>
      </c>
      <c r="Z5" s="2">
        <f>Z3*A$5</f>
        <v>4</v>
      </c>
      <c r="AA5" s="2">
        <f t="shared" ref="AA5:AD5" si="2">AA3*B$5</f>
        <v>1</v>
      </c>
      <c r="AB5" s="2">
        <f t="shared" si="2"/>
        <v>1</v>
      </c>
      <c r="AC5" s="2">
        <f t="shared" si="2"/>
        <v>1</v>
      </c>
      <c r="AD5" s="2">
        <f t="shared" si="2"/>
        <v>1</v>
      </c>
      <c r="AE5" s="2">
        <f>AE3*A$5</f>
        <v>6</v>
      </c>
      <c r="AF5" s="2">
        <f t="shared" ref="AF5:AI5" si="3">AF3*B$5</f>
        <v>1</v>
      </c>
      <c r="AG5" s="2">
        <f t="shared" si="3"/>
        <v>1</v>
      </c>
      <c r="AH5" s="2">
        <f t="shared" si="3"/>
        <v>1</v>
      </c>
      <c r="AI5" s="2">
        <f t="shared" si="3"/>
        <v>1</v>
      </c>
      <c r="AJ5" s="2">
        <f>AJ3*A$5</f>
        <v>10</v>
      </c>
      <c r="AK5" s="2">
        <f t="shared" ref="AK5:AN5" si="4">AK3*B$5</f>
        <v>1</v>
      </c>
      <c r="AL5" s="2">
        <f t="shared" si="4"/>
        <v>1</v>
      </c>
      <c r="AM5" s="2">
        <f t="shared" si="4"/>
        <v>1</v>
      </c>
      <c r="AN5" s="2">
        <f t="shared" si="4"/>
        <v>1</v>
      </c>
      <c r="AO5" s="2">
        <f>AO3*A$5</f>
        <v>15</v>
      </c>
      <c r="AP5" s="2">
        <f t="shared" ref="AP5:AS5" si="5">AP3*B$5</f>
        <v>1</v>
      </c>
      <c r="AQ5" s="2">
        <f t="shared" si="5"/>
        <v>1</v>
      </c>
      <c r="AR5" s="2">
        <f t="shared" si="5"/>
        <v>1</v>
      </c>
      <c r="AS5" s="2">
        <f t="shared" si="5"/>
        <v>1</v>
      </c>
      <c r="AT5" s="2">
        <f>AT3*A$5</f>
        <v>8.5</v>
      </c>
      <c r="AU5" s="2">
        <f t="shared" ref="AU5:AX5" si="6">AU3*B$5</f>
        <v>1</v>
      </c>
      <c r="AV5" s="2">
        <f t="shared" si="6"/>
        <v>1</v>
      </c>
      <c r="AW5" s="2">
        <f t="shared" si="6"/>
        <v>1</v>
      </c>
      <c r="AX5" s="2">
        <f t="shared" si="6"/>
        <v>1</v>
      </c>
    </row>
    <row r="6" spans="1:51" x14ac:dyDescent="0.15">
      <c r="O6" s="2" t="s">
        <v>11</v>
      </c>
      <c r="P6" s="2">
        <f>P4*A$5</f>
        <v>1.2</v>
      </c>
      <c r="Q6" s="2">
        <f t="shared" ref="Q6:T6" si="7">Q4*B$5</f>
        <v>1.2</v>
      </c>
      <c r="R6" s="2">
        <f t="shared" si="7"/>
        <v>1.2</v>
      </c>
      <c r="S6" s="2">
        <f t="shared" si="7"/>
        <v>1.2</v>
      </c>
      <c r="T6" s="2">
        <f t="shared" si="7"/>
        <v>1.2</v>
      </c>
      <c r="U6" s="2">
        <f>U4*A$5</f>
        <v>2.5</v>
      </c>
      <c r="V6" s="2">
        <f t="shared" ref="V6:Y6" si="8">V4*B$5</f>
        <v>1.2</v>
      </c>
      <c r="W6" s="2">
        <f t="shared" si="8"/>
        <v>1.2</v>
      </c>
      <c r="X6" s="2">
        <f t="shared" si="8"/>
        <v>1.2</v>
      </c>
      <c r="Y6" s="2">
        <f t="shared" si="8"/>
        <v>1.2</v>
      </c>
      <c r="Z6" s="2">
        <f>Z4*A$5</f>
        <v>4.5</v>
      </c>
      <c r="AA6" s="2">
        <f t="shared" ref="AA6:AD6" si="9">AA4*B$5</f>
        <v>1.2</v>
      </c>
      <c r="AB6" s="2">
        <f t="shared" si="9"/>
        <v>1.2</v>
      </c>
      <c r="AC6" s="2">
        <f t="shared" si="9"/>
        <v>1.2</v>
      </c>
      <c r="AD6" s="2">
        <f t="shared" si="9"/>
        <v>1.2</v>
      </c>
      <c r="AE6" s="2">
        <f>AE4*A$5</f>
        <v>7</v>
      </c>
      <c r="AF6" s="2">
        <f t="shared" ref="AF6:AI6" si="10">AF4*B$5</f>
        <v>1.2</v>
      </c>
      <c r="AG6" s="2">
        <f t="shared" si="10"/>
        <v>1</v>
      </c>
      <c r="AH6" s="2">
        <f t="shared" si="10"/>
        <v>1</v>
      </c>
      <c r="AI6" s="2">
        <f t="shared" si="10"/>
        <v>1</v>
      </c>
      <c r="AJ6" s="2">
        <f>AJ4*A$5</f>
        <v>13</v>
      </c>
      <c r="AK6" s="2">
        <f t="shared" ref="AK6:AN6" si="11">AK4*B$5</f>
        <v>1.2</v>
      </c>
      <c r="AL6" s="2">
        <f t="shared" si="11"/>
        <v>1</v>
      </c>
      <c r="AM6" s="2">
        <f t="shared" si="11"/>
        <v>1</v>
      </c>
      <c r="AN6" s="2">
        <f t="shared" si="11"/>
        <v>1</v>
      </c>
      <c r="AO6" s="2">
        <f>AO4*A$5</f>
        <v>18</v>
      </c>
      <c r="AP6" s="2">
        <f t="shared" ref="AP6:AS6" si="12">AP4*B$5</f>
        <v>1.2</v>
      </c>
      <c r="AQ6" s="2">
        <f t="shared" si="12"/>
        <v>1</v>
      </c>
      <c r="AR6" s="2">
        <f t="shared" si="12"/>
        <v>1</v>
      </c>
      <c r="AS6" s="2">
        <f t="shared" si="12"/>
        <v>1</v>
      </c>
      <c r="AT6" s="2">
        <f>AT4*A$5</f>
        <v>8.5</v>
      </c>
      <c r="AU6" s="2">
        <f t="shared" ref="AU6:AX6" si="13">AU4*B$5</f>
        <v>1.2</v>
      </c>
      <c r="AV6" s="2">
        <f t="shared" si="13"/>
        <v>1</v>
      </c>
      <c r="AW6" s="2">
        <f t="shared" si="13"/>
        <v>1</v>
      </c>
      <c r="AX6" s="2">
        <f t="shared" si="13"/>
        <v>1</v>
      </c>
    </row>
    <row r="7" spans="1:51" x14ac:dyDescent="0.15">
      <c r="A7" s="1" t="s">
        <v>22</v>
      </c>
      <c r="B7" s="18">
        <v>1.8</v>
      </c>
      <c r="O7" s="2" t="s">
        <v>16</v>
      </c>
      <c r="P7" s="17">
        <f>P5*A$15*[1]战斗预期!C$4</f>
        <v>25</v>
      </c>
      <c r="Q7" s="17">
        <f>Q5*B$15*[1]战斗预期!D$4</f>
        <v>5</v>
      </c>
      <c r="R7" s="17">
        <f>R5*C$15*[1]战斗预期!E$4</f>
        <v>5</v>
      </c>
      <c r="S7" s="17">
        <f>S5*D$15*[1]战斗预期!F$4</f>
        <v>4</v>
      </c>
      <c r="T7" s="17">
        <f>T5*E$15*[1]战斗预期!G$4</f>
        <v>4</v>
      </c>
      <c r="U7" s="2">
        <f>U5*A$15*[1]战斗预期!C$4</f>
        <v>52.5</v>
      </c>
      <c r="V7" s="2">
        <f>V5*B$15*[1]战斗预期!D$4</f>
        <v>5</v>
      </c>
      <c r="W7" s="2">
        <f>W5*C$15*[1]战斗预期!E$4</f>
        <v>5</v>
      </c>
      <c r="X7" s="2">
        <f>X5*D$15*[1]战斗预期!F$4</f>
        <v>4</v>
      </c>
      <c r="Y7" s="2">
        <f>Y5*E$15*[1]战斗预期!G$4</f>
        <v>4</v>
      </c>
      <c r="Z7" s="2">
        <f>Z5*A$15*[1]战斗预期!C$4</f>
        <v>100</v>
      </c>
      <c r="AA7" s="2">
        <f>AA5*B$15*[1]战斗预期!D$4</f>
        <v>5</v>
      </c>
      <c r="AB7" s="2">
        <f>AB5*C$15*[1]战斗预期!E$4</f>
        <v>5</v>
      </c>
      <c r="AC7" s="2">
        <f>AC5*D$15*[1]战斗预期!F$4</f>
        <v>4</v>
      </c>
      <c r="AD7" s="2">
        <f>AD5*E$15*[1]战斗预期!G$4</f>
        <v>4</v>
      </c>
      <c r="AE7" s="2">
        <f>AE5*A$15*[1]战斗预期!C$4</f>
        <v>150</v>
      </c>
      <c r="AF7" s="2">
        <f>AF5*B$15*[1]战斗预期!D$4</f>
        <v>5</v>
      </c>
      <c r="AG7" s="2">
        <f>AG5*C$15*[1]战斗预期!E$4</f>
        <v>5</v>
      </c>
      <c r="AH7" s="2">
        <f>AH5*D$15*[1]战斗预期!F$4</f>
        <v>4</v>
      </c>
      <c r="AI7" s="2">
        <f>AI5*E$15*[1]战斗预期!G$4</f>
        <v>4</v>
      </c>
      <c r="AJ7" s="2">
        <f>AJ5*A$15*[1]战斗预期!C$4</f>
        <v>250</v>
      </c>
      <c r="AK7" s="2">
        <f>AK5*B$15*[1]战斗预期!D$4</f>
        <v>5</v>
      </c>
      <c r="AL7" s="2">
        <f>AL5*C$15*[1]战斗预期!E$4</f>
        <v>5</v>
      </c>
      <c r="AM7" s="2">
        <f>AM5*D$15*[1]战斗预期!F$4</f>
        <v>4</v>
      </c>
      <c r="AN7" s="2">
        <f>AN5*E$15*[1]战斗预期!G$4</f>
        <v>4</v>
      </c>
      <c r="AO7" s="2">
        <f>AO5*A$15*[1]战斗预期!C$4</f>
        <v>375</v>
      </c>
      <c r="AP7" s="2">
        <f>AP5*B$15*[1]战斗预期!D$4</f>
        <v>5</v>
      </c>
      <c r="AQ7" s="2">
        <f>AQ5*C$15*[1]战斗预期!E$4</f>
        <v>5</v>
      </c>
      <c r="AR7" s="2">
        <f>AR5*D$15*[1]战斗预期!F$4</f>
        <v>4</v>
      </c>
      <c r="AS7" s="2">
        <f>AS5*E$15*[1]战斗预期!G$4</f>
        <v>4</v>
      </c>
      <c r="AT7" s="2">
        <f>AT5*A$15*[1]战斗预期!C$4</f>
        <v>212.5</v>
      </c>
      <c r="AU7" s="2">
        <f>AU5*B$15*[1]战斗预期!D$4</f>
        <v>5</v>
      </c>
      <c r="AV7" s="2">
        <f>AV5*C$15*[1]战斗预期!E$4</f>
        <v>5</v>
      </c>
      <c r="AW7" s="2">
        <f>AW5*D$15*[1]战斗预期!F$4</f>
        <v>4</v>
      </c>
      <c r="AX7" s="2">
        <f>AX5*E$15*[1]战斗预期!G$4</f>
        <v>4</v>
      </c>
    </row>
    <row r="8" spans="1:51" x14ac:dyDescent="0.15">
      <c r="O8" s="2" t="s">
        <v>17</v>
      </c>
      <c r="P8" s="17">
        <f>P6*A$15*[1]战斗预期!C$4</f>
        <v>30</v>
      </c>
      <c r="Q8" s="17">
        <f>Q6*B$15*[1]战斗预期!D$4</f>
        <v>6</v>
      </c>
      <c r="R8" s="17">
        <f>R6*C$15*[1]战斗预期!E$4</f>
        <v>6</v>
      </c>
      <c r="S8" s="17">
        <f>S6*D$15*[1]战斗预期!F$4</f>
        <v>4.8</v>
      </c>
      <c r="T8" s="17">
        <f>T6*E$15*[1]战斗预期!G$4</f>
        <v>4.8</v>
      </c>
      <c r="U8" s="2">
        <f>U6*A$15*[1]战斗预期!C$4</f>
        <v>62.5</v>
      </c>
      <c r="V8" s="2">
        <f>V6*B$15*[1]战斗预期!D$4</f>
        <v>6</v>
      </c>
      <c r="W8" s="2">
        <f>W6*C$15*[1]战斗预期!E$4</f>
        <v>6</v>
      </c>
      <c r="X8" s="2">
        <f>X6*D$15*[1]战斗预期!F$4</f>
        <v>4.8</v>
      </c>
      <c r="Y8" s="2">
        <f>Y6*E$15*[1]战斗预期!G$4</f>
        <v>4.8</v>
      </c>
      <c r="Z8" s="2">
        <f>Z6*A$15*[1]战斗预期!C$4</f>
        <v>112.5</v>
      </c>
      <c r="AA8" s="2">
        <f>AA6*B$15*[1]战斗预期!D$4</f>
        <v>6</v>
      </c>
      <c r="AB8" s="2">
        <f>AB6*C$15*[1]战斗预期!E$4</f>
        <v>6</v>
      </c>
      <c r="AC8" s="2">
        <f>AC6*D$15*[1]战斗预期!F$4</f>
        <v>4.8</v>
      </c>
      <c r="AD8" s="2">
        <f>AD6*E$15*[1]战斗预期!G$4</f>
        <v>4.8</v>
      </c>
      <c r="AE8" s="2">
        <f>AE6*A$15*[1]战斗预期!C$4</f>
        <v>175</v>
      </c>
      <c r="AF8" s="2">
        <f>AF6*B$15*[1]战斗预期!D$4</f>
        <v>6</v>
      </c>
      <c r="AG8" s="2">
        <f>AG6*C$15*[1]战斗预期!E$4</f>
        <v>5</v>
      </c>
      <c r="AH8" s="2">
        <f>AH6*D$15*[1]战斗预期!F$4</f>
        <v>4</v>
      </c>
      <c r="AI8" s="2">
        <f>AI6*E$15*[1]战斗预期!G$4</f>
        <v>4</v>
      </c>
      <c r="AJ8" s="2">
        <f>AJ6*A$15*[1]战斗预期!C$4</f>
        <v>325</v>
      </c>
      <c r="AK8" s="2">
        <f>AK6*B$15*[1]战斗预期!D$4</f>
        <v>6</v>
      </c>
      <c r="AL8" s="2">
        <f>AL6*C$15*[1]战斗预期!E$4</f>
        <v>5</v>
      </c>
      <c r="AM8" s="2">
        <f>AM6*D$15*[1]战斗预期!F$4</f>
        <v>4</v>
      </c>
      <c r="AN8" s="2">
        <f>AN6*E$15*[1]战斗预期!G$4</f>
        <v>4</v>
      </c>
      <c r="AO8" s="2">
        <f>AO6*A$15*[1]战斗预期!C$4</f>
        <v>450</v>
      </c>
      <c r="AP8" s="2">
        <f>AP6*B$15*[1]战斗预期!D$4</f>
        <v>6</v>
      </c>
      <c r="AQ8" s="2">
        <f>AQ6*C$15*[1]战斗预期!E$4</f>
        <v>5</v>
      </c>
      <c r="AR8" s="2">
        <f>AR6*D$15*[1]战斗预期!F$4</f>
        <v>4</v>
      </c>
      <c r="AS8" s="2">
        <f>AS6*E$15*[1]战斗预期!G$4</f>
        <v>4</v>
      </c>
      <c r="AT8" s="2">
        <f>AT6*A$15*[1]战斗预期!C$4</f>
        <v>212.5</v>
      </c>
      <c r="AU8" s="2">
        <f>AU6*B$15*[1]战斗预期!D$4</f>
        <v>6</v>
      </c>
      <c r="AV8" s="2">
        <f>AV6*C$15*[1]战斗预期!E$4</f>
        <v>5</v>
      </c>
      <c r="AW8" s="2">
        <f>AW6*D$15*[1]战斗预期!F$4</f>
        <v>4</v>
      </c>
      <c r="AX8" s="2">
        <f>AX6*E$15*[1]战斗预期!G$4</f>
        <v>4</v>
      </c>
    </row>
    <row r="9" spans="1:51" x14ac:dyDescent="0.15">
      <c r="A9" s="1" t="s">
        <v>12</v>
      </c>
      <c r="O9" s="2" t="s">
        <v>18</v>
      </c>
      <c r="P9" s="19">
        <f>P7/([1]战斗预期!$D$4*[1]战斗预期!$J$3*(1-[1]战斗预期!$E$1))/$B$7</f>
        <v>2.3148148148148144</v>
      </c>
      <c r="Q9" s="19"/>
      <c r="R9" s="19"/>
      <c r="S9" s="19"/>
      <c r="T9" s="19"/>
      <c r="U9" s="20">
        <f>U7/([1]战斗预期!$D$6*[1]战斗预期!$J$3*(1-[1]战斗预期!$E$1))/$B$7</f>
        <v>4.8611111111111098</v>
      </c>
      <c r="V9" s="20"/>
      <c r="W9" s="20"/>
      <c r="X9" s="20"/>
      <c r="Y9" s="20"/>
      <c r="Z9" s="21">
        <f>Z7/([1]战斗预期!$D$6*[1]战斗预期!$J$3*(1-[1]战斗预期!$E$1))/$B$7</f>
        <v>9.2592592592592577</v>
      </c>
      <c r="AA9" s="21"/>
      <c r="AB9" s="21"/>
      <c r="AC9" s="21"/>
      <c r="AD9" s="21"/>
      <c r="AE9" s="19">
        <f>AE7/([1]战斗预期!$D$6*[1]战斗预期!$J$3*(1-[1]战斗预期!$E$1))/$B$7</f>
        <v>13.888888888888886</v>
      </c>
      <c r="AF9" s="19"/>
      <c r="AG9" s="19"/>
      <c r="AH9" s="19"/>
      <c r="AI9" s="19"/>
      <c r="AJ9" s="22">
        <f>AJ7/([1]战斗预期!$D$6*[1]战斗预期!$J$3*(1-[1]战斗预期!$E$1))/$B$7</f>
        <v>23.148148148148142</v>
      </c>
      <c r="AK9" s="22"/>
      <c r="AL9" s="22"/>
      <c r="AM9" s="22"/>
      <c r="AN9" s="22"/>
      <c r="AO9" s="23">
        <f>AO7/([1]战斗预期!$D$6*[1]战斗预期!$J$3*(1-[1]战斗预期!$E$1))/$B$7</f>
        <v>34.722222222222214</v>
      </c>
      <c r="AP9" s="23"/>
      <c r="AQ9" s="23"/>
      <c r="AR9" s="23"/>
      <c r="AS9" s="23"/>
    </row>
    <row r="10" spans="1:51" x14ac:dyDescent="0.15">
      <c r="A10" s="1" t="s">
        <v>13</v>
      </c>
      <c r="O10" s="2" t="s">
        <v>20</v>
      </c>
      <c r="P10" s="19">
        <f>P8/([1]战斗预期!$D$4*[1]战斗预期!$J$3*(1-[1]战斗预期!$E$1))/$B$7</f>
        <v>2.7777777777777772</v>
      </c>
      <c r="Q10" s="19"/>
      <c r="R10" s="19"/>
      <c r="S10" s="19"/>
      <c r="T10" s="19"/>
      <c r="U10" s="20">
        <f>U8/([1]战斗预期!$D$6*[1]战斗预期!$J$3*(1-[1]战斗预期!$E$1))/$B$7</f>
        <v>5.7870370370370354</v>
      </c>
      <c r="V10" s="20"/>
      <c r="W10" s="20"/>
      <c r="X10" s="20"/>
      <c r="Y10" s="20"/>
      <c r="Z10" s="21">
        <f>Z8/([1]战斗预期!$D$6*[1]战斗预期!$J$3*(1-[1]战斗预期!$E$1))/$B$7</f>
        <v>10.416666666666664</v>
      </c>
      <c r="AA10" s="21"/>
      <c r="AB10" s="21"/>
      <c r="AC10" s="21"/>
      <c r="AD10" s="21"/>
      <c r="AE10" s="19">
        <f>AE8/([1]战斗预期!$D$6*[1]战斗预期!$J$3*(1-[1]战斗预期!$E$1))/$B$7</f>
        <v>16.203703703703699</v>
      </c>
      <c r="AF10" s="19"/>
      <c r="AG10" s="19"/>
      <c r="AH10" s="19"/>
      <c r="AI10" s="19"/>
      <c r="AJ10" s="22">
        <f>AJ8/([1]战斗预期!$D$6*[1]战斗预期!$J$3*(1-[1]战斗预期!$E$1))/$B$7</f>
        <v>30.092592592592588</v>
      </c>
      <c r="AK10" s="22"/>
      <c r="AL10" s="22"/>
      <c r="AM10" s="22"/>
      <c r="AN10" s="22"/>
      <c r="AO10" s="23">
        <f>AO8/([1]战斗预期!$D$6*[1]战斗预期!$J$3*(1-[1]战斗预期!$E$1))/$B$7</f>
        <v>41.666666666666657</v>
      </c>
      <c r="AP10" s="23"/>
      <c r="AQ10" s="23"/>
      <c r="AR10" s="23"/>
      <c r="AS10" s="23"/>
    </row>
    <row r="11" spans="1:51" x14ac:dyDescent="0.15">
      <c r="A11" s="1" t="s">
        <v>14</v>
      </c>
      <c r="O11" s="2" t="s">
        <v>19</v>
      </c>
      <c r="P11" s="19">
        <f>[1]战斗预期!$C$4/(Q7*[1]战斗预期!$J$3*(1-[1]战斗预期!$E$1))</f>
        <v>33.333333333333329</v>
      </c>
      <c r="Q11" s="19"/>
      <c r="R11" s="19"/>
      <c r="S11" s="19"/>
      <c r="T11" s="19"/>
      <c r="U11" s="20">
        <f>[1]战斗预期!$C$6/(V7*[1]战斗预期!$J$3*(1-[1]战斗预期!$E$1))</f>
        <v>33.333333333333329</v>
      </c>
      <c r="V11" s="20"/>
      <c r="W11" s="20"/>
      <c r="X11" s="20"/>
      <c r="Y11" s="20"/>
      <c r="Z11" s="21">
        <f>[1]战斗预期!$C$6/(AA7*[1]战斗预期!$J$3*(1-[1]战斗预期!$E$1))</f>
        <v>33.333333333333329</v>
      </c>
      <c r="AA11" s="21"/>
      <c r="AB11" s="21"/>
      <c r="AC11" s="21"/>
      <c r="AD11" s="21"/>
      <c r="AE11" s="19">
        <f>[1]战斗预期!$C$6/(AF7*[1]战斗预期!$J$3*(1-[1]战斗预期!$E$1))</f>
        <v>33.333333333333329</v>
      </c>
      <c r="AF11" s="19"/>
      <c r="AG11" s="19"/>
      <c r="AH11" s="19"/>
      <c r="AI11" s="19"/>
      <c r="AJ11" s="22">
        <f>[1]战斗预期!$C$6/(AK7*[1]战斗预期!$J$3*(1-[1]战斗预期!$E$1))</f>
        <v>33.333333333333329</v>
      </c>
      <c r="AK11" s="22"/>
      <c r="AL11" s="22"/>
      <c r="AM11" s="22"/>
      <c r="AN11" s="22"/>
      <c r="AO11" s="23">
        <f>[1]战斗预期!$C$6/(AP7*[1]战斗预期!$J$3*(1-[1]战斗预期!$E$1))</f>
        <v>33.333333333333329</v>
      </c>
      <c r="AP11" s="23"/>
      <c r="AQ11" s="23"/>
      <c r="AR11" s="23"/>
      <c r="AS11" s="23"/>
    </row>
    <row r="12" spans="1:51" x14ac:dyDescent="0.15">
      <c r="A12" s="1">
        <v>0.21</v>
      </c>
      <c r="O12" s="2" t="s">
        <v>21</v>
      </c>
      <c r="P12" s="19">
        <f>[1]战斗预期!$C$4/(Q8*[1]战斗预期!$J$3*(1-[1]战斗预期!$E$1))</f>
        <v>27.777777777777775</v>
      </c>
      <c r="Q12" s="19"/>
      <c r="R12" s="19"/>
      <c r="S12" s="19"/>
      <c r="T12" s="19"/>
      <c r="U12" s="20">
        <f>[1]战斗预期!$C$6/(V8*[1]战斗预期!$J$3*(1-[1]战斗预期!$E$1))</f>
        <v>27.777777777777775</v>
      </c>
      <c r="V12" s="20"/>
      <c r="W12" s="20"/>
      <c r="X12" s="20"/>
      <c r="Y12" s="20"/>
      <c r="Z12" s="21">
        <f>[1]战斗预期!$C$6/(AA8*[1]战斗预期!$J$3*(1-[1]战斗预期!$E$1))</f>
        <v>27.777777777777775</v>
      </c>
      <c r="AA12" s="21"/>
      <c r="AB12" s="21"/>
      <c r="AC12" s="21"/>
      <c r="AD12" s="21"/>
      <c r="AE12" s="19">
        <f>[1]战斗预期!$C$6/(AF8*[1]战斗预期!$J$3*(1-[1]战斗预期!$E$1))</f>
        <v>27.777777777777775</v>
      </c>
      <c r="AF12" s="19"/>
      <c r="AG12" s="19"/>
      <c r="AH12" s="19"/>
      <c r="AI12" s="19"/>
      <c r="AJ12" s="22">
        <f>[1]战斗预期!$C$6/(AK8*[1]战斗预期!$J$3*(1-[1]战斗预期!$E$1))</f>
        <v>27.777777777777775</v>
      </c>
      <c r="AK12" s="22"/>
      <c r="AL12" s="22"/>
      <c r="AM12" s="22"/>
      <c r="AN12" s="22"/>
      <c r="AO12" s="23">
        <f>[1]战斗预期!$C$6/(AP8*[1]战斗预期!$J$3*(1-[1]战斗预期!$E$1))</f>
        <v>27.777777777777775</v>
      </c>
      <c r="AP12" s="23"/>
      <c r="AQ12" s="23"/>
      <c r="AR12" s="23"/>
      <c r="AS12" s="23"/>
    </row>
    <row r="13" spans="1:51" x14ac:dyDescent="0.15">
      <c r="A13" s="2" t="s">
        <v>23</v>
      </c>
      <c r="B13" s="2"/>
      <c r="C13" s="2"/>
      <c r="D13" s="2"/>
      <c r="E13" s="2"/>
      <c r="I13" s="1">
        <v>18028</v>
      </c>
      <c r="J13" s="1">
        <v>53563</v>
      </c>
      <c r="K13" s="1">
        <v>426065</v>
      </c>
      <c r="L13" s="1">
        <f>K13-I16</f>
        <v>301009</v>
      </c>
      <c r="O13" s="40" t="s">
        <v>76</v>
      </c>
      <c r="P13" s="41">
        <f>AT7/(Q7*[1]战斗预期!$J$3*(1-[1]战斗预期!$E$1))</f>
        <v>70.833333333333329</v>
      </c>
      <c r="Q13" s="41"/>
      <c r="R13" s="41"/>
      <c r="S13" s="41"/>
      <c r="T13" s="41"/>
      <c r="U13" s="41">
        <f>AT7/(V7*[1]战斗预期!$J$3*(1-[1]战斗预期!$E$1))</f>
        <v>70.833333333333329</v>
      </c>
      <c r="V13" s="41"/>
      <c r="W13" s="41"/>
      <c r="X13" s="41"/>
      <c r="Y13" s="41"/>
      <c r="Z13" s="41">
        <f>AT7/(AA7*[1]战斗预期!$J$3*(1-[1]战斗预期!$E$1))</f>
        <v>70.833333333333329</v>
      </c>
      <c r="AA13" s="41"/>
      <c r="AB13" s="41"/>
      <c r="AC13" s="41"/>
      <c r="AD13" s="41"/>
      <c r="AE13" s="41">
        <f>AT7/(AF7*[1]战斗预期!$J$3*(1-[1]战斗预期!$E$1))</f>
        <v>70.833333333333329</v>
      </c>
      <c r="AF13" s="41"/>
      <c r="AG13" s="41"/>
      <c r="AH13" s="41"/>
      <c r="AI13" s="41"/>
      <c r="AJ13" s="41">
        <f>AT7/(AK7*[1]战斗预期!$J$3*(1-[1]战斗预期!$E$1))</f>
        <v>70.833333333333329</v>
      </c>
      <c r="AK13" s="41"/>
      <c r="AL13" s="41"/>
      <c r="AM13" s="41"/>
      <c r="AN13" s="41"/>
      <c r="AO13" s="41">
        <f>AT7/(AP7*[1]战斗预期!$J$3*(1-[1]战斗预期!$E$1))</f>
        <v>70.833333333333329</v>
      </c>
      <c r="AP13" s="41"/>
      <c r="AQ13" s="41"/>
      <c r="AR13" s="41"/>
      <c r="AS13" s="41"/>
    </row>
    <row r="14" spans="1:51" x14ac:dyDescent="0.15">
      <c r="A14" s="2" t="s">
        <v>24</v>
      </c>
      <c r="B14" s="2" t="s">
        <v>25</v>
      </c>
      <c r="C14" s="2" t="s">
        <v>26</v>
      </c>
      <c r="D14" s="2" t="s">
        <v>27</v>
      </c>
      <c r="E14" s="2" t="s">
        <v>28</v>
      </c>
      <c r="I14" s="1">
        <v>63346</v>
      </c>
      <c r="J14" s="1">
        <v>63346</v>
      </c>
    </row>
    <row r="15" spans="1:51" x14ac:dyDescent="0.15">
      <c r="A15" s="2">
        <v>0.25</v>
      </c>
      <c r="B15" s="2">
        <v>0.5</v>
      </c>
      <c r="C15" s="2">
        <v>1</v>
      </c>
      <c r="D15" s="2">
        <v>1</v>
      </c>
      <c r="E15" s="2">
        <v>1</v>
      </c>
      <c r="I15" s="1">
        <v>43682</v>
      </c>
      <c r="J15" s="1">
        <v>43682</v>
      </c>
    </row>
    <row r="16" spans="1:51" x14ac:dyDescent="0.15">
      <c r="A16" s="1" t="s">
        <v>15</v>
      </c>
      <c r="I16" s="1">
        <f>SUM(I13:I15)</f>
        <v>125056</v>
      </c>
      <c r="J16" s="1">
        <f>SUM(J13:J15)</f>
        <v>160591</v>
      </c>
      <c r="Q16" s="1">
        <f>P9/1.5</f>
        <v>1.5432098765432096</v>
      </c>
    </row>
    <row r="17" spans="1:20" x14ac:dyDescent="0.15">
      <c r="A17" s="2" t="s">
        <v>1</v>
      </c>
      <c r="B17" s="2" t="s">
        <v>7</v>
      </c>
      <c r="C17" s="2" t="s">
        <v>3</v>
      </c>
      <c r="D17" s="2" t="s">
        <v>4</v>
      </c>
      <c r="E17" s="2" t="s">
        <v>5</v>
      </c>
    </row>
    <row r="18" spans="1:20" x14ac:dyDescent="0.15">
      <c r="A18" s="68">
        <f>A5*[1]战斗预期!C$4*A15/5</f>
        <v>5</v>
      </c>
      <c r="B18" s="68">
        <f>B5*[1]战斗预期!D$4*B15/5</f>
        <v>1</v>
      </c>
      <c r="C18" s="68">
        <f>C5*[1]战斗预期!E$4*C15/5</f>
        <v>1</v>
      </c>
      <c r="D18" s="68">
        <f>D5*[1]战斗预期!F$4*D15/5</f>
        <v>0.8</v>
      </c>
      <c r="E18" s="68">
        <f>E5*[1]战斗预期!G$4*E15/5</f>
        <v>0.8</v>
      </c>
    </row>
    <row r="21" spans="1:20" x14ac:dyDescent="0.15">
      <c r="A21" s="1">
        <f>129*A18</f>
        <v>645</v>
      </c>
      <c r="B21" s="1">
        <f>129*B18*0.4</f>
        <v>51.6</v>
      </c>
      <c r="C21" s="1">
        <f t="shared" ref="C21:E21" si="14">129*C18</f>
        <v>129</v>
      </c>
      <c r="D21" s="1">
        <f t="shared" si="14"/>
        <v>103.2</v>
      </c>
      <c r="E21" s="1">
        <f t="shared" si="14"/>
        <v>103.2</v>
      </c>
    </row>
    <row r="26" spans="1:20" x14ac:dyDescent="0.15">
      <c r="A26" s="1" t="s">
        <v>261</v>
      </c>
      <c r="B26" s="1" t="s">
        <v>262</v>
      </c>
      <c r="C26" s="1" t="s">
        <v>263</v>
      </c>
      <c r="D26" s="1" t="s">
        <v>264</v>
      </c>
      <c r="E26" s="1" t="s">
        <v>265</v>
      </c>
      <c r="G26" s="1" t="s">
        <v>266</v>
      </c>
      <c r="H26" s="1" t="s">
        <v>267</v>
      </c>
      <c r="I26" s="1" t="s">
        <v>250</v>
      </c>
      <c r="J26" s="1" t="s">
        <v>251</v>
      </c>
      <c r="K26" s="1" t="s">
        <v>252</v>
      </c>
      <c r="L26" s="1" t="s">
        <v>253</v>
      </c>
      <c r="M26" s="1" t="s">
        <v>243</v>
      </c>
      <c r="N26" s="1" t="s">
        <v>244</v>
      </c>
    </row>
    <row r="27" spans="1:20" x14ac:dyDescent="0.15">
      <c r="A27" s="1" t="s">
        <v>254</v>
      </c>
      <c r="B27" s="1">
        <v>0</v>
      </c>
      <c r="C27" s="1">
        <v>199</v>
      </c>
      <c r="D27" s="1">
        <v>50</v>
      </c>
      <c r="F27" s="74">
        <f>(C27+1)/D27</f>
        <v>4</v>
      </c>
      <c r="G27" s="74">
        <f>SUM(F$27:F27)/5</f>
        <v>0.8</v>
      </c>
      <c r="H27" s="1">
        <f>SUM(F$27:F27)/10</f>
        <v>0.4</v>
      </c>
      <c r="I27" s="1" t="s">
        <v>245</v>
      </c>
      <c r="J27" s="1">
        <v>1</v>
      </c>
      <c r="K27" s="1">
        <v>200</v>
      </c>
      <c r="L27" s="1">
        <v>299</v>
      </c>
      <c r="M27" s="1">
        <v>50</v>
      </c>
      <c r="N27" s="1">
        <v>-50</v>
      </c>
      <c r="O27" s="1" t="s">
        <v>74</v>
      </c>
      <c r="P27" s="1">
        <v>82</v>
      </c>
    </row>
    <row r="28" spans="1:20" x14ac:dyDescent="0.15">
      <c r="A28" s="1" t="s">
        <v>255</v>
      </c>
      <c r="B28" s="1">
        <v>200</v>
      </c>
      <c r="C28" s="1">
        <f>B29-1</f>
        <v>499</v>
      </c>
      <c r="D28" s="1">
        <v>40</v>
      </c>
      <c r="F28" s="74">
        <f>(C28-C27)/D28</f>
        <v>7.5</v>
      </c>
      <c r="G28" s="74">
        <f>SUM(F$27:F28)/5</f>
        <v>2.2999999999999998</v>
      </c>
      <c r="H28" s="1">
        <f>SUM(F$27:F28)/10</f>
        <v>1.1499999999999999</v>
      </c>
      <c r="I28" s="1" t="s">
        <v>245</v>
      </c>
      <c r="J28" s="1">
        <v>2</v>
      </c>
      <c r="K28" s="1">
        <v>300</v>
      </c>
      <c r="L28" s="1">
        <v>399</v>
      </c>
      <c r="M28" s="1">
        <v>50</v>
      </c>
      <c r="N28" s="1">
        <v>-50</v>
      </c>
      <c r="P28" s="1">
        <v>328</v>
      </c>
      <c r="Q28" s="1">
        <v>23</v>
      </c>
      <c r="R28" s="1">
        <v>82</v>
      </c>
      <c r="S28" s="1">
        <v>66</v>
      </c>
      <c r="T28" s="1">
        <v>66</v>
      </c>
    </row>
    <row r="29" spans="1:20" x14ac:dyDescent="0.15">
      <c r="A29" s="1" t="s">
        <v>256</v>
      </c>
      <c r="B29" s="1">
        <v>500</v>
      </c>
      <c r="C29" s="1">
        <f t="shared" ref="C29:C32" si="15">B30-1</f>
        <v>799</v>
      </c>
      <c r="D29" s="1">
        <v>30</v>
      </c>
      <c r="F29" s="74">
        <f t="shared" ref="F29:F33" si="16">(C29-C28)/D29</f>
        <v>10</v>
      </c>
      <c r="G29" s="74">
        <f>SUM(F$27:F29)/5</f>
        <v>4.3</v>
      </c>
      <c r="H29" s="1">
        <f>SUM(F$27:F29)/10</f>
        <v>2.15</v>
      </c>
      <c r="I29" s="1" t="s">
        <v>245</v>
      </c>
      <c r="J29" s="1">
        <v>3</v>
      </c>
      <c r="K29" s="1">
        <v>400</v>
      </c>
      <c r="L29" s="1">
        <v>499</v>
      </c>
      <c r="M29" s="1">
        <v>50</v>
      </c>
      <c r="N29" s="1">
        <v>-50</v>
      </c>
      <c r="P29" s="1">
        <v>1736</v>
      </c>
      <c r="Q29" s="1">
        <v>173</v>
      </c>
      <c r="R29" s="1">
        <v>88</v>
      </c>
      <c r="S29" s="1">
        <v>68</v>
      </c>
      <c r="T29" s="1">
        <v>68</v>
      </c>
    </row>
    <row r="30" spans="1:20" x14ac:dyDescent="0.15">
      <c r="A30" s="1" t="s">
        <v>257</v>
      </c>
      <c r="B30" s="1">
        <v>800</v>
      </c>
      <c r="C30" s="1">
        <f t="shared" si="15"/>
        <v>1199</v>
      </c>
      <c r="D30" s="1">
        <v>20</v>
      </c>
      <c r="F30" s="74">
        <f t="shared" si="16"/>
        <v>20</v>
      </c>
      <c r="G30" s="74">
        <f>SUM(F$27:F30)/5</f>
        <v>8.3000000000000007</v>
      </c>
      <c r="H30" s="1">
        <f>SUM(F$27:F30)/10</f>
        <v>4.1500000000000004</v>
      </c>
      <c r="I30" s="1" t="s">
        <v>245</v>
      </c>
      <c r="J30" s="1">
        <v>4</v>
      </c>
      <c r="K30" s="1">
        <v>500</v>
      </c>
      <c r="L30" s="1">
        <v>599</v>
      </c>
      <c r="M30" s="1">
        <v>40</v>
      </c>
      <c r="N30" s="1">
        <v>-40</v>
      </c>
      <c r="P30" s="1" t="s">
        <v>29</v>
      </c>
      <c r="Q30" s="1">
        <f>1*R28/(R28+0.667*P27)</f>
        <v>0.59988002399520091</v>
      </c>
      <c r="R30" s="1">
        <f>Q29*(1-Q30)</f>
        <v>69.220755848830237</v>
      </c>
      <c r="S30" s="1">
        <f>R30*1.8</f>
        <v>124.59736052789442</v>
      </c>
    </row>
    <row r="31" spans="1:20" x14ac:dyDescent="0.15">
      <c r="A31" s="1" t="s">
        <v>258</v>
      </c>
      <c r="B31" s="1">
        <v>1200</v>
      </c>
      <c r="C31" s="1">
        <f t="shared" si="15"/>
        <v>1699</v>
      </c>
      <c r="D31" s="1">
        <v>10</v>
      </c>
      <c r="F31" s="74">
        <f t="shared" si="16"/>
        <v>50</v>
      </c>
      <c r="G31" s="74">
        <f>SUM(F$27:F31)/5</f>
        <v>18.3</v>
      </c>
      <c r="H31" s="1">
        <f>SUM(F$27:F31)/10</f>
        <v>9.15</v>
      </c>
      <c r="I31" s="1" t="s">
        <v>245</v>
      </c>
      <c r="J31" s="1">
        <v>5</v>
      </c>
      <c r="K31" s="1">
        <v>600</v>
      </c>
      <c r="L31" s="1">
        <v>699</v>
      </c>
      <c r="M31" s="1">
        <v>40</v>
      </c>
      <c r="N31" s="1">
        <v>-40</v>
      </c>
      <c r="P31" s="1" t="s">
        <v>30</v>
      </c>
      <c r="R31" s="1">
        <f>P28/(R30*1.8)</f>
        <v>2.6324795213183387</v>
      </c>
    </row>
    <row r="32" spans="1:20" x14ac:dyDescent="0.15">
      <c r="A32" s="1" t="s">
        <v>259</v>
      </c>
      <c r="B32" s="1">
        <v>1700</v>
      </c>
      <c r="C32" s="1">
        <f t="shared" si="15"/>
        <v>2199</v>
      </c>
      <c r="D32" s="1">
        <v>5</v>
      </c>
      <c r="F32" s="74">
        <f t="shared" si="16"/>
        <v>100</v>
      </c>
      <c r="G32" s="74">
        <f>SUM(F$27:F32)/5</f>
        <v>38.299999999999997</v>
      </c>
      <c r="H32" s="1">
        <f>SUM(F$27:F32)/10</f>
        <v>19.149999999999999</v>
      </c>
      <c r="I32" s="1" t="s">
        <v>246</v>
      </c>
      <c r="J32" s="1">
        <v>1</v>
      </c>
      <c r="K32" s="1">
        <v>700</v>
      </c>
      <c r="L32" s="1">
        <v>799</v>
      </c>
    </row>
    <row r="33" spans="1:20" x14ac:dyDescent="0.15">
      <c r="A33" s="1" t="s">
        <v>260</v>
      </c>
      <c r="B33" s="1">
        <v>2200</v>
      </c>
      <c r="C33" s="1">
        <v>1000000</v>
      </c>
      <c r="D33" s="1">
        <v>2</v>
      </c>
      <c r="F33" s="74">
        <f t="shared" si="16"/>
        <v>498900.5</v>
      </c>
      <c r="G33" s="74">
        <f>SUM(F$27:F33)/12</f>
        <v>41591</v>
      </c>
      <c r="H33" s="1">
        <f>SUM(F$27:F33)/10</f>
        <v>49909.2</v>
      </c>
      <c r="I33" s="1" t="s">
        <v>246</v>
      </c>
      <c r="J33" s="1">
        <v>2</v>
      </c>
      <c r="K33" s="1">
        <v>800</v>
      </c>
      <c r="L33" s="1">
        <v>899</v>
      </c>
    </row>
    <row r="34" spans="1:20" x14ac:dyDescent="0.15">
      <c r="I34" s="1" t="s">
        <v>246</v>
      </c>
      <c r="J34" s="1">
        <v>3</v>
      </c>
      <c r="K34" s="1">
        <v>900</v>
      </c>
      <c r="L34" s="1">
        <v>999</v>
      </c>
    </row>
    <row r="35" spans="1:20" x14ac:dyDescent="0.15">
      <c r="I35" s="1" t="s">
        <v>246</v>
      </c>
      <c r="J35" s="1">
        <v>4</v>
      </c>
      <c r="K35" s="1">
        <v>1000</v>
      </c>
      <c r="L35" s="1">
        <v>1099</v>
      </c>
      <c r="P35" s="1">
        <f>71*A18</f>
        <v>355</v>
      </c>
    </row>
    <row r="36" spans="1:20" x14ac:dyDescent="0.15">
      <c r="I36" s="1" t="s">
        <v>246</v>
      </c>
      <c r="J36" s="1">
        <v>5</v>
      </c>
      <c r="K36" s="1">
        <v>1100</v>
      </c>
      <c r="L36" s="1">
        <v>1199</v>
      </c>
    </row>
    <row r="37" spans="1:20" x14ac:dyDescent="0.15">
      <c r="I37" s="1" t="s">
        <v>247</v>
      </c>
      <c r="J37" s="1">
        <v>1</v>
      </c>
      <c r="K37" s="1">
        <v>1200</v>
      </c>
      <c r="L37" s="1">
        <v>1299</v>
      </c>
    </row>
    <row r="38" spans="1:20" x14ac:dyDescent="0.15">
      <c r="I38" s="1" t="s">
        <v>247</v>
      </c>
      <c r="J38" s="1">
        <v>2</v>
      </c>
      <c r="K38" s="1">
        <v>1300</v>
      </c>
      <c r="L38" s="1">
        <v>1399</v>
      </c>
    </row>
    <row r="39" spans="1:20" x14ac:dyDescent="0.15">
      <c r="I39" s="1" t="s">
        <v>247</v>
      </c>
      <c r="J39" s="1">
        <v>3</v>
      </c>
      <c r="K39" s="1">
        <v>1400</v>
      </c>
      <c r="L39" s="1">
        <v>1499</v>
      </c>
    </row>
    <row r="40" spans="1:20" x14ac:dyDescent="0.15">
      <c r="I40" s="1" t="s">
        <v>247</v>
      </c>
      <c r="J40" s="1">
        <v>4</v>
      </c>
      <c r="K40" s="1">
        <v>1500</v>
      </c>
      <c r="L40" s="1">
        <v>1599</v>
      </c>
    </row>
    <row r="41" spans="1:20" x14ac:dyDescent="0.15">
      <c r="I41" s="1" t="s">
        <v>247</v>
      </c>
      <c r="J41" s="1">
        <v>5</v>
      </c>
      <c r="K41" s="1">
        <v>1600</v>
      </c>
      <c r="L41" s="1">
        <v>1699</v>
      </c>
      <c r="P41" s="1">
        <v>2036</v>
      </c>
      <c r="Q41" s="1">
        <v>203</v>
      </c>
      <c r="R41" s="1">
        <v>103</v>
      </c>
      <c r="S41" s="1">
        <v>80</v>
      </c>
      <c r="T41" s="1">
        <v>80</v>
      </c>
    </row>
    <row r="42" spans="1:20" x14ac:dyDescent="0.15">
      <c r="I42" s="1" t="s">
        <v>248</v>
      </c>
      <c r="J42" s="1">
        <v>1</v>
      </c>
      <c r="K42" s="1">
        <v>1700</v>
      </c>
      <c r="L42" s="1">
        <v>1799</v>
      </c>
      <c r="P42" s="1">
        <f>P41/[1]战斗预期!C$4</f>
        <v>20.36</v>
      </c>
      <c r="Q42" s="1">
        <f>Q41/[1]战斗预期!D$4</f>
        <v>20.3</v>
      </c>
      <c r="R42" s="1">
        <f>R41/[1]战斗预期!E$4</f>
        <v>20.6</v>
      </c>
      <c r="S42" s="1">
        <f>S41/[1]战斗预期!F$4</f>
        <v>20</v>
      </c>
      <c r="T42" s="1">
        <f>T41/[1]战斗预期!G$4</f>
        <v>20</v>
      </c>
    </row>
    <row r="43" spans="1:20" x14ac:dyDescent="0.15">
      <c r="I43" s="1" t="s">
        <v>248</v>
      </c>
      <c r="J43" s="1">
        <v>2</v>
      </c>
      <c r="K43" s="1">
        <v>1800</v>
      </c>
      <c r="L43" s="1">
        <v>1899</v>
      </c>
    </row>
    <row r="44" spans="1:20" x14ac:dyDescent="0.15">
      <c r="I44" s="1" t="s">
        <v>248</v>
      </c>
      <c r="J44" s="1">
        <v>3</v>
      </c>
      <c r="K44" s="1">
        <v>1900</v>
      </c>
      <c r="L44" s="1">
        <v>1999</v>
      </c>
      <c r="P44" s="1" t="s">
        <v>136</v>
      </c>
      <c r="Q44" s="1">
        <v>105</v>
      </c>
    </row>
    <row r="45" spans="1:20" x14ac:dyDescent="0.15">
      <c r="I45" s="1" t="s">
        <v>248</v>
      </c>
      <c r="J45" s="1">
        <v>4</v>
      </c>
      <c r="K45" s="1">
        <v>2000</v>
      </c>
      <c r="L45" s="1">
        <v>2099</v>
      </c>
      <c r="P45" s="1" t="s">
        <v>132</v>
      </c>
      <c r="Q45" s="1">
        <v>35</v>
      </c>
    </row>
    <row r="46" spans="1:20" x14ac:dyDescent="0.15">
      <c r="I46" s="1" t="s">
        <v>248</v>
      </c>
      <c r="J46" s="1">
        <v>5</v>
      </c>
      <c r="K46" s="1">
        <v>2100</v>
      </c>
      <c r="L46" s="1">
        <v>2199</v>
      </c>
      <c r="P46" s="1" t="s">
        <v>133</v>
      </c>
      <c r="Q46" s="1">
        <v>1</v>
      </c>
    </row>
    <row r="47" spans="1:20" x14ac:dyDescent="0.15">
      <c r="I47" s="1" t="s">
        <v>249</v>
      </c>
      <c r="J47" s="1">
        <v>1</v>
      </c>
      <c r="K47" s="1">
        <v>2200</v>
      </c>
      <c r="L47" s="1">
        <v>2299</v>
      </c>
      <c r="P47" s="1" t="s">
        <v>134</v>
      </c>
      <c r="Q47" s="1">
        <v>35</v>
      </c>
    </row>
    <row r="48" spans="1:20" x14ac:dyDescent="0.15">
      <c r="I48" s="1" t="s">
        <v>249</v>
      </c>
      <c r="J48" s="1">
        <v>2</v>
      </c>
      <c r="K48" s="1">
        <v>2300</v>
      </c>
      <c r="L48" s="1">
        <v>2399</v>
      </c>
      <c r="Q48" s="1">
        <f>1*Q45/(Q45+0+0.429*Q47)</f>
        <v>0.69979006298110569</v>
      </c>
      <c r="R48" s="1">
        <f>1*Q45/(Q45+0+0.429*Q47)</f>
        <v>0.69979006298110569</v>
      </c>
    </row>
    <row r="49" spans="9:18" x14ac:dyDescent="0.15">
      <c r="I49" s="1" t="s">
        <v>249</v>
      </c>
      <c r="J49" s="1">
        <v>3</v>
      </c>
      <c r="K49" s="1">
        <v>2400</v>
      </c>
      <c r="L49" s="1">
        <v>2499</v>
      </c>
    </row>
    <row r="50" spans="9:18" x14ac:dyDescent="0.15">
      <c r="I50" s="1" t="s">
        <v>249</v>
      </c>
      <c r="J50" s="1">
        <v>4</v>
      </c>
      <c r="K50" s="1">
        <v>2500</v>
      </c>
      <c r="L50" s="1">
        <v>2599</v>
      </c>
      <c r="M50" s="1">
        <v>2</v>
      </c>
      <c r="P50" s="1" t="s">
        <v>135</v>
      </c>
      <c r="Q50" s="1">
        <v>142</v>
      </c>
      <c r="R50" s="1">
        <v>147</v>
      </c>
    </row>
    <row r="51" spans="9:18" x14ac:dyDescent="0.15">
      <c r="I51" s="1" t="s">
        <v>249</v>
      </c>
      <c r="J51" s="1">
        <v>5</v>
      </c>
      <c r="K51" s="1">
        <v>2600</v>
      </c>
      <c r="L51" s="1">
        <v>2699</v>
      </c>
      <c r="M51" s="1">
        <v>2</v>
      </c>
      <c r="Q51" s="1">
        <f>2*(Q50*(1-Q48)+57-28)*1</f>
        <v>143.25962211336599</v>
      </c>
    </row>
    <row r="52" spans="9:18" x14ac:dyDescent="0.15">
      <c r="Q52" s="1">
        <f>Q44/(Q51*1.8)</f>
        <v>0.40718614549445248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T107"/>
  <sheetViews>
    <sheetView topLeftCell="T1" workbookViewId="0">
      <selection activeCell="AL24" sqref="AL24"/>
    </sheetView>
  </sheetViews>
  <sheetFormatPr defaultRowHeight="11.25" x14ac:dyDescent="0.15"/>
  <cols>
    <col min="1" max="8" width="15.5" style="1" customWidth="1"/>
    <col min="9" max="57" width="9" style="1"/>
    <col min="58" max="58" width="9.75" style="1" bestFit="1" customWidth="1"/>
    <col min="59" max="16384" width="9" style="1"/>
  </cols>
  <sheetData>
    <row r="1" spans="1:72" x14ac:dyDescent="0.15">
      <c r="A1" s="2" t="s">
        <v>35</v>
      </c>
      <c r="B1" s="2">
        <v>5</v>
      </c>
      <c r="AZ1" s="1" t="s">
        <v>242</v>
      </c>
      <c r="BA1" s="1">
        <v>2</v>
      </c>
    </row>
    <row r="2" spans="1:72" x14ac:dyDescent="0.15">
      <c r="A2" s="2" t="s">
        <v>33</v>
      </c>
      <c r="B2" s="2">
        <v>30</v>
      </c>
      <c r="C2" s="2" t="s">
        <v>87</v>
      </c>
      <c r="D2" s="2">
        <v>24</v>
      </c>
      <c r="E2" s="2" t="s">
        <v>77</v>
      </c>
      <c r="F2" s="2">
        <v>0</v>
      </c>
    </row>
    <row r="3" spans="1:72" x14ac:dyDescent="0.15">
      <c r="C3" s="2" t="s">
        <v>88</v>
      </c>
      <c r="D3" s="2">
        <v>4</v>
      </c>
      <c r="E3" s="2" t="s">
        <v>78</v>
      </c>
      <c r="F3" s="2">
        <v>30</v>
      </c>
      <c r="I3" s="1">
        <f>1487*2+25</f>
        <v>2999</v>
      </c>
      <c r="J3" s="1">
        <f>I3+560</f>
        <v>3559</v>
      </c>
    </row>
    <row r="4" spans="1:72" x14ac:dyDescent="0.15">
      <c r="A4" s="24" t="s">
        <v>36</v>
      </c>
      <c r="B4" s="24" t="s">
        <v>80</v>
      </c>
      <c r="C4" s="24" t="s">
        <v>81</v>
      </c>
      <c r="D4" s="24" t="s">
        <v>82</v>
      </c>
      <c r="E4" s="24" t="s">
        <v>83</v>
      </c>
      <c r="F4" s="24" t="s">
        <v>84</v>
      </c>
    </row>
    <row r="5" spans="1:72" x14ac:dyDescent="0.15">
      <c r="A5" s="24">
        <v>1</v>
      </c>
      <c r="B5" s="25">
        <v>1</v>
      </c>
      <c r="C5" s="25">
        <v>0</v>
      </c>
      <c r="D5" s="42">
        <v>0</v>
      </c>
      <c r="E5" s="25">
        <v>0</v>
      </c>
      <c r="F5" s="25">
        <v>0</v>
      </c>
      <c r="L5" s="82" t="s">
        <v>137</v>
      </c>
      <c r="M5" s="82"/>
      <c r="N5" s="82"/>
      <c r="O5" s="82" t="s">
        <v>138</v>
      </c>
      <c r="P5" s="82"/>
      <c r="Q5" s="82"/>
      <c r="T5" s="82" t="s">
        <v>198</v>
      </c>
      <c r="U5" s="82"/>
      <c r="V5" s="82"/>
      <c r="W5" s="82"/>
      <c r="X5" s="82"/>
      <c r="Y5" s="55" t="s">
        <v>209</v>
      </c>
      <c r="Z5" s="76" t="s">
        <v>286</v>
      </c>
      <c r="AA5" s="76" t="s">
        <v>287</v>
      </c>
      <c r="AC5" s="40" t="s">
        <v>137</v>
      </c>
      <c r="AD5" s="40" t="s">
        <v>139</v>
      </c>
      <c r="AM5" s="82" t="s">
        <v>145</v>
      </c>
      <c r="AN5" s="82"/>
      <c r="AO5" s="82"/>
      <c r="AP5" s="82"/>
      <c r="AQ5" s="82"/>
      <c r="AR5" s="82" t="s">
        <v>146</v>
      </c>
      <c r="AS5" s="82"/>
      <c r="AT5" s="82"/>
      <c r="AU5" s="82"/>
      <c r="AV5" s="82"/>
      <c r="AW5" s="82" t="s">
        <v>157</v>
      </c>
      <c r="AX5" s="82"/>
      <c r="AY5" s="82"/>
      <c r="AZ5" s="82"/>
      <c r="BA5" s="82"/>
      <c r="BB5" s="46"/>
      <c r="BG5" s="47" t="s">
        <v>153</v>
      </c>
    </row>
    <row r="6" spans="1:72" ht="13.5" customHeight="1" x14ac:dyDescent="0.15">
      <c r="A6" s="24">
        <v>5</v>
      </c>
      <c r="B6" s="43">
        <v>1.5</v>
      </c>
      <c r="C6" s="25">
        <v>0.5</v>
      </c>
      <c r="D6" s="42">
        <v>1.5</v>
      </c>
      <c r="E6" s="25">
        <v>2</v>
      </c>
      <c r="F6" s="25">
        <v>36</v>
      </c>
      <c r="I6" s="84" t="s">
        <v>31</v>
      </c>
      <c r="J6" s="84" t="s">
        <v>32</v>
      </c>
      <c r="K6" s="78" t="s">
        <v>42</v>
      </c>
      <c r="L6" s="86" t="s">
        <v>73</v>
      </c>
      <c r="M6" s="78" t="s">
        <v>41</v>
      </c>
      <c r="N6" s="78" t="s">
        <v>37</v>
      </c>
      <c r="O6" s="86" t="s">
        <v>73</v>
      </c>
      <c r="P6" s="78" t="s">
        <v>41</v>
      </c>
      <c r="Q6" s="78" t="s">
        <v>37</v>
      </c>
      <c r="R6" s="86" t="s">
        <v>47</v>
      </c>
      <c r="S6" s="86" t="s">
        <v>48</v>
      </c>
      <c r="T6" s="86" t="s">
        <v>199</v>
      </c>
      <c r="U6" s="86" t="s">
        <v>200</v>
      </c>
      <c r="V6" s="86" t="s">
        <v>201</v>
      </c>
      <c r="W6" s="86" t="s">
        <v>202</v>
      </c>
      <c r="X6" s="86" t="s">
        <v>203</v>
      </c>
      <c r="Y6" s="86" t="s">
        <v>214</v>
      </c>
      <c r="Z6" s="86" t="s">
        <v>277</v>
      </c>
      <c r="AA6" s="86" t="s">
        <v>288</v>
      </c>
      <c r="AB6" s="85" t="s">
        <v>34</v>
      </c>
      <c r="AC6" s="85" t="s">
        <v>43</v>
      </c>
      <c r="AD6" s="85" t="s">
        <v>43</v>
      </c>
      <c r="AE6" s="88" t="s">
        <v>49</v>
      </c>
      <c r="AF6" s="88" t="s">
        <v>204</v>
      </c>
      <c r="AG6" s="88" t="s">
        <v>289</v>
      </c>
      <c r="AH6" s="85" t="s">
        <v>44</v>
      </c>
      <c r="AI6" s="88" t="s">
        <v>228</v>
      </c>
      <c r="AJ6" s="88" t="s">
        <v>212</v>
      </c>
      <c r="AK6" s="85" t="s">
        <v>90</v>
      </c>
      <c r="AL6" s="90" t="s">
        <v>89</v>
      </c>
      <c r="AM6" s="83" t="s">
        <v>140</v>
      </c>
      <c r="AN6" s="83" t="s">
        <v>141</v>
      </c>
      <c r="AO6" s="83" t="s">
        <v>142</v>
      </c>
      <c r="AP6" s="83" t="s">
        <v>143</v>
      </c>
      <c r="AQ6" s="83" t="s">
        <v>144</v>
      </c>
      <c r="AR6" s="83" t="s">
        <v>140</v>
      </c>
      <c r="AS6" s="83" t="s">
        <v>141</v>
      </c>
      <c r="AT6" s="83" t="s">
        <v>142</v>
      </c>
      <c r="AU6" s="83" t="s">
        <v>143</v>
      </c>
      <c r="AV6" s="83" t="s">
        <v>144</v>
      </c>
      <c r="AW6" s="83" t="s">
        <v>140</v>
      </c>
      <c r="AX6" s="83" t="s">
        <v>141</v>
      </c>
      <c r="AY6" s="83" t="s">
        <v>142</v>
      </c>
      <c r="AZ6" s="83" t="s">
        <v>143</v>
      </c>
      <c r="BA6" s="83" t="s">
        <v>144</v>
      </c>
      <c r="BB6" s="80" t="s">
        <v>148</v>
      </c>
      <c r="BC6" s="79" t="s">
        <v>147</v>
      </c>
      <c r="BD6" s="79" t="s">
        <v>150</v>
      </c>
      <c r="BE6" s="83" t="s">
        <v>149</v>
      </c>
      <c r="BF6" s="83" t="s">
        <v>151</v>
      </c>
      <c r="BG6" s="79" t="s">
        <v>152</v>
      </c>
      <c r="BH6" s="79" t="s">
        <v>154</v>
      </c>
      <c r="BI6" s="80" t="s">
        <v>240</v>
      </c>
      <c r="BJ6" s="78" t="s">
        <v>155</v>
      </c>
      <c r="BK6" s="78" t="s">
        <v>156</v>
      </c>
      <c r="BL6" s="78" t="s">
        <v>241</v>
      </c>
      <c r="BO6" s="27" t="s">
        <v>277</v>
      </c>
      <c r="BP6" s="27" t="s">
        <v>278</v>
      </c>
      <c r="BQ6" s="27" t="s">
        <v>279</v>
      </c>
      <c r="BR6" s="27" t="s">
        <v>280</v>
      </c>
      <c r="BS6" s="27" t="s">
        <v>281</v>
      </c>
      <c r="BT6" s="27" t="s">
        <v>282</v>
      </c>
    </row>
    <row r="7" spans="1:72" x14ac:dyDescent="0.15">
      <c r="A7" s="26">
        <v>10</v>
      </c>
      <c r="B7" s="43">
        <v>2</v>
      </c>
      <c r="C7" s="25">
        <v>1</v>
      </c>
      <c r="D7" s="42">
        <v>3</v>
      </c>
      <c r="E7" s="25">
        <v>4</v>
      </c>
      <c r="F7" s="25">
        <v>72</v>
      </c>
      <c r="I7" s="84"/>
      <c r="J7" s="84"/>
      <c r="K7" s="78"/>
      <c r="L7" s="87"/>
      <c r="M7" s="78"/>
      <c r="N7" s="78"/>
      <c r="O7" s="87"/>
      <c r="P7" s="78"/>
      <c r="Q7" s="78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5"/>
      <c r="AD7" s="85"/>
      <c r="AE7" s="89"/>
      <c r="AF7" s="89"/>
      <c r="AG7" s="89"/>
      <c r="AH7" s="85"/>
      <c r="AI7" s="89"/>
      <c r="AJ7" s="89"/>
      <c r="AK7" s="85"/>
      <c r="AL7" s="90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1"/>
      <c r="BC7" s="79"/>
      <c r="BD7" s="79"/>
      <c r="BE7" s="83"/>
      <c r="BF7" s="83"/>
      <c r="BG7" s="79"/>
      <c r="BH7" s="79"/>
      <c r="BI7" s="81"/>
      <c r="BJ7" s="78"/>
      <c r="BK7" s="78"/>
      <c r="BL7" s="78"/>
      <c r="BO7" s="2">
        <v>10</v>
      </c>
      <c r="BP7" s="2">
        <f>AB17</f>
        <v>80</v>
      </c>
      <c r="BQ7" s="28">
        <f>AC17+AD17</f>
        <v>116</v>
      </c>
      <c r="BR7" s="28">
        <f>AE17</f>
        <v>0</v>
      </c>
      <c r="BS7" s="28">
        <f t="shared" ref="BS7:BT7" si="0">AF17</f>
        <v>0</v>
      </c>
      <c r="BT7" s="28">
        <f t="shared" si="0"/>
        <v>0</v>
      </c>
    </row>
    <row r="8" spans="1:72" x14ac:dyDescent="0.15">
      <c r="A8" s="24">
        <v>15</v>
      </c>
      <c r="B8" s="43">
        <v>2.5</v>
      </c>
      <c r="C8" s="25">
        <v>1.5</v>
      </c>
      <c r="D8" s="42">
        <v>5.5</v>
      </c>
      <c r="E8" s="25">
        <v>6</v>
      </c>
      <c r="F8" s="25">
        <v>132</v>
      </c>
      <c r="I8" s="29">
        <v>1</v>
      </c>
      <c r="J8" s="29">
        <f>[1]属性成长!$D8</f>
        <v>5</v>
      </c>
      <c r="K8" s="27">
        <v>1</v>
      </c>
      <c r="L8" s="27">
        <v>1</v>
      </c>
      <c r="M8" s="27">
        <f t="shared" ref="M8:M39" si="1">INDEX($A$5:$A$25,MATCH(L8,$A$5:$A$25,1),1)</f>
        <v>1</v>
      </c>
      <c r="N8" s="27">
        <v>0</v>
      </c>
      <c r="O8" s="27">
        <v>1</v>
      </c>
      <c r="P8" s="27">
        <v>1</v>
      </c>
      <c r="Q8" s="27">
        <v>0</v>
      </c>
      <c r="R8" s="27">
        <v>1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1</v>
      </c>
      <c r="Z8" s="27">
        <v>1</v>
      </c>
      <c r="AA8" s="27">
        <v>0</v>
      </c>
      <c r="AB8" s="2">
        <f t="shared" ref="AB8:AB39" si="2">VLOOKUP(K8,$I$8:$J$107,2,FALSE)+$B$2</f>
        <v>35</v>
      </c>
      <c r="AC8" s="28">
        <f t="shared" ref="AC8:AC39" si="3">ROUND(5/9*($D$2+D$3/B$1*J$8),0)*(1+VLOOKUP(M8,$A$5:$F$25,4,FALSE)+VLOOKUP(N8,$A$28:$E$34,3,FALSE))+5/9*$D$3/$B$1*(VLOOKUP(L8,$I$8:$J$107,2,FALSE)-J$8)*(1+VLOOKUP(M8,$A$5:$F$25,3,FALSE)+VLOOKUP(N8,$A$28:$E$34,2,FALSE))</f>
        <v>16</v>
      </c>
      <c r="AD8" s="28">
        <f t="shared" ref="AD8:AD39" si="4">ROUND(4/9*($D$2+D$3/B$1*J$8),0)*(1+VLOOKUP(P8,$A$5:$F$25,4,FALSE)+VLOOKUP(Q8,$A$28:$E$34,3,FALSE))+4/9*$D$3/$B$1*(VLOOKUP(O8,$I$8:$J$107,2,FALSE)-J$8)*(1+VLOOKUP(P8,$A$5:$F$25,3,FALSE)+VLOOKUP(Q8,$A$28:$E$34,2,FALSE))</f>
        <v>12</v>
      </c>
      <c r="AE8" s="28">
        <f t="shared" ref="AE8:AE39" si="5">VLOOKUP(R8,$A$37:$C$46,3,FALSE)*S8</f>
        <v>0</v>
      </c>
      <c r="AF8" s="28">
        <f>INDEX(圣火属性!$I$3:$I$53,MATCH(T8,圣火属性!$B$3:$B$53,0),1)+INDEX(圣火属性!$J$3:$J$53,MATCH(U8,圣火属性!$B$3:$B$53,0),1)+INDEX(圣火属性!$K$3:$K$53,MATCH(V8,圣火属性!$B$3:$B$53,0),1)+INDEX(圣火属性!$L$3:$L$53,MATCH(W8,圣火属性!$B$3:$B$53,0),1)+INDEX(圣火属性!$M$3:$M$53,MATCH(X8,圣火属性!$B$3:$B$53,0),1)</f>
        <v>0</v>
      </c>
      <c r="AG8" s="28">
        <f>AA8*VLOOKUP(Z8,神器属性!$B$4:$D$13,3,FALSE)</f>
        <v>0</v>
      </c>
      <c r="AH8" s="36">
        <f>ROUND(SUM(AB8:AF8),0)</f>
        <v>63</v>
      </c>
      <c r="AI8" s="36">
        <f>AH8*10*(1+VLOOKUP(Y8,技能效果!$B$2:$D$101,3,FALSE))</f>
        <v>630</v>
      </c>
      <c r="AJ8" s="36">
        <f t="shared" ref="AJ8:AJ39" si="6">0.0163*I8^3 + 0.15*I8^2 + 8.893*I8^1 + 54.017</f>
        <v>63.076300000000003</v>
      </c>
      <c r="AK8" s="2">
        <v>0.7</v>
      </c>
      <c r="AL8" s="28">
        <v>90</v>
      </c>
      <c r="AM8" s="28">
        <f>$AH8/5*[1]战斗预期!C$4</f>
        <v>1260</v>
      </c>
      <c r="AN8" s="28">
        <f>$AH8/5*[1]战斗预期!D$4</f>
        <v>126</v>
      </c>
      <c r="AO8" s="28">
        <f>$AH8/5*[1]战斗预期!E$4</f>
        <v>63</v>
      </c>
      <c r="AP8" s="28">
        <f>$AH8/5*[1]战斗预期!F$4</f>
        <v>50.4</v>
      </c>
      <c r="AQ8" s="28">
        <f>$AH8/5*[1]战斗预期!G$4</f>
        <v>50.4</v>
      </c>
      <c r="AR8" s="28">
        <f>$AL8*怪物属性规划!A$18*怪物属性等级系数!A2</f>
        <v>450</v>
      </c>
      <c r="AS8" s="28">
        <f>$AL8*怪物属性规划!B$18</f>
        <v>90</v>
      </c>
      <c r="AT8" s="28">
        <f>$AL8*怪物属性规划!C$18</f>
        <v>90</v>
      </c>
      <c r="AU8" s="28">
        <f>$AL8*怪物属性规划!D$18</f>
        <v>72</v>
      </c>
      <c r="AV8" s="28">
        <f>$AL8*怪物属性规划!E$18</f>
        <v>72</v>
      </c>
      <c r="AW8" s="28">
        <v>0</v>
      </c>
      <c r="AX8" s="28">
        <v>0</v>
      </c>
      <c r="AY8" s="28">
        <v>0</v>
      </c>
      <c r="AZ8" s="28">
        <v>-4</v>
      </c>
      <c r="BA8" s="28">
        <v>10</v>
      </c>
      <c r="BB8" s="48">
        <f>[2]技能伤害!$C3</f>
        <v>1</v>
      </c>
      <c r="BC8" s="2">
        <f>[2]技能伤害!$N3</f>
        <v>44</v>
      </c>
      <c r="BD8" s="2">
        <f>[2]技能伤害!$L3</f>
        <v>63</v>
      </c>
      <c r="BE8" s="48">
        <f t="shared" ref="BE8:BE39" si="7">1*(AT8+AY8)/((AT8+AY8)+0+0.429*BC8)</f>
        <v>0.82662845806238283</v>
      </c>
      <c r="BF8" s="48">
        <f t="shared" ref="BF8:BF39" si="8">1*AO8/(AO8+0+0.429*BD8)</f>
        <v>0.69979006298110569</v>
      </c>
      <c r="BG8" s="28">
        <f>BB8*$BA$1*(AN8*(1-BE8)+MAX(AQ8-(AU8+AZ8),0))</f>
        <v>43.689628568279524</v>
      </c>
      <c r="BH8" s="28">
        <f>$BA$1*(AS8*(1-BF8)+MAX((AV8+BA8)-AP8,0))</f>
        <v>117.23778866340098</v>
      </c>
      <c r="BI8" s="28">
        <f>BB8*$BA$1*(AN8*(1-BF8)+MAX(AQ8-(AP8),0))</f>
        <v>75.652904128761364</v>
      </c>
      <c r="BJ8" s="49">
        <f t="shared" ref="BJ8:BJ39" si="9">AR8/(BG8*1.8)</f>
        <v>5.7221818585454924</v>
      </c>
      <c r="BK8" s="49">
        <f t="shared" ref="BK8:BK39" si="10">AM8/MAX(BH8*1,1)</f>
        <v>10.747387974175803</v>
      </c>
      <c r="BL8" s="49">
        <f>AM8/(BI8*1.8)</f>
        <v>9.2527842527842541</v>
      </c>
      <c r="BO8" s="2">
        <v>30</v>
      </c>
      <c r="BP8" s="2">
        <f>AB37</f>
        <v>180</v>
      </c>
      <c r="BQ8" s="28">
        <f>AC37+AD37</f>
        <v>1476</v>
      </c>
      <c r="BR8" s="28">
        <f>AE37</f>
        <v>0</v>
      </c>
      <c r="BS8" s="28">
        <f t="shared" ref="BS8:BT8" si="11">AF37</f>
        <v>157.5</v>
      </c>
      <c r="BT8" s="28">
        <f t="shared" si="11"/>
        <v>42.4</v>
      </c>
    </row>
    <row r="9" spans="1:72" x14ac:dyDescent="0.15">
      <c r="A9" s="24">
        <v>20</v>
      </c>
      <c r="B9" s="43">
        <v>3</v>
      </c>
      <c r="C9" s="25">
        <v>2</v>
      </c>
      <c r="D9" s="42">
        <v>9</v>
      </c>
      <c r="E9" s="25">
        <v>8</v>
      </c>
      <c r="F9" s="25">
        <v>216</v>
      </c>
      <c r="I9" s="29">
        <v>2</v>
      </c>
      <c r="J9" s="29">
        <f>[1]属性成长!$D9</f>
        <v>10</v>
      </c>
      <c r="K9" s="27">
        <v>2</v>
      </c>
      <c r="L9" s="27">
        <v>2</v>
      </c>
      <c r="M9" s="27">
        <f t="shared" si="1"/>
        <v>1</v>
      </c>
      <c r="N9" s="27">
        <v>0</v>
      </c>
      <c r="O9" s="27">
        <v>1</v>
      </c>
      <c r="P9" s="27">
        <v>1</v>
      </c>
      <c r="Q9" s="27">
        <v>0</v>
      </c>
      <c r="R9" s="27">
        <v>1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1</v>
      </c>
      <c r="Z9" s="27">
        <v>1</v>
      </c>
      <c r="AA9" s="27">
        <v>0</v>
      </c>
      <c r="AB9" s="2">
        <f t="shared" si="2"/>
        <v>40</v>
      </c>
      <c r="AC9" s="28">
        <f t="shared" si="3"/>
        <v>18.222222222222221</v>
      </c>
      <c r="AD9" s="28">
        <f t="shared" si="4"/>
        <v>12</v>
      </c>
      <c r="AE9" s="28">
        <f t="shared" si="5"/>
        <v>0</v>
      </c>
      <c r="AF9" s="28">
        <f>INDEX(圣火属性!$I$3:$I$53,MATCH(T9,圣火属性!$B$3:$B$53,0),1)+INDEX(圣火属性!$J$3:$J$53,MATCH(U9,圣火属性!$B$3:$B$53,0),1)+INDEX(圣火属性!$K$3:$K$53,MATCH(V9,圣火属性!$B$3:$B$53,0),1)+INDEX(圣火属性!$L$3:$L$53,MATCH(W9,圣火属性!$B$3:$B$53,0),1)+INDEX(圣火属性!$M$3:$M$53,MATCH(X9,圣火属性!$B$3:$B$53,0),1)</f>
        <v>0</v>
      </c>
      <c r="AG9" s="28">
        <f>AA9*VLOOKUP(Z9,神器属性!$B$4:$D$13,3,FALSE)</f>
        <v>0</v>
      </c>
      <c r="AH9" s="36">
        <f t="shared" ref="AH9:AH28" si="12">ROUND(SUM(AB9:AF9),0)</f>
        <v>70</v>
      </c>
      <c r="AI9" s="36">
        <f>AH9*10*(1+VLOOKUP(Y9,技能效果!$B$2:$D$101,3,FALSE))</f>
        <v>700</v>
      </c>
      <c r="AJ9" s="36">
        <f t="shared" si="6"/>
        <v>72.5334</v>
      </c>
      <c r="AK9" s="2">
        <v>0.75</v>
      </c>
      <c r="AL9" s="28">
        <f t="shared" ref="AL9:AL72" si="13">ROUND(AJ9*AK9,0)</f>
        <v>54</v>
      </c>
      <c r="AM9" s="28">
        <f>$AH9/5*[1]战斗预期!C$4</f>
        <v>1400</v>
      </c>
      <c r="AN9" s="28">
        <f>$AH9/5*[1]战斗预期!D$4</f>
        <v>140</v>
      </c>
      <c r="AO9" s="28">
        <f>$AH9/5*[1]战斗预期!E$4</f>
        <v>70</v>
      </c>
      <c r="AP9" s="28">
        <f>$AH9/5*[1]战斗预期!F$4</f>
        <v>56</v>
      </c>
      <c r="AQ9" s="28">
        <f>$AH9/5*[1]战斗预期!G$4</f>
        <v>56</v>
      </c>
      <c r="AR9" s="28">
        <f>$AL9*怪物属性规划!A$18*怪物属性等级系数!A3</f>
        <v>277.0905171627719</v>
      </c>
      <c r="AS9" s="28">
        <f>$AL9*怪物属性规划!B$18</f>
        <v>54</v>
      </c>
      <c r="AT9" s="28">
        <f>$AL9*怪物属性规划!C$18</f>
        <v>54</v>
      </c>
      <c r="AU9" s="28">
        <f>$AL9*怪物属性规划!D$18</f>
        <v>43.2</v>
      </c>
      <c r="AV9" s="28">
        <f>$AL9*怪物属性规划!E$18</f>
        <v>43.2</v>
      </c>
      <c r="AW9" s="28">
        <v>0</v>
      </c>
      <c r="AX9" s="28">
        <v>0</v>
      </c>
      <c r="AY9" s="28">
        <v>0</v>
      </c>
      <c r="AZ9" s="28">
        <v>-8</v>
      </c>
      <c r="BA9" s="28">
        <v>8</v>
      </c>
      <c r="BB9" s="48">
        <f>[2]技能伤害!$C4</f>
        <v>1.01</v>
      </c>
      <c r="BC9" s="2">
        <f>[2]技能伤害!$N4</f>
        <v>55</v>
      </c>
      <c r="BD9" s="2">
        <f>[2]技能伤害!$L4</f>
        <v>69</v>
      </c>
      <c r="BE9" s="48">
        <f t="shared" si="7"/>
        <v>0.69592112893872027</v>
      </c>
      <c r="BF9" s="48">
        <f t="shared" si="8"/>
        <v>0.70280418871296468</v>
      </c>
      <c r="BG9" s="28">
        <f t="shared" ref="BG9:BG72" si="14">BB9*$BA$1*(AN9*(1-BE9)+MAX(AQ9-(AU9+AZ9),0))</f>
        <v>128.00950473612991</v>
      </c>
      <c r="BH9" s="28">
        <f t="shared" ref="BH9:BH72" si="15">$BA$1*(AS9*(1-BF9)+MAX((AV9+BA9)-AP9,0))</f>
        <v>32.097147618999813</v>
      </c>
      <c r="BI9" s="28">
        <f t="shared" ref="BI9:BI72" si="16">BB9*$BA$1*(AN9*(1-BF9)+MAX(AQ9-(AP9),0))</f>
        <v>84.046975431973593</v>
      </c>
      <c r="BJ9" s="49">
        <f t="shared" si="9"/>
        <v>1.202560517040197</v>
      </c>
      <c r="BK9" s="49">
        <f t="shared" si="10"/>
        <v>43.617582989563658</v>
      </c>
      <c r="BL9" s="49">
        <f t="shared" ref="BL9:BL72" si="17">AM9/(BI9*1.8)</f>
        <v>9.2540840854802671</v>
      </c>
      <c r="BO9" s="2">
        <v>50</v>
      </c>
      <c r="BP9" s="2">
        <f>AB57</f>
        <v>280</v>
      </c>
      <c r="BQ9" s="28">
        <f>AC57+AD57</f>
        <v>4230.0969920039533</v>
      </c>
      <c r="BR9" s="28">
        <f>AE57</f>
        <v>1184.711111111111</v>
      </c>
      <c r="BS9" s="28">
        <f t="shared" ref="BS9:BT9" si="18">AF57</f>
        <v>952.5</v>
      </c>
      <c r="BT9" s="28">
        <f t="shared" si="18"/>
        <v>848</v>
      </c>
    </row>
    <row r="10" spans="1:72" x14ac:dyDescent="0.15">
      <c r="A10" s="26">
        <v>25</v>
      </c>
      <c r="B10" s="43">
        <v>3.5</v>
      </c>
      <c r="C10" s="25">
        <v>2.5</v>
      </c>
      <c r="D10" s="42">
        <v>14</v>
      </c>
      <c r="E10" s="25">
        <v>10</v>
      </c>
      <c r="F10" s="25">
        <v>336</v>
      </c>
      <c r="I10" s="29">
        <v>3</v>
      </c>
      <c r="J10" s="29">
        <f>[1]属性成长!$D10</f>
        <v>15</v>
      </c>
      <c r="K10" s="27">
        <v>3</v>
      </c>
      <c r="L10" s="27">
        <v>3</v>
      </c>
      <c r="M10" s="27">
        <f t="shared" si="1"/>
        <v>1</v>
      </c>
      <c r="N10" s="27">
        <v>0</v>
      </c>
      <c r="O10" s="27">
        <v>1</v>
      </c>
      <c r="P10" s="27">
        <v>1</v>
      </c>
      <c r="Q10" s="27">
        <v>0</v>
      </c>
      <c r="R10" s="27">
        <v>1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1</v>
      </c>
      <c r="Z10" s="27">
        <v>1</v>
      </c>
      <c r="AA10" s="27">
        <v>0</v>
      </c>
      <c r="AB10" s="2">
        <f t="shared" si="2"/>
        <v>45</v>
      </c>
      <c r="AC10" s="28">
        <f t="shared" si="3"/>
        <v>20.444444444444443</v>
      </c>
      <c r="AD10" s="28">
        <f t="shared" si="4"/>
        <v>12</v>
      </c>
      <c r="AE10" s="28">
        <f t="shared" si="5"/>
        <v>0</v>
      </c>
      <c r="AF10" s="28">
        <f>INDEX(圣火属性!$I$3:$I$53,MATCH(T10,圣火属性!$B$3:$B$53,0),1)+INDEX(圣火属性!$J$3:$J$53,MATCH(U10,圣火属性!$B$3:$B$53,0),1)+INDEX(圣火属性!$K$3:$K$53,MATCH(V10,圣火属性!$B$3:$B$53,0),1)+INDEX(圣火属性!$L$3:$L$53,MATCH(W10,圣火属性!$B$3:$B$53,0),1)+INDEX(圣火属性!$M$3:$M$53,MATCH(X10,圣火属性!$B$3:$B$53,0),1)</f>
        <v>0</v>
      </c>
      <c r="AG10" s="28">
        <f>AA10*VLOOKUP(Z10,神器属性!$B$4:$D$13,3,FALSE)</f>
        <v>0</v>
      </c>
      <c r="AH10" s="36">
        <f t="shared" si="12"/>
        <v>77</v>
      </c>
      <c r="AI10" s="36">
        <f>AH10*10*(1+VLOOKUP(Y10,技能效果!$B$2:$D$101,3,FALSE))</f>
        <v>770</v>
      </c>
      <c r="AJ10" s="36">
        <f t="shared" si="6"/>
        <v>82.486100000000008</v>
      </c>
      <c r="AK10" s="2">
        <v>0.8</v>
      </c>
      <c r="AL10" s="28">
        <f t="shared" si="13"/>
        <v>66</v>
      </c>
      <c r="AM10" s="28">
        <f>$AH10/5*[1]战斗预期!C$4</f>
        <v>1540</v>
      </c>
      <c r="AN10" s="28">
        <f>$AH10/5*[1]战斗预期!D$4</f>
        <v>154</v>
      </c>
      <c r="AO10" s="28">
        <f>$AH10/5*[1]战斗预期!E$4</f>
        <v>77</v>
      </c>
      <c r="AP10" s="28">
        <f>$AH10/5*[1]战斗预期!F$4</f>
        <v>61.6</v>
      </c>
      <c r="AQ10" s="28">
        <f>$AH10/5*[1]战斗预期!G$4</f>
        <v>61.6</v>
      </c>
      <c r="AR10" s="28">
        <f>$AL10*怪物属性规划!A$18*怪物属性等级系数!A4</f>
        <v>344.30305131761429</v>
      </c>
      <c r="AS10" s="28">
        <f>$AL10*怪物属性规划!B$18</f>
        <v>66</v>
      </c>
      <c r="AT10" s="28">
        <f>$AL10*怪物属性规划!C$18</f>
        <v>66</v>
      </c>
      <c r="AU10" s="28">
        <f>$AL10*怪物属性规划!D$18</f>
        <v>52.800000000000004</v>
      </c>
      <c r="AV10" s="28">
        <f>$AL10*怪物属性规划!E$18</f>
        <v>52.800000000000004</v>
      </c>
      <c r="AW10" s="28">
        <v>0</v>
      </c>
      <c r="AX10" s="28">
        <v>0</v>
      </c>
      <c r="AY10" s="28">
        <v>0</v>
      </c>
      <c r="AZ10" s="28">
        <v>-12</v>
      </c>
      <c r="BA10" s="28">
        <v>7</v>
      </c>
      <c r="BB10" s="48">
        <f>[2]技能伤害!$C5</f>
        <v>1.02</v>
      </c>
      <c r="BC10" s="2">
        <f>[2]技能伤害!$N5</f>
        <v>68</v>
      </c>
      <c r="BD10" s="2">
        <f>[2]技能伤害!$L5</f>
        <v>75</v>
      </c>
      <c r="BE10" s="48">
        <f t="shared" si="7"/>
        <v>0.69348127600554788</v>
      </c>
      <c r="BF10" s="48">
        <f t="shared" si="8"/>
        <v>0.70528967254408059</v>
      </c>
      <c r="BG10" s="28">
        <f t="shared" si="14"/>
        <v>138.72792233009707</v>
      </c>
      <c r="BH10" s="28">
        <f t="shared" si="15"/>
        <v>38.901763224181359</v>
      </c>
      <c r="BI10" s="28">
        <f t="shared" si="16"/>
        <v>92.586196473551638</v>
      </c>
      <c r="BJ10" s="49">
        <f t="shared" si="9"/>
        <v>1.3788101900574057</v>
      </c>
      <c r="BK10" s="49">
        <f t="shared" si="10"/>
        <v>39.586894586894587</v>
      </c>
      <c r="BL10" s="49">
        <f t="shared" si="17"/>
        <v>9.2406383256056461</v>
      </c>
      <c r="BO10" s="2">
        <v>70</v>
      </c>
      <c r="BP10" s="2">
        <f>AB77</f>
        <v>380</v>
      </c>
      <c r="BQ10" s="28">
        <f>AC77+AD77</f>
        <v>7756.5302950263167</v>
      </c>
      <c r="BR10" s="28">
        <f>AE77</f>
        <v>6272</v>
      </c>
      <c r="BS10" s="28">
        <f t="shared" ref="BS10:BT10" si="19">AF77</f>
        <v>2385</v>
      </c>
      <c r="BT10" s="28">
        <f t="shared" si="19"/>
        <v>3052.7999999999997</v>
      </c>
    </row>
    <row r="11" spans="1:72" x14ac:dyDescent="0.15">
      <c r="A11" s="24">
        <v>30</v>
      </c>
      <c r="B11" s="43">
        <v>4</v>
      </c>
      <c r="C11" s="25">
        <v>3</v>
      </c>
      <c r="D11" s="42">
        <v>21</v>
      </c>
      <c r="E11" s="25">
        <v>12</v>
      </c>
      <c r="F11" s="25">
        <v>504</v>
      </c>
      <c r="I11" s="29">
        <v>4</v>
      </c>
      <c r="J11" s="29">
        <f>[1]属性成长!$D11</f>
        <v>20</v>
      </c>
      <c r="K11" s="27">
        <v>4</v>
      </c>
      <c r="L11" s="27">
        <v>4</v>
      </c>
      <c r="M11" s="27">
        <f t="shared" si="1"/>
        <v>1</v>
      </c>
      <c r="N11" s="27">
        <v>0</v>
      </c>
      <c r="O11" s="27">
        <v>1</v>
      </c>
      <c r="P11" s="27">
        <v>1</v>
      </c>
      <c r="Q11" s="27">
        <v>0</v>
      </c>
      <c r="R11" s="27">
        <v>1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1</v>
      </c>
      <c r="Z11" s="27">
        <v>1</v>
      </c>
      <c r="AA11" s="27">
        <v>0</v>
      </c>
      <c r="AB11" s="2">
        <f t="shared" si="2"/>
        <v>50</v>
      </c>
      <c r="AC11" s="28">
        <f t="shared" si="3"/>
        <v>22.666666666666668</v>
      </c>
      <c r="AD11" s="28">
        <f t="shared" si="4"/>
        <v>12</v>
      </c>
      <c r="AE11" s="28">
        <f t="shared" si="5"/>
        <v>0</v>
      </c>
      <c r="AF11" s="28">
        <f>INDEX(圣火属性!$I$3:$I$53,MATCH(T11,圣火属性!$B$3:$B$53,0),1)+INDEX(圣火属性!$J$3:$J$53,MATCH(U11,圣火属性!$B$3:$B$53,0),1)+INDEX(圣火属性!$K$3:$K$53,MATCH(V11,圣火属性!$B$3:$B$53,0),1)+INDEX(圣火属性!$L$3:$L$53,MATCH(W11,圣火属性!$B$3:$B$53,0),1)+INDEX(圣火属性!$M$3:$M$53,MATCH(X11,圣火属性!$B$3:$B$53,0),1)</f>
        <v>0</v>
      </c>
      <c r="AG11" s="28">
        <f>AA11*VLOOKUP(Z11,神器属性!$B$4:$D$13,3,FALSE)</f>
        <v>0</v>
      </c>
      <c r="AH11" s="36">
        <f t="shared" si="12"/>
        <v>85</v>
      </c>
      <c r="AI11" s="36">
        <f>AH11*10*(1+VLOOKUP(Y11,技能效果!$B$2:$D$101,3,FALSE))</f>
        <v>850</v>
      </c>
      <c r="AJ11" s="36">
        <f t="shared" si="6"/>
        <v>93.032200000000003</v>
      </c>
      <c r="AK11" s="2">
        <v>0.85</v>
      </c>
      <c r="AL11" s="28">
        <f t="shared" si="13"/>
        <v>79</v>
      </c>
      <c r="AM11" s="28">
        <f>$AH11/5*[1]战斗预期!C$4</f>
        <v>1700</v>
      </c>
      <c r="AN11" s="28">
        <f>$AH11/5*[1]战斗预期!D$4</f>
        <v>170</v>
      </c>
      <c r="AO11" s="28">
        <f>$AH11/5*[1]战斗预期!E$4</f>
        <v>85</v>
      </c>
      <c r="AP11" s="28">
        <f>$AH11/5*[1]战斗预期!F$4</f>
        <v>68</v>
      </c>
      <c r="AQ11" s="28">
        <f>$AH11/5*[1]战斗预期!G$4</f>
        <v>68</v>
      </c>
      <c r="AR11" s="28">
        <f>$AL11*怪物属性规划!A$18*怪物属性等级系数!A5</f>
        <v>416.57642130339411</v>
      </c>
      <c r="AS11" s="28">
        <f>$AL11*怪物属性规划!B$18</f>
        <v>79</v>
      </c>
      <c r="AT11" s="28">
        <f>$AL11*怪物属性规划!C$18</f>
        <v>79</v>
      </c>
      <c r="AU11" s="28">
        <f>$AL11*怪物属性规划!D$18</f>
        <v>63.2</v>
      </c>
      <c r="AV11" s="28">
        <f>$AL11*怪物属性规划!E$18</f>
        <v>63.2</v>
      </c>
      <c r="AW11" s="28">
        <v>0</v>
      </c>
      <c r="AX11" s="28">
        <v>0</v>
      </c>
      <c r="AY11" s="28">
        <v>0</v>
      </c>
      <c r="AZ11" s="28">
        <v>0</v>
      </c>
      <c r="BA11" s="28">
        <v>4</v>
      </c>
      <c r="BB11" s="48">
        <f>[2]技能伤害!$C6</f>
        <v>1.03</v>
      </c>
      <c r="BC11" s="2">
        <f>[2]技能伤害!$N6</f>
        <v>82</v>
      </c>
      <c r="BD11" s="2">
        <f>[2]技能伤害!$L6</f>
        <v>82</v>
      </c>
      <c r="BE11" s="48">
        <f t="shared" si="7"/>
        <v>0.69190211774597565</v>
      </c>
      <c r="BF11" s="48">
        <f t="shared" si="8"/>
        <v>0.70728419511058593</v>
      </c>
      <c r="BG11" s="28">
        <f t="shared" si="14"/>
        <v>117.78387836535933</v>
      </c>
      <c r="BH11" s="28">
        <f t="shared" si="15"/>
        <v>46.249097172527421</v>
      </c>
      <c r="BI11" s="28">
        <f t="shared" si="16"/>
        <v>102.50907487227282</v>
      </c>
      <c r="BJ11" s="49">
        <f t="shared" si="9"/>
        <v>1.9648813435287344</v>
      </c>
      <c r="BK11" s="49">
        <f t="shared" si="10"/>
        <v>36.757474284488794</v>
      </c>
      <c r="BL11" s="49">
        <f t="shared" si="17"/>
        <v>9.2132764403661849</v>
      </c>
    </row>
    <row r="12" spans="1:72" x14ac:dyDescent="0.15">
      <c r="A12" s="26">
        <v>35</v>
      </c>
      <c r="B12" s="43">
        <v>4.5</v>
      </c>
      <c r="C12" s="25">
        <v>3.5</v>
      </c>
      <c r="D12" s="42">
        <v>28.396449704142011</v>
      </c>
      <c r="E12" s="25">
        <v>14</v>
      </c>
      <c r="F12" s="25">
        <v>681.51479289940823</v>
      </c>
      <c r="I12" s="29">
        <v>5</v>
      </c>
      <c r="J12" s="29">
        <f>[1]属性成长!$D12</f>
        <v>25</v>
      </c>
      <c r="K12" s="27">
        <v>5</v>
      </c>
      <c r="L12" s="27">
        <v>5</v>
      </c>
      <c r="M12" s="27">
        <f t="shared" si="1"/>
        <v>5</v>
      </c>
      <c r="N12" s="27">
        <v>0</v>
      </c>
      <c r="O12" s="27">
        <v>1</v>
      </c>
      <c r="P12" s="27">
        <v>1</v>
      </c>
      <c r="Q12" s="27">
        <v>0</v>
      </c>
      <c r="R12" s="27">
        <v>1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1</v>
      </c>
      <c r="Z12" s="27">
        <v>1</v>
      </c>
      <c r="AA12" s="27">
        <v>0</v>
      </c>
      <c r="AB12" s="2">
        <f t="shared" si="2"/>
        <v>55</v>
      </c>
      <c r="AC12" s="28">
        <f t="shared" si="3"/>
        <v>53.333333333333336</v>
      </c>
      <c r="AD12" s="28">
        <f t="shared" si="4"/>
        <v>12</v>
      </c>
      <c r="AE12" s="28">
        <f t="shared" si="5"/>
        <v>0</v>
      </c>
      <c r="AF12" s="28">
        <f>INDEX(圣火属性!$I$3:$I$53,MATCH(T12,圣火属性!$B$3:$B$53,0),1)+INDEX(圣火属性!$J$3:$J$53,MATCH(U12,圣火属性!$B$3:$B$53,0),1)+INDEX(圣火属性!$K$3:$K$53,MATCH(V12,圣火属性!$B$3:$B$53,0),1)+INDEX(圣火属性!$L$3:$L$53,MATCH(W12,圣火属性!$B$3:$B$53,0),1)+INDEX(圣火属性!$M$3:$M$53,MATCH(X12,圣火属性!$B$3:$B$53,0),1)</f>
        <v>0</v>
      </c>
      <c r="AG12" s="28">
        <f>AA12*VLOOKUP(Z12,神器属性!$B$4:$D$13,3,FALSE)</f>
        <v>0</v>
      </c>
      <c r="AH12" s="36">
        <f t="shared" si="12"/>
        <v>120</v>
      </c>
      <c r="AI12" s="36">
        <f>AH12*10*(1+VLOOKUP(Y12,技能效果!$B$2:$D$101,3,FALSE))</f>
        <v>1200</v>
      </c>
      <c r="AJ12" s="36">
        <f t="shared" si="6"/>
        <v>104.26950000000001</v>
      </c>
      <c r="AK12" s="2">
        <v>0.9</v>
      </c>
      <c r="AL12" s="28">
        <f t="shared" si="13"/>
        <v>94</v>
      </c>
      <c r="AM12" s="28">
        <f>$AH12/5*[1]战斗预期!C$4</f>
        <v>2400</v>
      </c>
      <c r="AN12" s="28">
        <f>$AH12/5*[1]战斗预期!D$4</f>
        <v>240</v>
      </c>
      <c r="AO12" s="28">
        <f>$AH12/5*[1]战斗预期!E$4</f>
        <v>120</v>
      </c>
      <c r="AP12" s="28">
        <f>$AH12/5*[1]战斗预期!F$4</f>
        <v>96</v>
      </c>
      <c r="AQ12" s="28">
        <f>$AH12/5*[1]战斗预期!G$4</f>
        <v>96</v>
      </c>
      <c r="AR12" s="28">
        <f>$AL12*怪物属性规划!A$18*怪物属性等级系数!A6</f>
        <v>506.37435751053533</v>
      </c>
      <c r="AS12" s="28">
        <f>$AL12*怪物属性规划!B$18</f>
        <v>94</v>
      </c>
      <c r="AT12" s="28">
        <f>$AL12*怪物属性规划!C$18</f>
        <v>94</v>
      </c>
      <c r="AU12" s="28">
        <f>$AL12*怪物属性规划!D$18</f>
        <v>75.2</v>
      </c>
      <c r="AV12" s="28">
        <f>$AL12*怪物属性规划!E$18</f>
        <v>75.2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48">
        <f>[2]技能伤害!$C7</f>
        <v>1.04</v>
      </c>
      <c r="BC12" s="2">
        <f>[2]技能伤害!$N7</f>
        <v>99</v>
      </c>
      <c r="BD12" s="2">
        <f>[2]技能伤害!$L7</f>
        <v>114</v>
      </c>
      <c r="BE12" s="48">
        <f t="shared" si="7"/>
        <v>0.68879102519949287</v>
      </c>
      <c r="BF12" s="48">
        <f t="shared" si="8"/>
        <v>0.71045433554758264</v>
      </c>
      <c r="BG12" s="28">
        <f t="shared" si="14"/>
        <v>198.61952022041314</v>
      </c>
      <c r="BH12" s="28">
        <f t="shared" si="15"/>
        <v>54.434584917054465</v>
      </c>
      <c r="BI12" s="28">
        <f t="shared" si="16"/>
        <v>144.54119569464677</v>
      </c>
      <c r="BJ12" s="49">
        <f t="shared" si="9"/>
        <v>1.4163718006853809</v>
      </c>
      <c r="BK12" s="49">
        <f t="shared" si="10"/>
        <v>44.08961698995293</v>
      </c>
      <c r="BL12" s="49">
        <f t="shared" si="17"/>
        <v>9.2245904492868025</v>
      </c>
    </row>
    <row r="13" spans="1:72" x14ac:dyDescent="0.15">
      <c r="A13" s="24">
        <v>40</v>
      </c>
      <c r="B13" s="43">
        <v>5</v>
      </c>
      <c r="C13" s="25">
        <v>4</v>
      </c>
      <c r="D13" s="42">
        <v>35.896449704142015</v>
      </c>
      <c r="E13" s="25">
        <v>16</v>
      </c>
      <c r="F13" s="25">
        <v>861.51479289940835</v>
      </c>
      <c r="I13" s="29">
        <v>6</v>
      </c>
      <c r="J13" s="29">
        <f>[1]属性成长!$D13</f>
        <v>30</v>
      </c>
      <c r="K13" s="27">
        <v>6</v>
      </c>
      <c r="L13" s="27">
        <v>6</v>
      </c>
      <c r="M13" s="27">
        <f t="shared" si="1"/>
        <v>5</v>
      </c>
      <c r="N13" s="27">
        <v>0</v>
      </c>
      <c r="O13" s="27">
        <v>1</v>
      </c>
      <c r="P13" s="27">
        <v>1</v>
      </c>
      <c r="Q13" s="27">
        <v>0</v>
      </c>
      <c r="R13" s="27">
        <v>1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1</v>
      </c>
      <c r="Z13" s="27">
        <v>1</v>
      </c>
      <c r="AA13" s="27">
        <v>0</v>
      </c>
      <c r="AB13" s="2">
        <f t="shared" si="2"/>
        <v>60</v>
      </c>
      <c r="AC13" s="28">
        <f t="shared" si="3"/>
        <v>56.666666666666671</v>
      </c>
      <c r="AD13" s="28">
        <f t="shared" si="4"/>
        <v>12</v>
      </c>
      <c r="AE13" s="28">
        <f t="shared" si="5"/>
        <v>0</v>
      </c>
      <c r="AF13" s="28">
        <f>INDEX(圣火属性!$I$3:$I$53,MATCH(T13,圣火属性!$B$3:$B$53,0),1)+INDEX(圣火属性!$J$3:$J$53,MATCH(U13,圣火属性!$B$3:$B$53,0),1)+INDEX(圣火属性!$K$3:$K$53,MATCH(V13,圣火属性!$B$3:$B$53,0),1)+INDEX(圣火属性!$L$3:$L$53,MATCH(W13,圣火属性!$B$3:$B$53,0),1)+INDEX(圣火属性!$M$3:$M$53,MATCH(X13,圣火属性!$B$3:$B$53,0),1)</f>
        <v>0</v>
      </c>
      <c r="AG13" s="28">
        <f>AA13*VLOOKUP(Z13,神器属性!$B$4:$D$13,3,FALSE)</f>
        <v>0</v>
      </c>
      <c r="AH13" s="36">
        <f t="shared" si="12"/>
        <v>129</v>
      </c>
      <c r="AI13" s="36">
        <f>AH13*10*(1+VLOOKUP(Y13,技能效果!$B$2:$D$101,3,FALSE))</f>
        <v>1290</v>
      </c>
      <c r="AJ13" s="36">
        <f t="shared" si="6"/>
        <v>116.29580000000001</v>
      </c>
      <c r="AK13" s="2">
        <v>0.9</v>
      </c>
      <c r="AL13" s="28">
        <f t="shared" si="13"/>
        <v>105</v>
      </c>
      <c r="AM13" s="28">
        <f>$AH13/5*[1]战斗预期!C$4</f>
        <v>2580</v>
      </c>
      <c r="AN13" s="28">
        <f>$AH13/5*[1]战斗预期!D$4</f>
        <v>258</v>
      </c>
      <c r="AO13" s="28">
        <f>$AH13/5*[1]战斗预期!E$4</f>
        <v>129</v>
      </c>
      <c r="AP13" s="28">
        <f>$AH13/5*[1]战斗预期!F$4</f>
        <v>103.2</v>
      </c>
      <c r="AQ13" s="28">
        <f>$AH13/5*[1]战斗预期!G$4</f>
        <v>103.2</v>
      </c>
      <c r="AR13" s="28">
        <f>$AL13*怪物属性规划!A$18*怪物属性等级系数!A7</f>
        <v>579.97566410602235</v>
      </c>
      <c r="AS13" s="28">
        <f>$AL13*怪物属性规划!B$18</f>
        <v>105</v>
      </c>
      <c r="AT13" s="28">
        <f>$AL13*怪物属性规划!C$18</f>
        <v>105</v>
      </c>
      <c r="AU13" s="28">
        <f>$AL13*怪物属性规划!D$18</f>
        <v>84</v>
      </c>
      <c r="AV13" s="28">
        <f>$AL13*怪物属性规划!E$18</f>
        <v>84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48">
        <f>[2]技能伤害!$C8</f>
        <v>1.05</v>
      </c>
      <c r="BC13" s="2">
        <f>[2]技能伤害!$N8</f>
        <v>113</v>
      </c>
      <c r="BD13" s="2">
        <f>[2]技能伤害!$L8</f>
        <v>120</v>
      </c>
      <c r="BE13" s="48">
        <f t="shared" si="7"/>
        <v>0.68414159776383432</v>
      </c>
      <c r="BF13" s="48">
        <f t="shared" si="8"/>
        <v>0.7147606382978724</v>
      </c>
      <c r="BG13" s="28">
        <f t="shared" si="14"/>
        <v>211.45208233155458</v>
      </c>
      <c r="BH13" s="28">
        <f t="shared" si="15"/>
        <v>59.900265957446798</v>
      </c>
      <c r="BI13" s="28">
        <f t="shared" si="16"/>
        <v>154.54268617021273</v>
      </c>
      <c r="BJ13" s="49">
        <f t="shared" si="9"/>
        <v>1.523790632507954</v>
      </c>
      <c r="BK13" s="49">
        <f t="shared" si="10"/>
        <v>43.071595071595077</v>
      </c>
      <c r="BL13" s="49">
        <f t="shared" si="17"/>
        <v>9.2746759413426094</v>
      </c>
    </row>
    <row r="14" spans="1:72" x14ac:dyDescent="0.15">
      <c r="A14" s="26">
        <v>45</v>
      </c>
      <c r="B14" s="43">
        <v>5.5</v>
      </c>
      <c r="C14" s="25">
        <v>4.5</v>
      </c>
      <c r="D14" s="42">
        <v>43.455844952522142</v>
      </c>
      <c r="E14" s="25">
        <v>18</v>
      </c>
      <c r="F14" s="25">
        <v>1042.9402788605314</v>
      </c>
      <c r="I14" s="29">
        <v>7</v>
      </c>
      <c r="J14" s="29">
        <f>[1]属性成长!$D14</f>
        <v>35</v>
      </c>
      <c r="K14" s="27">
        <v>7</v>
      </c>
      <c r="L14" s="27">
        <v>7</v>
      </c>
      <c r="M14" s="27">
        <f t="shared" si="1"/>
        <v>5</v>
      </c>
      <c r="N14" s="27">
        <v>0</v>
      </c>
      <c r="O14" s="27">
        <v>1</v>
      </c>
      <c r="P14" s="27">
        <v>1</v>
      </c>
      <c r="Q14" s="27">
        <v>0</v>
      </c>
      <c r="R14" s="27">
        <v>1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7</v>
      </c>
      <c r="Z14" s="27">
        <v>1</v>
      </c>
      <c r="AA14" s="27">
        <v>0</v>
      </c>
      <c r="AB14" s="2">
        <f t="shared" si="2"/>
        <v>65</v>
      </c>
      <c r="AC14" s="28">
        <f t="shared" si="3"/>
        <v>60</v>
      </c>
      <c r="AD14" s="28">
        <f t="shared" si="4"/>
        <v>12</v>
      </c>
      <c r="AE14" s="28">
        <f t="shared" si="5"/>
        <v>0</v>
      </c>
      <c r="AF14" s="28">
        <f>INDEX(圣火属性!$I$3:$I$53,MATCH(T14,圣火属性!$B$3:$B$53,0),1)+INDEX(圣火属性!$J$3:$J$53,MATCH(U14,圣火属性!$B$3:$B$53,0),1)+INDEX(圣火属性!$K$3:$K$53,MATCH(V14,圣火属性!$B$3:$B$53,0),1)+INDEX(圣火属性!$L$3:$L$53,MATCH(W14,圣火属性!$B$3:$B$53,0),1)+INDEX(圣火属性!$M$3:$M$53,MATCH(X14,圣火属性!$B$3:$B$53,0),1)</f>
        <v>0</v>
      </c>
      <c r="AG14" s="28">
        <f>AA14*VLOOKUP(Z14,神器属性!$B$4:$D$13,3,FALSE)</f>
        <v>0</v>
      </c>
      <c r="AH14" s="36">
        <f t="shared" si="12"/>
        <v>137</v>
      </c>
      <c r="AI14" s="36">
        <f>AH14*10*(1+VLOOKUP(Y14,技能效果!$B$2:$D$101,3,FALSE))</f>
        <v>1402.88</v>
      </c>
      <c r="AJ14" s="36">
        <f t="shared" si="6"/>
        <v>129.2089</v>
      </c>
      <c r="AK14" s="2">
        <v>0.85</v>
      </c>
      <c r="AL14" s="28">
        <f t="shared" si="13"/>
        <v>110</v>
      </c>
      <c r="AM14" s="28">
        <f>$AH14/5*[1]战斗预期!C$4</f>
        <v>2740</v>
      </c>
      <c r="AN14" s="28">
        <f>$AH14/5*[1]战斗预期!D$4</f>
        <v>274</v>
      </c>
      <c r="AO14" s="28">
        <f>$AH14/5*[1]战斗预期!E$4</f>
        <v>137</v>
      </c>
      <c r="AP14" s="28">
        <f>$AH14/5*[1]战斗预期!F$4</f>
        <v>109.6</v>
      </c>
      <c r="AQ14" s="28">
        <f>$AH14/5*[1]战斗预期!G$4</f>
        <v>109.6</v>
      </c>
      <c r="AR14" s="28">
        <f>$AL14*怪物属性规划!A$18*怪物属性等级系数!A8</f>
        <v>620.48048129063568</v>
      </c>
      <c r="AS14" s="28">
        <f>$AL14*怪物属性规划!B$18</f>
        <v>110</v>
      </c>
      <c r="AT14" s="28">
        <f>$AL14*怪物属性规划!C$18</f>
        <v>110</v>
      </c>
      <c r="AU14" s="28">
        <f>$AL14*怪物属性规划!D$18</f>
        <v>88</v>
      </c>
      <c r="AV14" s="28">
        <f>$AL14*怪物属性规划!E$18</f>
        <v>88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48">
        <f>[2]技能伤害!$C9</f>
        <v>1.06</v>
      </c>
      <c r="BC14" s="2">
        <f>[2]技能伤害!$N9</f>
        <v>120</v>
      </c>
      <c r="BD14" s="2">
        <f>[2]技能伤害!$L9</f>
        <v>126</v>
      </c>
      <c r="BE14" s="48">
        <f t="shared" si="7"/>
        <v>0.68119891008174394</v>
      </c>
      <c r="BF14" s="48">
        <f t="shared" si="8"/>
        <v>0.71707475373454621</v>
      </c>
      <c r="BG14" s="28">
        <f t="shared" si="14"/>
        <v>230.97717711171657</v>
      </c>
      <c r="BH14" s="28">
        <f t="shared" si="15"/>
        <v>62.243554178399833</v>
      </c>
      <c r="BI14" s="28">
        <f t="shared" si="16"/>
        <v>164.34561705067679</v>
      </c>
      <c r="BJ14" s="49">
        <f t="shared" si="9"/>
        <v>1.4924044998959844</v>
      </c>
      <c r="BK14" s="49">
        <f t="shared" si="10"/>
        <v>44.020622475167926</v>
      </c>
      <c r="BL14" s="49">
        <f t="shared" si="17"/>
        <v>9.2623232036229926</v>
      </c>
    </row>
    <row r="15" spans="1:72" x14ac:dyDescent="0.15">
      <c r="A15" s="24">
        <v>50</v>
      </c>
      <c r="B15" s="43">
        <v>6</v>
      </c>
      <c r="C15" s="25">
        <v>5</v>
      </c>
      <c r="D15" s="42">
        <v>51.074892571569762</v>
      </c>
      <c r="E15" s="25">
        <v>20</v>
      </c>
      <c r="F15" s="25">
        <v>1225.7974217176743</v>
      </c>
      <c r="I15" s="29">
        <v>8</v>
      </c>
      <c r="J15" s="29">
        <f>[1]属性成长!$D15</f>
        <v>40</v>
      </c>
      <c r="K15" s="27">
        <v>8</v>
      </c>
      <c r="L15" s="27">
        <v>8</v>
      </c>
      <c r="M15" s="27">
        <f t="shared" si="1"/>
        <v>5</v>
      </c>
      <c r="N15" s="27">
        <v>0</v>
      </c>
      <c r="O15" s="27">
        <v>1</v>
      </c>
      <c r="P15" s="27">
        <v>1</v>
      </c>
      <c r="Q15" s="27">
        <v>0</v>
      </c>
      <c r="R15" s="27">
        <v>1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8</v>
      </c>
      <c r="Z15" s="27">
        <v>1</v>
      </c>
      <c r="AA15" s="27">
        <v>0</v>
      </c>
      <c r="AB15" s="2">
        <f t="shared" si="2"/>
        <v>70</v>
      </c>
      <c r="AC15" s="28">
        <f t="shared" si="3"/>
        <v>63.333333333333336</v>
      </c>
      <c r="AD15" s="28">
        <f t="shared" si="4"/>
        <v>12</v>
      </c>
      <c r="AE15" s="28">
        <f t="shared" si="5"/>
        <v>0</v>
      </c>
      <c r="AF15" s="28">
        <f>INDEX(圣火属性!$I$3:$I$53,MATCH(T15,圣火属性!$B$3:$B$53,0),1)+INDEX(圣火属性!$J$3:$J$53,MATCH(U15,圣火属性!$B$3:$B$53,0),1)+INDEX(圣火属性!$K$3:$K$53,MATCH(V15,圣火属性!$B$3:$B$53,0),1)+INDEX(圣火属性!$L$3:$L$53,MATCH(W15,圣火属性!$B$3:$B$53,0),1)+INDEX(圣火属性!$M$3:$M$53,MATCH(X15,圣火属性!$B$3:$B$53,0),1)</f>
        <v>0</v>
      </c>
      <c r="AG15" s="28">
        <f>AA15*VLOOKUP(Z15,神器属性!$B$4:$D$13,3,FALSE)</f>
        <v>0</v>
      </c>
      <c r="AH15" s="36">
        <f t="shared" si="12"/>
        <v>145</v>
      </c>
      <c r="AI15" s="36">
        <f>AH15*10*(1+VLOOKUP(Y15,技能效果!$B$2:$D$101,3,FALSE))</f>
        <v>1490.6000000000001</v>
      </c>
      <c r="AJ15" s="36">
        <f t="shared" si="6"/>
        <v>143.10660000000001</v>
      </c>
      <c r="AK15" s="2">
        <v>0.85</v>
      </c>
      <c r="AL15" s="28">
        <f t="shared" si="13"/>
        <v>122</v>
      </c>
      <c r="AM15" s="28">
        <f>$AH15/5*[1]战斗预期!C$4</f>
        <v>2900</v>
      </c>
      <c r="AN15" s="28">
        <f>$AH15/5*[1]战斗预期!D$4</f>
        <v>290</v>
      </c>
      <c r="AO15" s="28">
        <f>$AH15/5*[1]战斗预期!E$4</f>
        <v>145</v>
      </c>
      <c r="AP15" s="28">
        <f>$AH15/5*[1]战斗预期!F$4</f>
        <v>116</v>
      </c>
      <c r="AQ15" s="28">
        <f>$AH15/5*[1]战斗预期!G$4</f>
        <v>116</v>
      </c>
      <c r="AR15" s="28">
        <f>$AL15*怪物属性规划!A$18*怪物属性等级系数!A9</f>
        <v>699.43562688386612</v>
      </c>
      <c r="AS15" s="28">
        <f>$AL15*怪物属性规划!B$18</f>
        <v>122</v>
      </c>
      <c r="AT15" s="28">
        <f>$AL15*怪物属性规划!C$18</f>
        <v>122</v>
      </c>
      <c r="AU15" s="28">
        <f>$AL15*怪物属性规划!D$18</f>
        <v>97.600000000000009</v>
      </c>
      <c r="AV15" s="28">
        <f>$AL15*怪物属性规划!E$18</f>
        <v>97.600000000000009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48">
        <f>[2]技能伤害!$C10</f>
        <v>1.07</v>
      </c>
      <c r="BC15" s="2">
        <f>[2]技能伤害!$N10</f>
        <v>135</v>
      </c>
      <c r="BD15" s="2">
        <f>[2]技能伤害!$L10</f>
        <v>132</v>
      </c>
      <c r="BE15" s="48">
        <f t="shared" si="7"/>
        <v>0.67809799071783905</v>
      </c>
      <c r="BF15" s="48">
        <f t="shared" si="8"/>
        <v>0.71914615033626283</v>
      </c>
      <c r="BG15" s="28">
        <f t="shared" si="14"/>
        <v>239.1483869605091</v>
      </c>
      <c r="BH15" s="28">
        <f t="shared" si="15"/>
        <v>68.528339317951861</v>
      </c>
      <c r="BI15" s="28">
        <f t="shared" si="16"/>
        <v>174.29789910131529</v>
      </c>
      <c r="BJ15" s="49">
        <f t="shared" si="9"/>
        <v>1.624829475989652</v>
      </c>
      <c r="BK15" s="49">
        <f t="shared" si="10"/>
        <v>42.318258823474928</v>
      </c>
      <c r="BL15" s="49">
        <f t="shared" si="17"/>
        <v>9.2434339106669885</v>
      </c>
    </row>
    <row r="16" spans="1:72" x14ac:dyDescent="0.15">
      <c r="A16" s="24">
        <v>55</v>
      </c>
      <c r="B16" s="43">
        <v>6.5</v>
      </c>
      <c r="C16" s="25">
        <v>5.5</v>
      </c>
      <c r="D16" s="42">
        <v>58.727953796059559</v>
      </c>
      <c r="E16" s="25">
        <v>22</v>
      </c>
      <c r="F16" s="25">
        <v>1409.4708911054295</v>
      </c>
      <c r="I16" s="29">
        <v>9</v>
      </c>
      <c r="J16" s="29">
        <f>[1]属性成长!$D16</f>
        <v>45</v>
      </c>
      <c r="K16" s="27">
        <v>9</v>
      </c>
      <c r="L16" s="27">
        <v>9</v>
      </c>
      <c r="M16" s="27">
        <f t="shared" si="1"/>
        <v>5</v>
      </c>
      <c r="N16" s="27">
        <v>0</v>
      </c>
      <c r="O16" s="27">
        <v>1</v>
      </c>
      <c r="P16" s="27">
        <v>1</v>
      </c>
      <c r="Q16" s="27">
        <v>0</v>
      </c>
      <c r="R16" s="27">
        <v>1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9</v>
      </c>
      <c r="Z16" s="27">
        <v>1</v>
      </c>
      <c r="AA16" s="27">
        <v>0</v>
      </c>
      <c r="AB16" s="2">
        <f t="shared" si="2"/>
        <v>75</v>
      </c>
      <c r="AC16" s="28">
        <f t="shared" si="3"/>
        <v>66.666666666666671</v>
      </c>
      <c r="AD16" s="28">
        <f t="shared" si="4"/>
        <v>12</v>
      </c>
      <c r="AE16" s="28">
        <f t="shared" si="5"/>
        <v>0</v>
      </c>
      <c r="AF16" s="28">
        <f>INDEX(圣火属性!$I$3:$I$53,MATCH(T16,圣火属性!$B$3:$B$53,0),1)+INDEX(圣火属性!$J$3:$J$53,MATCH(U16,圣火属性!$B$3:$B$53,0),1)+INDEX(圣火属性!$K$3:$K$53,MATCH(V16,圣火属性!$B$3:$B$53,0),1)+INDEX(圣火属性!$L$3:$L$53,MATCH(W16,圣火属性!$B$3:$B$53,0),1)+INDEX(圣火属性!$M$3:$M$53,MATCH(X16,圣火属性!$B$3:$B$53,0),1)</f>
        <v>0</v>
      </c>
      <c r="AG16" s="28">
        <f>AA16*VLOOKUP(Z16,神器属性!$B$4:$D$13,3,FALSE)</f>
        <v>0</v>
      </c>
      <c r="AH16" s="36">
        <f t="shared" si="12"/>
        <v>154</v>
      </c>
      <c r="AI16" s="36">
        <f>AH16*10*(1+VLOOKUP(Y16,技能效果!$B$2:$D$101,3,FALSE))</f>
        <v>1589.28</v>
      </c>
      <c r="AJ16" s="36">
        <f t="shared" si="6"/>
        <v>158.08670000000001</v>
      </c>
      <c r="AK16" s="2">
        <v>0.9</v>
      </c>
      <c r="AL16" s="28">
        <f t="shared" si="13"/>
        <v>142</v>
      </c>
      <c r="AM16" s="28">
        <f>$AH16/5*[1]战斗预期!C$4</f>
        <v>3080</v>
      </c>
      <c r="AN16" s="28">
        <f>$AH16/5*[1]战斗预期!D$4</f>
        <v>308</v>
      </c>
      <c r="AO16" s="28">
        <f>$AH16/5*[1]战斗预期!E$4</f>
        <v>154</v>
      </c>
      <c r="AP16" s="28">
        <f>$AH16/5*[1]战斗预期!F$4</f>
        <v>123.2</v>
      </c>
      <c r="AQ16" s="28">
        <f>$AH16/5*[1]战斗预期!G$4</f>
        <v>123.2</v>
      </c>
      <c r="AR16" s="28">
        <f>$AL16*怪物属性规划!A$18*怪物属性等级系数!A10</f>
        <v>830.84745597009282</v>
      </c>
      <c r="AS16" s="28">
        <f>$AL16*怪物属性规划!B$18</f>
        <v>142</v>
      </c>
      <c r="AT16" s="28">
        <f>$AL16*怪物属性规划!C$18</f>
        <v>142</v>
      </c>
      <c r="AU16" s="28">
        <f>$AL16*怪物属性规划!D$18</f>
        <v>113.60000000000001</v>
      </c>
      <c r="AV16" s="28">
        <f>$AL16*怪物属性规划!E$18</f>
        <v>113.60000000000001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48">
        <f>[2]技能伤害!$C11</f>
        <v>1.08</v>
      </c>
      <c r="BC16" s="2">
        <f>[2]技能伤害!$N11</f>
        <v>159</v>
      </c>
      <c r="BD16" s="2">
        <f>[2]技能伤害!$L11</f>
        <v>138</v>
      </c>
      <c r="BE16" s="48">
        <f t="shared" si="7"/>
        <v>0.67551174772014777</v>
      </c>
      <c r="BF16" s="48">
        <f t="shared" si="8"/>
        <v>0.72231967805180064</v>
      </c>
      <c r="BG16" s="28">
        <f t="shared" si="14"/>
        <v>236.61154447674008</v>
      </c>
      <c r="BH16" s="28">
        <f t="shared" si="15"/>
        <v>78.861211433288616</v>
      </c>
      <c r="BI16" s="28">
        <f t="shared" si="16"/>
        <v>184.73516458569807</v>
      </c>
      <c r="BJ16" s="49">
        <f t="shared" si="9"/>
        <v>1.9508005030107918</v>
      </c>
      <c r="BK16" s="49">
        <f t="shared" si="10"/>
        <v>39.055955951240705</v>
      </c>
      <c r="BL16" s="49">
        <f t="shared" si="17"/>
        <v>9.2625089270285184</v>
      </c>
    </row>
    <row r="17" spans="1:64" x14ac:dyDescent="0.15">
      <c r="A17" s="24">
        <v>60</v>
      </c>
      <c r="B17" s="43">
        <v>7</v>
      </c>
      <c r="C17" s="25">
        <v>6</v>
      </c>
      <c r="D17" s="42">
        <v>66.420261488367245</v>
      </c>
      <c r="E17" s="25">
        <v>24</v>
      </c>
      <c r="F17" s="25">
        <v>1594.0862757208138</v>
      </c>
      <c r="I17" s="29">
        <v>10</v>
      </c>
      <c r="J17" s="29">
        <f>[1]属性成长!$D17</f>
        <v>50</v>
      </c>
      <c r="K17" s="27">
        <v>10</v>
      </c>
      <c r="L17" s="27">
        <v>10</v>
      </c>
      <c r="M17" s="27">
        <f t="shared" si="1"/>
        <v>10</v>
      </c>
      <c r="N17" s="27">
        <v>0</v>
      </c>
      <c r="O17" s="27">
        <v>1</v>
      </c>
      <c r="P17" s="27">
        <v>1</v>
      </c>
      <c r="Q17" s="27">
        <v>0</v>
      </c>
      <c r="R17" s="27">
        <v>1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10</v>
      </c>
      <c r="Z17" s="27">
        <v>1</v>
      </c>
      <c r="AA17" s="27">
        <v>0</v>
      </c>
      <c r="AB17" s="2">
        <f t="shared" si="2"/>
        <v>80</v>
      </c>
      <c r="AC17" s="28">
        <f t="shared" si="3"/>
        <v>104</v>
      </c>
      <c r="AD17" s="28">
        <f t="shared" si="4"/>
        <v>12</v>
      </c>
      <c r="AE17" s="28">
        <f t="shared" si="5"/>
        <v>0</v>
      </c>
      <c r="AF17" s="28">
        <f>INDEX(圣火属性!$I$3:$I$53,MATCH(T17,圣火属性!$B$3:$B$53,0),1)+INDEX(圣火属性!$J$3:$J$53,MATCH(U17,圣火属性!$B$3:$B$53,0),1)+INDEX(圣火属性!$K$3:$K$53,MATCH(V17,圣火属性!$B$3:$B$53,0),1)+INDEX(圣火属性!$L$3:$L$53,MATCH(W17,圣火属性!$B$3:$B$53,0),1)+INDEX(圣火属性!$M$3:$M$53,MATCH(X17,圣火属性!$B$3:$B$53,0),1)</f>
        <v>0</v>
      </c>
      <c r="AG17" s="28">
        <f>AA17*VLOOKUP(Z17,神器属性!$B$4:$D$13,3,FALSE)</f>
        <v>0</v>
      </c>
      <c r="AH17" s="36">
        <f t="shared" si="12"/>
        <v>196</v>
      </c>
      <c r="AI17" s="36">
        <f>AH17*10*(1+VLOOKUP(Y17,技能效果!$B$2:$D$101,3,FALSE))</f>
        <v>2030.5600000000002</v>
      </c>
      <c r="AJ17" s="36">
        <f t="shared" si="6"/>
        <v>174.24700000000001</v>
      </c>
      <c r="AK17" s="2">
        <v>1</v>
      </c>
      <c r="AL17" s="28">
        <f t="shared" si="13"/>
        <v>174</v>
      </c>
      <c r="AM17" s="28">
        <f>$AH17/5*[1]战斗预期!C$4</f>
        <v>3920.0000000000005</v>
      </c>
      <c r="AN17" s="28">
        <f>$AH17/5*[1]战斗预期!D$4</f>
        <v>392</v>
      </c>
      <c r="AO17" s="28">
        <f>$AH17/5*[1]战斗预期!E$4</f>
        <v>196</v>
      </c>
      <c r="AP17" s="28">
        <f>$AH17/5*[1]战斗预期!F$4</f>
        <v>156.80000000000001</v>
      </c>
      <c r="AQ17" s="28">
        <f>$AH17/5*[1]战斗预期!G$4</f>
        <v>156.80000000000001</v>
      </c>
      <c r="AR17" s="28">
        <f>$AL17*怪物属性规划!A$18*怪物属性等级系数!A11</f>
        <v>1033.5060579485041</v>
      </c>
      <c r="AS17" s="28">
        <f>$AL17*怪物属性规划!B$18</f>
        <v>174</v>
      </c>
      <c r="AT17" s="28">
        <f>$AL17*怪物属性规划!C$18</f>
        <v>174</v>
      </c>
      <c r="AU17" s="28">
        <f>$AL17*怪物属性规划!D$18</f>
        <v>139.20000000000002</v>
      </c>
      <c r="AV17" s="28">
        <f>$AL17*怪物属性规划!E$18</f>
        <v>139.20000000000002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48">
        <f>[2]技能伤害!$C12</f>
        <v>1.0900000000000001</v>
      </c>
      <c r="BC17" s="2">
        <f>[2]技能伤害!$N12</f>
        <v>197</v>
      </c>
      <c r="BD17" s="2">
        <f>[2]技能伤害!$L12</f>
        <v>174</v>
      </c>
      <c r="BE17" s="48">
        <f t="shared" si="7"/>
        <v>0.673080270624688</v>
      </c>
      <c r="BF17" s="48">
        <f t="shared" si="8"/>
        <v>0.72419322657641338</v>
      </c>
      <c r="BG17" s="28">
        <f t="shared" si="14"/>
        <v>317.74052393496663</v>
      </c>
      <c r="BH17" s="28">
        <f t="shared" si="15"/>
        <v>95.980757151408142</v>
      </c>
      <c r="BI17" s="28">
        <f t="shared" si="16"/>
        <v>235.69343629686017</v>
      </c>
      <c r="BJ17" s="49">
        <f t="shared" si="9"/>
        <v>1.8070406162958659</v>
      </c>
      <c r="BK17" s="49">
        <f t="shared" si="10"/>
        <v>40.841519866490131</v>
      </c>
      <c r="BL17" s="49">
        <f t="shared" si="17"/>
        <v>9.2398745251218077</v>
      </c>
    </row>
    <row r="18" spans="1:64" x14ac:dyDescent="0.15">
      <c r="A18" s="26">
        <v>65</v>
      </c>
      <c r="B18" s="43">
        <v>7.5</v>
      </c>
      <c r="C18" s="25">
        <v>6.5</v>
      </c>
      <c r="D18" s="42">
        <v>74.13414648135462</v>
      </c>
      <c r="E18" s="25">
        <v>26</v>
      </c>
      <c r="F18" s="25">
        <v>1779.219515552511</v>
      </c>
      <c r="I18" s="29">
        <v>11</v>
      </c>
      <c r="J18" s="29">
        <f>[1]属性成长!$D18</f>
        <v>55</v>
      </c>
      <c r="K18" s="27">
        <v>11</v>
      </c>
      <c r="L18" s="27">
        <v>11</v>
      </c>
      <c r="M18" s="27">
        <f t="shared" si="1"/>
        <v>10</v>
      </c>
      <c r="N18" s="27">
        <v>0</v>
      </c>
      <c r="O18" s="27">
        <v>1</v>
      </c>
      <c r="P18" s="27">
        <v>1</v>
      </c>
      <c r="Q18" s="27">
        <v>0</v>
      </c>
      <c r="R18" s="27">
        <v>1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11</v>
      </c>
      <c r="Z18" s="27">
        <v>1</v>
      </c>
      <c r="AA18" s="27">
        <v>0</v>
      </c>
      <c r="AB18" s="2">
        <f t="shared" si="2"/>
        <v>85</v>
      </c>
      <c r="AC18" s="28">
        <f t="shared" si="3"/>
        <v>108.44444444444446</v>
      </c>
      <c r="AD18" s="28">
        <f t="shared" si="4"/>
        <v>12</v>
      </c>
      <c r="AE18" s="28">
        <f t="shared" si="5"/>
        <v>0</v>
      </c>
      <c r="AF18" s="28">
        <f>INDEX(圣火属性!$I$3:$I$53,MATCH(T18,圣火属性!$B$3:$B$53,0),1)+INDEX(圣火属性!$J$3:$J$53,MATCH(U18,圣火属性!$B$3:$B$53,0),1)+INDEX(圣火属性!$K$3:$K$53,MATCH(V18,圣火属性!$B$3:$B$53,0),1)+INDEX(圣火属性!$L$3:$L$53,MATCH(W18,圣火属性!$B$3:$B$53,0),1)+INDEX(圣火属性!$M$3:$M$53,MATCH(X18,圣火属性!$B$3:$B$53,0),1)</f>
        <v>0</v>
      </c>
      <c r="AG18" s="28">
        <f>AA18*VLOOKUP(Z18,神器属性!$B$4:$D$13,3,FALSE)</f>
        <v>0</v>
      </c>
      <c r="AH18" s="36">
        <f t="shared" si="12"/>
        <v>205</v>
      </c>
      <c r="AI18" s="36">
        <f>AH18*10*(1+VLOOKUP(Y18,技能效果!$B$2:$D$101,3,FALSE))</f>
        <v>2132</v>
      </c>
      <c r="AJ18" s="36">
        <f t="shared" si="6"/>
        <v>191.68529999999998</v>
      </c>
      <c r="AK18" s="2">
        <v>1</v>
      </c>
      <c r="AL18" s="28">
        <f t="shared" si="13"/>
        <v>192</v>
      </c>
      <c r="AM18" s="28">
        <f>$AH18/5*[1]战斗预期!C$4</f>
        <v>4100</v>
      </c>
      <c r="AN18" s="28">
        <f>$AH18/5*[1]战斗预期!D$4</f>
        <v>410</v>
      </c>
      <c r="AO18" s="28">
        <f>$AH18/5*[1]战斗预期!E$4</f>
        <v>205</v>
      </c>
      <c r="AP18" s="28">
        <f>$AH18/5*[1]战斗预期!F$4</f>
        <v>164</v>
      </c>
      <c r="AQ18" s="28">
        <f>$AH18/5*[1]战斗预期!G$4</f>
        <v>164</v>
      </c>
      <c r="AR18" s="28">
        <f>$AL18*怪物属性规划!A$18*怪物属性等级系数!A12</f>
        <v>1162.7431894695469</v>
      </c>
      <c r="AS18" s="28">
        <f>$AL18*怪物属性规划!B$18</f>
        <v>192</v>
      </c>
      <c r="AT18" s="28">
        <f>$AL18*怪物属性规划!C$18</f>
        <v>192</v>
      </c>
      <c r="AU18" s="28">
        <f>$AL18*怪物属性规划!D$18</f>
        <v>153.60000000000002</v>
      </c>
      <c r="AV18" s="28">
        <f>$AL18*怪物属性规划!E$18</f>
        <v>153.60000000000002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48">
        <f>[2]技能伤害!$C13</f>
        <v>1.1000000000000001</v>
      </c>
      <c r="BC18" s="2">
        <f>[2]技能伤害!$N13</f>
        <v>221</v>
      </c>
      <c r="BD18" s="2">
        <f>[2]技能伤害!$L13</f>
        <v>179</v>
      </c>
      <c r="BE18" s="48">
        <f t="shared" si="7"/>
        <v>0.66943505956926042</v>
      </c>
      <c r="BF18" s="48">
        <f t="shared" si="8"/>
        <v>0.7274895223765131</v>
      </c>
      <c r="BG18" s="28">
        <f t="shared" si="14"/>
        <v>321.04957626852706</v>
      </c>
      <c r="BH18" s="28">
        <f t="shared" si="15"/>
        <v>104.64402340741897</v>
      </c>
      <c r="BI18" s="28">
        <f t="shared" si="16"/>
        <v>245.80445081638521</v>
      </c>
      <c r="BJ18" s="49">
        <f t="shared" si="9"/>
        <v>2.0120519892974484</v>
      </c>
      <c r="BK18" s="49">
        <f t="shared" si="10"/>
        <v>39.180450698432544</v>
      </c>
      <c r="BL18" s="49">
        <f t="shared" si="17"/>
        <v>9.2666254423491594</v>
      </c>
    </row>
    <row r="19" spans="1:64" x14ac:dyDescent="0.15">
      <c r="A19" s="24">
        <v>70</v>
      </c>
      <c r="B19" s="43">
        <v>8</v>
      </c>
      <c r="C19" s="25">
        <v>7</v>
      </c>
      <c r="D19" s="42">
        <v>81.87608196522558</v>
      </c>
      <c r="E19" s="25">
        <v>28</v>
      </c>
      <c r="F19" s="25">
        <v>1965.0259671654139</v>
      </c>
      <c r="I19" s="29">
        <v>12</v>
      </c>
      <c r="J19" s="29">
        <f>[1]属性成长!$D19</f>
        <v>60</v>
      </c>
      <c r="K19" s="27">
        <v>12</v>
      </c>
      <c r="L19" s="27">
        <v>12</v>
      </c>
      <c r="M19" s="27">
        <f t="shared" si="1"/>
        <v>10</v>
      </c>
      <c r="N19" s="27">
        <v>0</v>
      </c>
      <c r="O19" s="27">
        <v>1</v>
      </c>
      <c r="P19" s="27">
        <v>1</v>
      </c>
      <c r="Q19" s="27">
        <v>0</v>
      </c>
      <c r="R19" s="27">
        <v>1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12</v>
      </c>
      <c r="Z19" s="27">
        <v>1</v>
      </c>
      <c r="AA19" s="27">
        <v>0</v>
      </c>
      <c r="AB19" s="2">
        <f t="shared" si="2"/>
        <v>90</v>
      </c>
      <c r="AC19" s="28">
        <f t="shared" si="3"/>
        <v>112.88888888888889</v>
      </c>
      <c r="AD19" s="28">
        <f t="shared" si="4"/>
        <v>12</v>
      </c>
      <c r="AE19" s="28">
        <f t="shared" si="5"/>
        <v>0</v>
      </c>
      <c r="AF19" s="28">
        <f>INDEX(圣火属性!$I$3:$I$53,MATCH(T19,圣火属性!$B$3:$B$53,0),1)+INDEX(圣火属性!$J$3:$J$53,MATCH(U19,圣火属性!$B$3:$B$53,0),1)+INDEX(圣火属性!$K$3:$K$53,MATCH(V19,圣火属性!$B$3:$B$53,0),1)+INDEX(圣火属性!$L$3:$L$53,MATCH(W19,圣火属性!$B$3:$B$53,0),1)+INDEX(圣火属性!$M$3:$M$53,MATCH(X19,圣火属性!$B$3:$B$53,0),1)</f>
        <v>0</v>
      </c>
      <c r="AG19" s="28">
        <f>AA19*VLOOKUP(Z19,神器属性!$B$4:$D$13,3,FALSE)</f>
        <v>0</v>
      </c>
      <c r="AH19" s="36">
        <f t="shared" si="12"/>
        <v>215</v>
      </c>
      <c r="AI19" s="36">
        <f>AH19*10*(1+VLOOKUP(Y19,技能效果!$B$2:$D$101,3,FALSE))</f>
        <v>2244.6</v>
      </c>
      <c r="AJ19" s="36">
        <f t="shared" si="6"/>
        <v>210.49939999999998</v>
      </c>
      <c r="AK19" s="2">
        <v>1</v>
      </c>
      <c r="AL19" s="28">
        <f t="shared" si="13"/>
        <v>210</v>
      </c>
      <c r="AM19" s="28">
        <f>$AH19/5*[1]战斗预期!C$4</f>
        <v>4300</v>
      </c>
      <c r="AN19" s="28">
        <f>$AH19/5*[1]战斗预期!D$4</f>
        <v>430</v>
      </c>
      <c r="AO19" s="28">
        <f>$AH19/5*[1]战斗预期!E$4</f>
        <v>215</v>
      </c>
      <c r="AP19" s="28">
        <f>$AH19/5*[1]战斗预期!F$4</f>
        <v>172</v>
      </c>
      <c r="AQ19" s="28">
        <f>$AH19/5*[1]战斗预期!G$4</f>
        <v>172</v>
      </c>
      <c r="AR19" s="28">
        <f>$AL19*怪物属性规划!A$18*怪物属性等级系数!A13</f>
        <v>1297.431335043015</v>
      </c>
      <c r="AS19" s="28">
        <f>$AL19*怪物属性规划!B$18</f>
        <v>210</v>
      </c>
      <c r="AT19" s="28">
        <f>$AL19*怪物属性规划!C$18</f>
        <v>210</v>
      </c>
      <c r="AU19" s="28">
        <f>$AL19*怪物属性规划!D$18</f>
        <v>168</v>
      </c>
      <c r="AV19" s="28">
        <f>$AL19*怪物属性规划!E$18</f>
        <v>168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48">
        <f>[2]技能伤害!$C14</f>
        <v>1.1100000000000001</v>
      </c>
      <c r="BC19" s="2">
        <f>[2]技能伤害!$N14</f>
        <v>245</v>
      </c>
      <c r="BD19" s="2">
        <f>[2]技能伤害!$L14</f>
        <v>186</v>
      </c>
      <c r="BE19" s="48">
        <f t="shared" si="7"/>
        <v>0.66644451849383535</v>
      </c>
      <c r="BF19" s="48">
        <f t="shared" si="8"/>
        <v>0.72932284917603485</v>
      </c>
      <c r="BG19" s="28">
        <f t="shared" si="14"/>
        <v>327.29206264578482</v>
      </c>
      <c r="BH19" s="28">
        <f t="shared" si="15"/>
        <v>113.68440334606537</v>
      </c>
      <c r="BI19" s="28">
        <f t="shared" si="16"/>
        <v>258.38840817655716</v>
      </c>
      <c r="BJ19" s="49">
        <f t="shared" si="9"/>
        <v>2.2022996228756586</v>
      </c>
      <c r="BK19" s="49">
        <f t="shared" si="10"/>
        <v>37.824009920784121</v>
      </c>
      <c r="BL19" s="49">
        <f t="shared" si="17"/>
        <v>9.2453407865594261</v>
      </c>
    </row>
    <row r="20" spans="1:64" x14ac:dyDescent="0.15">
      <c r="A20" s="24">
        <v>75</v>
      </c>
      <c r="B20" s="43">
        <v>8.5</v>
      </c>
      <c r="C20" s="25">
        <v>7.5</v>
      </c>
      <c r="D20" s="42">
        <v>89.632645211048967</v>
      </c>
      <c r="E20" s="25">
        <v>30</v>
      </c>
      <c r="F20" s="25">
        <v>2151.1834850651753</v>
      </c>
      <c r="I20" s="29">
        <v>13</v>
      </c>
      <c r="J20" s="29">
        <f>[1]属性成长!$D20</f>
        <v>65</v>
      </c>
      <c r="K20" s="27">
        <v>13</v>
      </c>
      <c r="L20" s="27">
        <v>13</v>
      </c>
      <c r="M20" s="27">
        <f t="shared" si="1"/>
        <v>10</v>
      </c>
      <c r="N20" s="27">
        <v>0</v>
      </c>
      <c r="O20" s="27">
        <v>1</v>
      </c>
      <c r="P20" s="27">
        <v>1</v>
      </c>
      <c r="Q20" s="27">
        <v>0</v>
      </c>
      <c r="R20" s="27">
        <v>1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13</v>
      </c>
      <c r="Z20" s="27">
        <v>1</v>
      </c>
      <c r="AA20" s="27">
        <v>0</v>
      </c>
      <c r="AB20" s="2">
        <f t="shared" si="2"/>
        <v>95</v>
      </c>
      <c r="AC20" s="28">
        <f t="shared" si="3"/>
        <v>117.33333333333334</v>
      </c>
      <c r="AD20" s="28">
        <f t="shared" si="4"/>
        <v>12</v>
      </c>
      <c r="AE20" s="28">
        <f t="shared" si="5"/>
        <v>0</v>
      </c>
      <c r="AF20" s="28">
        <f>INDEX(圣火属性!$I$3:$I$53,MATCH(T20,圣火属性!$B$3:$B$53,0),1)+INDEX(圣火属性!$J$3:$J$53,MATCH(U20,圣火属性!$B$3:$B$53,0),1)+INDEX(圣火属性!$K$3:$K$53,MATCH(V20,圣火属性!$B$3:$B$53,0),1)+INDEX(圣火属性!$L$3:$L$53,MATCH(W20,圣火属性!$B$3:$B$53,0),1)+INDEX(圣火属性!$M$3:$M$53,MATCH(X20,圣火属性!$B$3:$B$53,0),1)</f>
        <v>0</v>
      </c>
      <c r="AG20" s="28">
        <f>AA20*VLOOKUP(Z20,神器属性!$B$4:$D$13,3,FALSE)</f>
        <v>0</v>
      </c>
      <c r="AH20" s="36">
        <f t="shared" si="12"/>
        <v>224</v>
      </c>
      <c r="AI20" s="36">
        <f>AH20*10*(1+VLOOKUP(Y20,技能效果!$B$2:$D$101,3,FALSE))</f>
        <v>2347.52</v>
      </c>
      <c r="AJ20" s="36">
        <f t="shared" si="6"/>
        <v>230.78710000000001</v>
      </c>
      <c r="AK20" s="2">
        <v>1</v>
      </c>
      <c r="AL20" s="28">
        <f t="shared" si="13"/>
        <v>231</v>
      </c>
      <c r="AM20" s="28">
        <f>$AH20/5*[1]战斗预期!C$4</f>
        <v>4480</v>
      </c>
      <c r="AN20" s="28">
        <f>$AH20/5*[1]战斗预期!D$4</f>
        <v>448</v>
      </c>
      <c r="AO20" s="28">
        <f>$AH20/5*[1]战斗预期!E$4</f>
        <v>224</v>
      </c>
      <c r="AP20" s="28">
        <f>$AH20/5*[1]战斗预期!F$4</f>
        <v>179.2</v>
      </c>
      <c r="AQ20" s="28">
        <f>$AH20/5*[1]战斗预期!G$4</f>
        <v>179.2</v>
      </c>
      <c r="AR20" s="28">
        <f>$AL20*怪物属性规划!A$18*怪物属性等级系数!A14</f>
        <v>1450.6760161547297</v>
      </c>
      <c r="AS20" s="28">
        <f>$AL20*怪物属性规划!B$18</f>
        <v>231</v>
      </c>
      <c r="AT20" s="28">
        <f>$AL20*怪物属性规划!C$18</f>
        <v>231</v>
      </c>
      <c r="AU20" s="28">
        <f>$AL20*怪物属性规划!D$18</f>
        <v>184.8</v>
      </c>
      <c r="AV20" s="28">
        <f>$AL20*怪物属性规划!E$18</f>
        <v>184.8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48">
        <f>[2]技能伤害!$C15</f>
        <v>1.1200000000000001</v>
      </c>
      <c r="BC20" s="2">
        <f>[2]技能伤害!$N15</f>
        <v>273</v>
      </c>
      <c r="BD20" s="2">
        <f>[2]技能伤害!$L15</f>
        <v>191</v>
      </c>
      <c r="BE20" s="48">
        <f t="shared" si="7"/>
        <v>0.66357000663569998</v>
      </c>
      <c r="BF20" s="48">
        <f t="shared" si="8"/>
        <v>0.7321720996669272</v>
      </c>
      <c r="BG20" s="28">
        <f t="shared" si="14"/>
        <v>337.61422694094239</v>
      </c>
      <c r="BH20" s="28">
        <f t="shared" si="15"/>
        <v>134.93648995387969</v>
      </c>
      <c r="BI20" s="28">
        <f t="shared" si="16"/>
        <v>268.77065454224527</v>
      </c>
      <c r="BJ20" s="49">
        <f t="shared" si="9"/>
        <v>2.387136132823394</v>
      </c>
      <c r="BK20" s="49">
        <f t="shared" si="10"/>
        <v>33.200804330476004</v>
      </c>
      <c r="BL20" s="49">
        <f t="shared" si="17"/>
        <v>9.2602702223121103</v>
      </c>
    </row>
    <row r="21" spans="1:64" x14ac:dyDescent="0.15">
      <c r="A21" s="24">
        <v>80</v>
      </c>
      <c r="B21" s="43">
        <v>9</v>
      </c>
      <c r="C21" s="25">
        <v>8</v>
      </c>
      <c r="D21" s="42">
        <v>97.410422988826738</v>
      </c>
      <c r="E21" s="25">
        <v>32</v>
      </c>
      <c r="F21" s="25">
        <v>2337.8501517318418</v>
      </c>
      <c r="I21" s="29">
        <v>14</v>
      </c>
      <c r="J21" s="29">
        <f>[1]属性成长!$D21</f>
        <v>70</v>
      </c>
      <c r="K21" s="27">
        <v>14</v>
      </c>
      <c r="L21" s="27">
        <v>14</v>
      </c>
      <c r="M21" s="27">
        <f t="shared" si="1"/>
        <v>10</v>
      </c>
      <c r="N21" s="27">
        <v>0</v>
      </c>
      <c r="O21" s="27">
        <v>1</v>
      </c>
      <c r="P21" s="27">
        <v>1</v>
      </c>
      <c r="Q21" s="27">
        <v>0</v>
      </c>
      <c r="R21" s="27">
        <v>1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14</v>
      </c>
      <c r="Z21" s="27">
        <v>1</v>
      </c>
      <c r="AA21" s="27">
        <v>0</v>
      </c>
      <c r="AB21" s="2">
        <f t="shared" si="2"/>
        <v>100</v>
      </c>
      <c r="AC21" s="28">
        <f t="shared" si="3"/>
        <v>121.77777777777777</v>
      </c>
      <c r="AD21" s="28">
        <f t="shared" si="4"/>
        <v>12</v>
      </c>
      <c r="AE21" s="28">
        <f t="shared" si="5"/>
        <v>0</v>
      </c>
      <c r="AF21" s="28">
        <f>INDEX(圣火属性!$I$3:$I$53,MATCH(T21,圣火属性!$B$3:$B$53,0),1)+INDEX(圣火属性!$J$3:$J$53,MATCH(U21,圣火属性!$B$3:$B$53,0),1)+INDEX(圣火属性!$K$3:$K$53,MATCH(V21,圣火属性!$B$3:$B$53,0),1)+INDEX(圣火属性!$L$3:$L$53,MATCH(W21,圣火属性!$B$3:$B$53,0),1)+INDEX(圣火属性!$M$3:$M$53,MATCH(X21,圣火属性!$B$3:$B$53,0),1)</f>
        <v>0</v>
      </c>
      <c r="AG21" s="28">
        <f>AA21*VLOOKUP(Z21,神器属性!$B$4:$D$13,3,FALSE)</f>
        <v>0</v>
      </c>
      <c r="AH21" s="36">
        <f t="shared" si="12"/>
        <v>234</v>
      </c>
      <c r="AI21" s="36">
        <f>AH21*10*(1+VLOOKUP(Y21,技能效果!$B$2:$D$101,3,FALSE))</f>
        <v>2461.6800000000003</v>
      </c>
      <c r="AJ21" s="36">
        <f t="shared" si="6"/>
        <v>252.64619999999999</v>
      </c>
      <c r="AK21" s="2">
        <v>1</v>
      </c>
      <c r="AL21" s="28">
        <f t="shared" si="13"/>
        <v>253</v>
      </c>
      <c r="AM21" s="28">
        <f>$AH21/5*[1]战斗预期!C$4</f>
        <v>4680</v>
      </c>
      <c r="AN21" s="28">
        <f>$AH21/5*[1]战斗预期!D$4</f>
        <v>468</v>
      </c>
      <c r="AO21" s="28">
        <f>$AH21/5*[1]战斗预期!E$4</f>
        <v>234</v>
      </c>
      <c r="AP21" s="28">
        <f>$AH21/5*[1]战斗预期!F$4</f>
        <v>187.2</v>
      </c>
      <c r="AQ21" s="28">
        <f>$AH21/5*[1]战斗预期!G$4</f>
        <v>187.2</v>
      </c>
      <c r="AR21" s="28">
        <f>$AL21*怪物属性规划!A$18*怪物属性等级系数!A15</f>
        <v>1618.0936603334856</v>
      </c>
      <c r="AS21" s="28">
        <f>$AL21*怪物属性规划!B$18</f>
        <v>253</v>
      </c>
      <c r="AT21" s="28">
        <f>$AL21*怪物属性规划!C$18</f>
        <v>253</v>
      </c>
      <c r="AU21" s="28">
        <f>$AL21*怪物属性规划!D$18</f>
        <v>202.4</v>
      </c>
      <c r="AV21" s="28">
        <f>$AL21*怪物属性规划!E$18</f>
        <v>202.4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48">
        <f>[2]技能伤害!$C16</f>
        <v>1.1300000000000001</v>
      </c>
      <c r="BC21" s="2">
        <f>[2]技能伤害!$N16</f>
        <v>303</v>
      </c>
      <c r="BD21" s="2">
        <f>[2]技能伤害!$L16</f>
        <v>197</v>
      </c>
      <c r="BE21" s="48">
        <f t="shared" si="7"/>
        <v>0.66059683487951293</v>
      </c>
      <c r="BF21" s="48">
        <f t="shared" si="8"/>
        <v>0.73466389126974396</v>
      </c>
      <c r="BG21" s="28">
        <f t="shared" si="14"/>
        <v>358.9799396846368</v>
      </c>
      <c r="BH21" s="28">
        <f t="shared" si="15"/>
        <v>164.66007101750958</v>
      </c>
      <c r="BI21" s="28">
        <f t="shared" si="16"/>
        <v>280.64069548181726</v>
      </c>
      <c r="BJ21" s="49">
        <f t="shared" si="9"/>
        <v>2.5041536393292891</v>
      </c>
      <c r="BK21" s="49">
        <f t="shared" si="10"/>
        <v>28.422191069639094</v>
      </c>
      <c r="BL21" s="49">
        <f t="shared" si="17"/>
        <v>9.2645152390896008</v>
      </c>
    </row>
    <row r="22" spans="1:64" x14ac:dyDescent="0.15">
      <c r="A22" s="24">
        <v>85</v>
      </c>
      <c r="B22" s="43">
        <v>9.5</v>
      </c>
      <c r="C22" s="25">
        <v>8.5</v>
      </c>
      <c r="D22" s="42">
        <v>105.1985849825962</v>
      </c>
      <c r="E22" s="25">
        <v>34</v>
      </c>
      <c r="F22" s="25">
        <v>2524.7660395823086</v>
      </c>
      <c r="I22" s="29">
        <v>15</v>
      </c>
      <c r="J22" s="29">
        <f>[1]属性成长!$D22</f>
        <v>75</v>
      </c>
      <c r="K22" s="27">
        <v>15</v>
      </c>
      <c r="L22" s="27">
        <v>15</v>
      </c>
      <c r="M22" s="27">
        <f t="shared" si="1"/>
        <v>15</v>
      </c>
      <c r="N22" s="27">
        <v>0</v>
      </c>
      <c r="O22" s="27">
        <v>1</v>
      </c>
      <c r="P22" s="27">
        <v>1</v>
      </c>
      <c r="Q22" s="27">
        <v>0</v>
      </c>
      <c r="R22" s="27">
        <v>1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15</v>
      </c>
      <c r="Z22" s="27">
        <v>1</v>
      </c>
      <c r="AA22" s="27">
        <v>0</v>
      </c>
      <c r="AB22" s="2">
        <f t="shared" si="2"/>
        <v>105</v>
      </c>
      <c r="AC22" s="28">
        <f t="shared" si="3"/>
        <v>181.77777777777777</v>
      </c>
      <c r="AD22" s="28">
        <f t="shared" si="4"/>
        <v>12</v>
      </c>
      <c r="AE22" s="28">
        <f t="shared" si="5"/>
        <v>0</v>
      </c>
      <c r="AF22" s="28">
        <f>INDEX(圣火属性!$I$3:$I$53,MATCH(T22,圣火属性!$B$3:$B$53,0),1)+INDEX(圣火属性!$J$3:$J$53,MATCH(U22,圣火属性!$B$3:$B$53,0),1)+INDEX(圣火属性!$K$3:$K$53,MATCH(V22,圣火属性!$B$3:$B$53,0),1)+INDEX(圣火属性!$L$3:$L$53,MATCH(W22,圣火属性!$B$3:$B$53,0),1)+INDEX(圣火属性!$M$3:$M$53,MATCH(X22,圣火属性!$B$3:$B$53,0),1)</f>
        <v>0</v>
      </c>
      <c r="AG22" s="28">
        <f>AA22*VLOOKUP(Z22,神器属性!$B$4:$D$13,3,FALSE)</f>
        <v>0</v>
      </c>
      <c r="AH22" s="36">
        <f t="shared" si="12"/>
        <v>299</v>
      </c>
      <c r="AI22" s="36">
        <f>AH22*10*(1+VLOOKUP(Y22,技能效果!$B$2:$D$101,3,FALSE))</f>
        <v>3157.44</v>
      </c>
      <c r="AJ22" s="36">
        <f t="shared" si="6"/>
        <v>276.17450000000002</v>
      </c>
      <c r="AK22" s="2">
        <v>1</v>
      </c>
      <c r="AL22" s="28">
        <f t="shared" si="13"/>
        <v>276</v>
      </c>
      <c r="AM22" s="28">
        <f>$AH22/5*[1]战斗预期!C$4</f>
        <v>5980</v>
      </c>
      <c r="AN22" s="28">
        <f>$AH22/5*[1]战斗预期!D$4</f>
        <v>598</v>
      </c>
      <c r="AO22" s="28">
        <f>$AH22/5*[1]战斗预期!E$4</f>
        <v>299</v>
      </c>
      <c r="AP22" s="28">
        <f>$AH22/5*[1]战斗预期!F$4</f>
        <v>239.2</v>
      </c>
      <c r="AQ22" s="28">
        <f>$AH22/5*[1]战斗预期!G$4</f>
        <v>239.2</v>
      </c>
      <c r="AR22" s="28">
        <f>$AL22*怪物属性规划!A$18*怪物属性等级系数!A16</f>
        <v>1794.2811193309751</v>
      </c>
      <c r="AS22" s="28">
        <f>$AL22*怪物属性规划!B$18</f>
        <v>276</v>
      </c>
      <c r="AT22" s="28">
        <f>$AL22*怪物属性规划!C$18</f>
        <v>276</v>
      </c>
      <c r="AU22" s="28">
        <f>$AL22*怪物属性规划!D$18</f>
        <v>220.8</v>
      </c>
      <c r="AV22" s="28">
        <f>$AL22*怪物属性规划!E$18</f>
        <v>220.8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48">
        <f>[2]技能伤害!$C17</f>
        <v>1.1400000000000001</v>
      </c>
      <c r="BC22" s="2">
        <f>[2]技能伤害!$N17</f>
        <v>335</v>
      </c>
      <c r="BD22" s="2">
        <f>[2]技能伤害!$L17</f>
        <v>249</v>
      </c>
      <c r="BE22" s="48">
        <f t="shared" si="7"/>
        <v>0.65758907830313418</v>
      </c>
      <c r="BF22" s="48">
        <f t="shared" si="8"/>
        <v>0.73677803760771365</v>
      </c>
      <c r="BG22" s="28">
        <f t="shared" si="14"/>
        <v>508.80874707837472</v>
      </c>
      <c r="BH22" s="28">
        <f t="shared" si="15"/>
        <v>145.29852324054207</v>
      </c>
      <c r="BI22" s="28">
        <f t="shared" si="16"/>
        <v>358.88735240413894</v>
      </c>
      <c r="BJ22" s="49">
        <f t="shared" si="9"/>
        <v>1.959130714235181</v>
      </c>
      <c r="BK22" s="49">
        <f t="shared" si="10"/>
        <v>41.156646789176897</v>
      </c>
      <c r="BL22" s="49">
        <f t="shared" si="17"/>
        <v>9.257005575613336</v>
      </c>
    </row>
    <row r="23" spans="1:64" x14ac:dyDescent="0.15">
      <c r="A23" s="24">
        <v>90</v>
      </c>
      <c r="B23" s="43">
        <v>10</v>
      </c>
      <c r="C23" s="25">
        <v>9</v>
      </c>
      <c r="D23" s="42">
        <v>113.0034630313767</v>
      </c>
      <c r="E23" s="25">
        <v>36</v>
      </c>
      <c r="F23" s="25">
        <v>2712.083112753041</v>
      </c>
      <c r="I23" s="29">
        <v>16</v>
      </c>
      <c r="J23" s="29">
        <f>[1]属性成长!$D23</f>
        <v>80</v>
      </c>
      <c r="K23" s="27">
        <v>16</v>
      </c>
      <c r="L23" s="27">
        <v>16</v>
      </c>
      <c r="M23" s="27">
        <f t="shared" si="1"/>
        <v>15</v>
      </c>
      <c r="N23" s="27">
        <v>0</v>
      </c>
      <c r="O23" s="27">
        <v>1</v>
      </c>
      <c r="P23" s="27">
        <v>1</v>
      </c>
      <c r="Q23" s="27">
        <v>0</v>
      </c>
      <c r="R23" s="27">
        <v>1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16</v>
      </c>
      <c r="Z23" s="27">
        <v>1</v>
      </c>
      <c r="AA23" s="27">
        <v>0</v>
      </c>
      <c r="AB23" s="2">
        <f t="shared" si="2"/>
        <v>110</v>
      </c>
      <c r="AC23" s="28">
        <f t="shared" si="3"/>
        <v>187.33333333333334</v>
      </c>
      <c r="AD23" s="28">
        <f t="shared" si="4"/>
        <v>12</v>
      </c>
      <c r="AE23" s="28">
        <f t="shared" si="5"/>
        <v>0</v>
      </c>
      <c r="AF23" s="28">
        <f>INDEX(圣火属性!$I$3:$I$53,MATCH(T23,圣火属性!$B$3:$B$53,0),1)+INDEX(圣火属性!$J$3:$J$53,MATCH(U23,圣火属性!$B$3:$B$53,0),1)+INDEX(圣火属性!$K$3:$K$53,MATCH(V23,圣火属性!$B$3:$B$53,0),1)+INDEX(圣火属性!$L$3:$L$53,MATCH(W23,圣火属性!$B$3:$B$53,0),1)+INDEX(圣火属性!$M$3:$M$53,MATCH(X23,圣火属性!$B$3:$B$53,0),1)</f>
        <v>0</v>
      </c>
      <c r="AG23" s="28">
        <f>AA23*VLOOKUP(Z23,神器属性!$B$4:$D$13,3,FALSE)</f>
        <v>0</v>
      </c>
      <c r="AH23" s="36">
        <f t="shared" si="12"/>
        <v>309</v>
      </c>
      <c r="AI23" s="36">
        <f>AH23*10*(1+VLOOKUP(Y23,技能效果!$B$2:$D$101,3,FALSE))</f>
        <v>3275.4</v>
      </c>
      <c r="AJ23" s="36">
        <f t="shared" si="6"/>
        <v>301.46980000000002</v>
      </c>
      <c r="AK23" s="2">
        <v>1</v>
      </c>
      <c r="AL23" s="28">
        <f t="shared" si="13"/>
        <v>301</v>
      </c>
      <c r="AM23" s="28">
        <f>$AH23/5*[1]战斗预期!C$4</f>
        <v>6180</v>
      </c>
      <c r="AN23" s="28">
        <f>$AH23/5*[1]战斗预期!D$4</f>
        <v>618</v>
      </c>
      <c r="AO23" s="28">
        <f>$AH23/5*[1]战斗预期!E$4</f>
        <v>309</v>
      </c>
      <c r="AP23" s="28">
        <f>$AH23/5*[1]战斗预期!F$4</f>
        <v>247.2</v>
      </c>
      <c r="AQ23" s="28">
        <f>$AH23/5*[1]战斗预期!G$4</f>
        <v>247.2</v>
      </c>
      <c r="AR23" s="28">
        <f>$AL23*怪物属性规划!A$18*怪物属性等级系数!A17</f>
        <v>1989.7393771800143</v>
      </c>
      <c r="AS23" s="28">
        <f>$AL23*怪物属性规划!B$18</f>
        <v>301</v>
      </c>
      <c r="AT23" s="28">
        <f>$AL23*怪物属性规划!C$18</f>
        <v>301</v>
      </c>
      <c r="AU23" s="28">
        <f>$AL23*怪物属性规划!D$18</f>
        <v>240.8</v>
      </c>
      <c r="AV23" s="28">
        <f>$AL23*怪物属性规划!E$18</f>
        <v>240.8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48">
        <f>[2]技能伤害!$C18</f>
        <v>1.1500000000000001</v>
      </c>
      <c r="BC23" s="2">
        <f>[2]技能伤害!$N18</f>
        <v>370</v>
      </c>
      <c r="BD23" s="2">
        <f>[2]技能伤害!$L18</f>
        <v>254</v>
      </c>
      <c r="BE23" s="48">
        <f t="shared" si="7"/>
        <v>0.65473212537793923</v>
      </c>
      <c r="BF23" s="48">
        <f t="shared" si="8"/>
        <v>0.7392945837699717</v>
      </c>
      <c r="BG23" s="28">
        <f t="shared" si="14"/>
        <v>505.48375698779716</v>
      </c>
      <c r="BH23" s="28">
        <f t="shared" si="15"/>
        <v>156.94466057047703</v>
      </c>
      <c r="BI23" s="28">
        <f t="shared" si="16"/>
        <v>370.56667862936223</v>
      </c>
      <c r="BJ23" s="49">
        <f t="shared" si="9"/>
        <v>2.1868373608821887</v>
      </c>
      <c r="BK23" s="49">
        <f t="shared" si="10"/>
        <v>39.376936925005047</v>
      </c>
      <c r="BL23" s="49">
        <f t="shared" si="17"/>
        <v>9.26508920346647</v>
      </c>
    </row>
    <row r="24" spans="1:64" x14ac:dyDescent="0.15">
      <c r="A24" s="24">
        <v>95</v>
      </c>
      <c r="B24" s="43">
        <v>10.5</v>
      </c>
      <c r="C24" s="25">
        <v>9.5</v>
      </c>
      <c r="D24" s="42">
        <v>120.8159630313767</v>
      </c>
      <c r="E24" s="25">
        <v>38</v>
      </c>
      <c r="F24" s="25">
        <v>2899.583112753041</v>
      </c>
      <c r="I24" s="29">
        <v>17</v>
      </c>
      <c r="J24" s="29">
        <f>[1]属性成长!$D24</f>
        <v>85</v>
      </c>
      <c r="K24" s="27">
        <v>17</v>
      </c>
      <c r="L24" s="27">
        <v>17</v>
      </c>
      <c r="M24" s="27">
        <f t="shared" si="1"/>
        <v>15</v>
      </c>
      <c r="N24" s="27">
        <v>0</v>
      </c>
      <c r="O24" s="27">
        <v>1</v>
      </c>
      <c r="P24" s="27">
        <v>1</v>
      </c>
      <c r="Q24" s="27">
        <v>0</v>
      </c>
      <c r="R24" s="27">
        <v>1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17</v>
      </c>
      <c r="Z24" s="27">
        <v>1</v>
      </c>
      <c r="AA24" s="27">
        <v>0</v>
      </c>
      <c r="AB24" s="2">
        <f t="shared" si="2"/>
        <v>115</v>
      </c>
      <c r="AC24" s="28">
        <f t="shared" si="3"/>
        <v>192.88888888888889</v>
      </c>
      <c r="AD24" s="28">
        <f t="shared" si="4"/>
        <v>12</v>
      </c>
      <c r="AE24" s="28">
        <f t="shared" si="5"/>
        <v>0</v>
      </c>
      <c r="AF24" s="28">
        <f>INDEX(圣火属性!$I$3:$I$53,MATCH(T24,圣火属性!$B$3:$B$53,0),1)+INDEX(圣火属性!$J$3:$J$53,MATCH(U24,圣火属性!$B$3:$B$53,0),1)+INDEX(圣火属性!$K$3:$K$53,MATCH(V24,圣火属性!$B$3:$B$53,0),1)+INDEX(圣火属性!$L$3:$L$53,MATCH(W24,圣火属性!$B$3:$B$53,0),1)+INDEX(圣火属性!$M$3:$M$53,MATCH(X24,圣火属性!$B$3:$B$53,0),1)</f>
        <v>0</v>
      </c>
      <c r="AG24" s="28">
        <f>AA24*VLOOKUP(Z24,神器属性!$B$4:$D$13,3,FALSE)</f>
        <v>0</v>
      </c>
      <c r="AH24" s="36">
        <f t="shared" si="12"/>
        <v>320</v>
      </c>
      <c r="AI24" s="36">
        <f>AH24*10*(1+VLOOKUP(Y24,技能效果!$B$2:$D$101,3,FALSE))</f>
        <v>3404.8</v>
      </c>
      <c r="AJ24" s="36">
        <f t="shared" si="6"/>
        <v>328.62989999999996</v>
      </c>
      <c r="AK24" s="2">
        <v>1</v>
      </c>
      <c r="AL24" s="28">
        <f t="shared" si="13"/>
        <v>329</v>
      </c>
      <c r="AM24" s="28">
        <f>$AH24/5*[1]战斗预期!C$4</f>
        <v>6400</v>
      </c>
      <c r="AN24" s="28">
        <f>$AH24/5*[1]战斗预期!D$4</f>
        <v>640</v>
      </c>
      <c r="AO24" s="28">
        <f>$AH24/5*[1]战斗预期!E$4</f>
        <v>320</v>
      </c>
      <c r="AP24" s="28">
        <f>$AH24/5*[1]战斗预期!F$4</f>
        <v>256</v>
      </c>
      <c r="AQ24" s="28">
        <f>$AH24/5*[1]战斗预期!G$4</f>
        <v>256</v>
      </c>
      <c r="AR24" s="28">
        <f>$AL24*怪物属性规划!A$18*怪物属性等级系数!A18</f>
        <v>2212.9610868393684</v>
      </c>
      <c r="AS24" s="28">
        <f>$AL24*怪物属性规划!B$18</f>
        <v>329</v>
      </c>
      <c r="AT24" s="28">
        <f>$AL24*怪物属性规划!C$18</f>
        <v>329</v>
      </c>
      <c r="AU24" s="28">
        <f>$AL24*怪物属性规划!D$18</f>
        <v>263.2</v>
      </c>
      <c r="AV24" s="28">
        <f>$AL24*怪物属性规划!E$18</f>
        <v>263.2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48">
        <f>[2]技能伤害!$C19</f>
        <v>1.1600000000000001</v>
      </c>
      <c r="BC24" s="2">
        <f>[2]技能伤害!$N19</f>
        <v>410</v>
      </c>
      <c r="BD24" s="2">
        <f>[2]技能伤害!$L19</f>
        <v>260</v>
      </c>
      <c r="BE24" s="48">
        <f t="shared" si="7"/>
        <v>0.65162708708827666</v>
      </c>
      <c r="BF24" s="48">
        <f t="shared" si="8"/>
        <v>0.74153033322519357</v>
      </c>
      <c r="BG24" s="28">
        <f t="shared" si="14"/>
        <v>517.26410109132689</v>
      </c>
      <c r="BH24" s="28">
        <f t="shared" si="15"/>
        <v>184.4730407378226</v>
      </c>
      <c r="BI24" s="28">
        <f t="shared" si="16"/>
        <v>383.77576122723258</v>
      </c>
      <c r="BJ24" s="49">
        <f t="shared" si="9"/>
        <v>2.3767797212836301</v>
      </c>
      <c r="BK24" s="49">
        <f t="shared" si="10"/>
        <v>34.693416308434088</v>
      </c>
      <c r="BL24" s="49">
        <f t="shared" si="17"/>
        <v>9.2646694105580085</v>
      </c>
    </row>
    <row r="25" spans="1:64" x14ac:dyDescent="0.15">
      <c r="A25" s="26">
        <v>100</v>
      </c>
      <c r="B25" s="43">
        <v>11</v>
      </c>
      <c r="C25" s="25">
        <v>10</v>
      </c>
      <c r="D25" s="42">
        <v>128.64204998789845</v>
      </c>
      <c r="E25" s="25">
        <v>40</v>
      </c>
      <c r="F25" s="25">
        <v>3087.4091997095629</v>
      </c>
      <c r="I25" s="29">
        <v>18</v>
      </c>
      <c r="J25" s="29">
        <f>[1]属性成长!$D25</f>
        <v>90</v>
      </c>
      <c r="K25" s="27">
        <v>18</v>
      </c>
      <c r="L25" s="27">
        <v>18</v>
      </c>
      <c r="M25" s="27">
        <f t="shared" si="1"/>
        <v>15</v>
      </c>
      <c r="N25" s="27">
        <v>0</v>
      </c>
      <c r="O25" s="27">
        <v>1</v>
      </c>
      <c r="P25" s="27">
        <v>1</v>
      </c>
      <c r="Q25" s="27">
        <v>0</v>
      </c>
      <c r="R25" s="27">
        <v>1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18</v>
      </c>
      <c r="Z25" s="27">
        <v>1</v>
      </c>
      <c r="AA25" s="27">
        <v>0</v>
      </c>
      <c r="AB25" s="2">
        <f t="shared" si="2"/>
        <v>120</v>
      </c>
      <c r="AC25" s="28">
        <f t="shared" si="3"/>
        <v>198.44444444444446</v>
      </c>
      <c r="AD25" s="28">
        <f t="shared" si="4"/>
        <v>12</v>
      </c>
      <c r="AE25" s="28">
        <f t="shared" si="5"/>
        <v>0</v>
      </c>
      <c r="AF25" s="28">
        <f>INDEX(圣火属性!$I$3:$I$53,MATCH(T25,圣火属性!$B$3:$B$53,0),1)+INDEX(圣火属性!$J$3:$J$53,MATCH(U25,圣火属性!$B$3:$B$53,0),1)+INDEX(圣火属性!$K$3:$K$53,MATCH(V25,圣火属性!$B$3:$B$53,0),1)+INDEX(圣火属性!$L$3:$L$53,MATCH(W25,圣火属性!$B$3:$B$53,0),1)+INDEX(圣火属性!$M$3:$M$53,MATCH(X25,圣火属性!$B$3:$B$53,0),1)</f>
        <v>0</v>
      </c>
      <c r="AG25" s="28">
        <f>AA25*VLOOKUP(Z25,神器属性!$B$4:$D$13,3,FALSE)</f>
        <v>0</v>
      </c>
      <c r="AH25" s="36">
        <f t="shared" si="12"/>
        <v>330</v>
      </c>
      <c r="AI25" s="36">
        <f>AH25*10*(1+VLOOKUP(Y25,技能效果!$B$2:$D$101,3,FALSE))</f>
        <v>3524.4</v>
      </c>
      <c r="AJ25" s="36">
        <f t="shared" si="6"/>
        <v>357.75259999999997</v>
      </c>
      <c r="AK25" s="2">
        <v>1</v>
      </c>
      <c r="AL25" s="28">
        <f t="shared" si="13"/>
        <v>358</v>
      </c>
      <c r="AM25" s="28">
        <f>$AH25/5*[1]战斗预期!C$4</f>
        <v>6600</v>
      </c>
      <c r="AN25" s="28">
        <f>$AH25/5*[1]战斗预期!D$4</f>
        <v>660</v>
      </c>
      <c r="AO25" s="28">
        <f>$AH25/5*[1]战斗预期!E$4</f>
        <v>330</v>
      </c>
      <c r="AP25" s="28">
        <f>$AH25/5*[1]战斗预期!F$4</f>
        <v>264</v>
      </c>
      <c r="AQ25" s="28">
        <f>$AH25/5*[1]战斗预期!G$4</f>
        <v>264</v>
      </c>
      <c r="AR25" s="28">
        <f>$AL25*怪物属性规划!A$18*怪物属性等级系数!A19</f>
        <v>2451.1815536083709</v>
      </c>
      <c r="AS25" s="28">
        <f>$AL25*怪物属性规划!B$18</f>
        <v>358</v>
      </c>
      <c r="AT25" s="28">
        <f>$AL25*怪物属性规划!C$18</f>
        <v>358</v>
      </c>
      <c r="AU25" s="28">
        <f>$AL25*怪物属性规划!D$18</f>
        <v>286.40000000000003</v>
      </c>
      <c r="AV25" s="28">
        <f>$AL25*怪物属性规划!E$18</f>
        <v>286.40000000000003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48">
        <f>[2]技能伤害!$C20</f>
        <v>1.1700000000000002</v>
      </c>
      <c r="BC25" s="2">
        <f>[2]技能伤害!$N20</f>
        <v>452</v>
      </c>
      <c r="BD25" s="2">
        <f>[2]技能伤害!$L20</f>
        <v>266</v>
      </c>
      <c r="BE25" s="48">
        <f t="shared" si="7"/>
        <v>0.64865883444342176</v>
      </c>
      <c r="BF25" s="48">
        <f t="shared" si="8"/>
        <v>0.74305245950364085</v>
      </c>
      <c r="BG25" s="28">
        <f t="shared" si="14"/>
        <v>542.61129608557951</v>
      </c>
      <c r="BH25" s="28">
        <f t="shared" si="15"/>
        <v>228.77443899539321</v>
      </c>
      <c r="BI25" s="28">
        <f t="shared" si="16"/>
        <v>396.82978154257711</v>
      </c>
      <c r="BJ25" s="49">
        <f t="shared" si="9"/>
        <v>2.5096556957186036</v>
      </c>
      <c r="BK25" s="49">
        <f t="shared" si="10"/>
        <v>28.84937683153013</v>
      </c>
      <c r="BL25" s="49">
        <f t="shared" si="17"/>
        <v>9.2398979038655096</v>
      </c>
    </row>
    <row r="26" spans="1:64" x14ac:dyDescent="0.15">
      <c r="I26" s="29">
        <v>19</v>
      </c>
      <c r="J26" s="29">
        <f>[1]属性成长!$D26</f>
        <v>95</v>
      </c>
      <c r="K26" s="27">
        <v>19</v>
      </c>
      <c r="L26" s="27">
        <v>19</v>
      </c>
      <c r="M26" s="27">
        <f t="shared" si="1"/>
        <v>15</v>
      </c>
      <c r="N26" s="27">
        <v>0</v>
      </c>
      <c r="O26" s="27">
        <v>1</v>
      </c>
      <c r="P26" s="27">
        <v>1</v>
      </c>
      <c r="Q26" s="27">
        <v>0</v>
      </c>
      <c r="R26" s="27">
        <v>1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19</v>
      </c>
      <c r="Z26" s="27">
        <v>1</v>
      </c>
      <c r="AA26" s="27">
        <v>0</v>
      </c>
      <c r="AB26" s="2">
        <f t="shared" si="2"/>
        <v>125</v>
      </c>
      <c r="AC26" s="28">
        <f t="shared" si="3"/>
        <v>204</v>
      </c>
      <c r="AD26" s="28">
        <f t="shared" si="4"/>
        <v>12</v>
      </c>
      <c r="AE26" s="28">
        <f t="shared" si="5"/>
        <v>0</v>
      </c>
      <c r="AF26" s="28">
        <f>INDEX(圣火属性!$I$3:$I$53,MATCH(T26,圣火属性!$B$3:$B$53,0),1)+INDEX(圣火属性!$J$3:$J$53,MATCH(U26,圣火属性!$B$3:$B$53,0),1)+INDEX(圣火属性!$K$3:$K$53,MATCH(V26,圣火属性!$B$3:$B$53,0),1)+INDEX(圣火属性!$L$3:$L$53,MATCH(W26,圣火属性!$B$3:$B$53,0),1)+INDEX(圣火属性!$M$3:$M$53,MATCH(X26,圣火属性!$B$3:$B$53,0),1)</f>
        <v>0</v>
      </c>
      <c r="AG26" s="28">
        <f>AA26*VLOOKUP(Z26,神器属性!$B$4:$D$13,3,FALSE)</f>
        <v>0</v>
      </c>
      <c r="AH26" s="36">
        <f t="shared" si="12"/>
        <v>341</v>
      </c>
      <c r="AI26" s="36">
        <f>AH26*10*(1+VLOOKUP(Y26,技能效果!$B$2:$D$101,3,FALSE))</f>
        <v>3655.5200000000004</v>
      </c>
      <c r="AJ26" s="36">
        <f t="shared" si="6"/>
        <v>388.9357</v>
      </c>
      <c r="AK26" s="2">
        <v>1</v>
      </c>
      <c r="AL26" s="28">
        <f t="shared" si="13"/>
        <v>389</v>
      </c>
      <c r="AM26" s="28">
        <f>$AH26/5*[1]战斗预期!C$4</f>
        <v>6820</v>
      </c>
      <c r="AN26" s="28">
        <f>$AH26/5*[1]战斗预期!D$4</f>
        <v>682</v>
      </c>
      <c r="AO26" s="28">
        <f>$AH26/5*[1]战斗预期!E$4</f>
        <v>341</v>
      </c>
      <c r="AP26" s="28">
        <f>$AH26/5*[1]战斗预期!F$4</f>
        <v>272.8</v>
      </c>
      <c r="AQ26" s="28">
        <f>$AH26/5*[1]战斗预期!G$4</f>
        <v>272.8</v>
      </c>
      <c r="AR26" s="28">
        <f>$AL26*怪物属性规划!A$18*怪物属性等级系数!A20</f>
        <v>2709.3960785692607</v>
      </c>
      <c r="AS26" s="28">
        <f>$AL26*怪物属性规划!B$18</f>
        <v>389</v>
      </c>
      <c r="AT26" s="28">
        <f>$AL26*怪物属性规划!C$18</f>
        <v>389</v>
      </c>
      <c r="AU26" s="28">
        <f>$AL26*怪物属性规划!D$18</f>
        <v>311.20000000000005</v>
      </c>
      <c r="AV26" s="28">
        <f>$AL26*怪物属性规划!E$18</f>
        <v>311.20000000000005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48">
        <f>[2]技能伤害!$C21</f>
        <v>1.1800000000000002</v>
      </c>
      <c r="BC26" s="2">
        <f>[2]技能伤害!$N21</f>
        <v>497</v>
      </c>
      <c r="BD26" s="2">
        <f>[2]技能伤害!$L21</f>
        <v>271</v>
      </c>
      <c r="BE26" s="48">
        <f t="shared" si="7"/>
        <v>0.64595085127687379</v>
      </c>
      <c r="BF26" s="48">
        <f t="shared" si="8"/>
        <v>0.74574803339026674</v>
      </c>
      <c r="BG26" s="28">
        <f t="shared" si="14"/>
        <v>569.84918585284618</v>
      </c>
      <c r="BH26" s="28">
        <f t="shared" si="15"/>
        <v>274.60803002237253</v>
      </c>
      <c r="BI26" s="28">
        <f t="shared" si="16"/>
        <v>409.22362529769794</v>
      </c>
      <c r="BJ26" s="49">
        <f t="shared" si="9"/>
        <v>2.6414358062069541</v>
      </c>
      <c r="BK26" s="49">
        <f t="shared" si="10"/>
        <v>24.835399021086051</v>
      </c>
      <c r="BL26" s="49">
        <f t="shared" si="17"/>
        <v>9.2587247037181335</v>
      </c>
    </row>
    <row r="27" spans="1:64" x14ac:dyDescent="0.15">
      <c r="A27" s="24" t="s">
        <v>38</v>
      </c>
      <c r="B27" s="24" t="s">
        <v>39</v>
      </c>
      <c r="C27" s="2" t="s">
        <v>85</v>
      </c>
      <c r="D27" s="24" t="s">
        <v>40</v>
      </c>
      <c r="E27" s="2" t="s">
        <v>86</v>
      </c>
      <c r="I27" s="29">
        <v>20</v>
      </c>
      <c r="J27" s="29">
        <f>[1]属性成长!$D27</f>
        <v>100</v>
      </c>
      <c r="K27" s="27">
        <v>20</v>
      </c>
      <c r="L27" s="27">
        <v>20</v>
      </c>
      <c r="M27" s="27">
        <f t="shared" si="1"/>
        <v>20</v>
      </c>
      <c r="N27" s="27">
        <v>0</v>
      </c>
      <c r="O27" s="27">
        <v>1</v>
      </c>
      <c r="P27" s="27">
        <v>1</v>
      </c>
      <c r="Q27" s="27">
        <v>0</v>
      </c>
      <c r="R27" s="27">
        <v>1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20</v>
      </c>
      <c r="Z27" s="27">
        <v>1</v>
      </c>
      <c r="AA27" s="27">
        <v>0</v>
      </c>
      <c r="AB27" s="2">
        <f t="shared" si="2"/>
        <v>130</v>
      </c>
      <c r="AC27" s="28">
        <f t="shared" si="3"/>
        <v>286.66666666666669</v>
      </c>
      <c r="AD27" s="28">
        <f t="shared" si="4"/>
        <v>12</v>
      </c>
      <c r="AE27" s="28">
        <f t="shared" si="5"/>
        <v>0</v>
      </c>
      <c r="AF27" s="28">
        <f>INDEX(圣火属性!$I$3:$I$53,MATCH(T27,圣火属性!$B$3:$B$53,0),1)+INDEX(圣火属性!$J$3:$J$53,MATCH(U27,圣火属性!$B$3:$B$53,0),1)+INDEX(圣火属性!$K$3:$K$53,MATCH(V27,圣火属性!$B$3:$B$53,0),1)+INDEX(圣火属性!$L$3:$L$53,MATCH(W27,圣火属性!$B$3:$B$53,0),1)+INDEX(圣火属性!$M$3:$M$53,MATCH(X27,圣火属性!$B$3:$B$53,0),1)</f>
        <v>0</v>
      </c>
      <c r="AG27" s="28">
        <f>AA27*VLOOKUP(Z27,神器属性!$B$4:$D$13,3,FALSE)</f>
        <v>0</v>
      </c>
      <c r="AH27" s="36">
        <f>AL27</f>
        <v>422</v>
      </c>
      <c r="AI27" s="36">
        <f>AH27*10*(1+VLOOKUP(Y27,技能效果!$B$2:$D$101,3,FALSE))</f>
        <v>4540.72</v>
      </c>
      <c r="AJ27" s="36">
        <f t="shared" si="6"/>
        <v>422.27699999999999</v>
      </c>
      <c r="AK27" s="2">
        <v>1</v>
      </c>
      <c r="AL27" s="28">
        <f t="shared" si="13"/>
        <v>422</v>
      </c>
      <c r="AM27" s="28">
        <f>$AH27/5*[1]战斗预期!C$4</f>
        <v>8440</v>
      </c>
      <c r="AN27" s="28">
        <f>$AH27/5*[1]战斗预期!D$4</f>
        <v>844</v>
      </c>
      <c r="AO27" s="28">
        <f>$AH27/5*[1]战斗预期!E$4</f>
        <v>422</v>
      </c>
      <c r="AP27" s="28">
        <f>$AH27/5*[1]战斗预期!F$4</f>
        <v>337.6</v>
      </c>
      <c r="AQ27" s="28">
        <f>$AH27/5*[1]战斗预期!G$4</f>
        <v>337.6</v>
      </c>
      <c r="AR27" s="28">
        <f>$AL27*怪物属性规划!A$18*怪物属性等级系数!A21</f>
        <v>2988.1177097515074</v>
      </c>
      <c r="AS27" s="28">
        <f>$AL27*怪物属性规划!B$18</f>
        <v>422</v>
      </c>
      <c r="AT27" s="28">
        <f>$AL27*怪物属性规划!C$18</f>
        <v>422</v>
      </c>
      <c r="AU27" s="28">
        <f>$AL27*怪物属性规划!D$18</f>
        <v>337.6</v>
      </c>
      <c r="AV27" s="28">
        <f>$AL27*怪物属性规划!E$18</f>
        <v>337.6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48">
        <f>[2]技能伤害!$C22</f>
        <v>1.1900000000000002</v>
      </c>
      <c r="BC27" s="2">
        <f>[2]技能伤害!$N22</f>
        <v>547</v>
      </c>
      <c r="BD27" s="2">
        <f>[2]技能伤害!$L22</f>
        <v>355</v>
      </c>
      <c r="BE27" s="48">
        <f t="shared" si="7"/>
        <v>0.64264318227157613</v>
      </c>
      <c r="BF27" s="48">
        <f t="shared" si="8"/>
        <v>0.73481398932604325</v>
      </c>
      <c r="BG27" s="28">
        <f t="shared" si="14"/>
        <v>717.82978690743971</v>
      </c>
      <c r="BH27" s="28">
        <f t="shared" si="15"/>
        <v>223.81699300881951</v>
      </c>
      <c r="BI27" s="28">
        <f t="shared" si="16"/>
        <v>532.68444336099049</v>
      </c>
      <c r="BJ27" s="49">
        <f t="shared" si="9"/>
        <v>2.3126170362173188</v>
      </c>
      <c r="BK27" s="49">
        <f t="shared" si="10"/>
        <v>37.70937982205588</v>
      </c>
      <c r="BL27" s="49">
        <f t="shared" si="17"/>
        <v>8.8023762423099612</v>
      </c>
    </row>
    <row r="28" spans="1:64" x14ac:dyDescent="0.15">
      <c r="A28" s="24">
        <v>0</v>
      </c>
      <c r="B28" s="24">
        <v>0</v>
      </c>
      <c r="C28" s="44">
        <v>0</v>
      </c>
      <c r="D28" s="25">
        <v>0</v>
      </c>
      <c r="E28" s="2">
        <v>0</v>
      </c>
      <c r="I28" s="29">
        <v>21</v>
      </c>
      <c r="J28" s="29">
        <f>[1]属性成长!$D28</f>
        <v>105</v>
      </c>
      <c r="K28" s="27">
        <v>21</v>
      </c>
      <c r="L28" s="27">
        <v>21</v>
      </c>
      <c r="M28" s="27">
        <f t="shared" si="1"/>
        <v>20</v>
      </c>
      <c r="N28" s="27">
        <v>0</v>
      </c>
      <c r="O28" s="27">
        <v>1</v>
      </c>
      <c r="P28" s="27">
        <v>1</v>
      </c>
      <c r="Q28" s="27">
        <v>0</v>
      </c>
      <c r="R28" s="27">
        <v>1</v>
      </c>
      <c r="S28" s="27">
        <v>0</v>
      </c>
      <c r="T28" s="27">
        <v>8</v>
      </c>
      <c r="U28" s="27">
        <v>0</v>
      </c>
      <c r="V28" s="27">
        <v>0</v>
      </c>
      <c r="W28" s="27">
        <v>0</v>
      </c>
      <c r="X28" s="27">
        <v>0</v>
      </c>
      <c r="Y28" s="27">
        <v>21</v>
      </c>
      <c r="Z28" s="27">
        <v>1</v>
      </c>
      <c r="AA28" s="27">
        <v>0</v>
      </c>
      <c r="AB28" s="2">
        <f t="shared" si="2"/>
        <v>135</v>
      </c>
      <c r="AC28" s="28">
        <f t="shared" si="3"/>
        <v>293.33333333333337</v>
      </c>
      <c r="AD28" s="28">
        <f t="shared" si="4"/>
        <v>12</v>
      </c>
      <c r="AE28" s="28">
        <f t="shared" si="5"/>
        <v>0</v>
      </c>
      <c r="AF28" s="28">
        <f>INDEX(圣火属性!$I$3:$I$53,MATCH(T28,圣火属性!$B$3:$B$53,0),1)+INDEX(圣火属性!$J$3:$J$53,MATCH(U28,圣火属性!$B$3:$B$53,0),1)+INDEX(圣火属性!$K$3:$K$53,MATCH(V28,圣火属性!$B$3:$B$53,0),1)+INDEX(圣火属性!$L$3:$L$53,MATCH(W28,圣火属性!$B$3:$B$53,0),1)+INDEX(圣火属性!$M$3:$M$53,MATCH(X28,圣火属性!$B$3:$B$53,0),1)</f>
        <v>36</v>
      </c>
      <c r="AG28" s="28">
        <f>AA28*VLOOKUP(Z28,神器属性!$B$4:$D$13,3,FALSE)</f>
        <v>0</v>
      </c>
      <c r="AH28" s="36">
        <f t="shared" si="12"/>
        <v>476</v>
      </c>
      <c r="AI28" s="36">
        <f>AH28*10*(1+VLOOKUP(Y28,技能效果!$B$2:$D$101,3,FALSE))</f>
        <v>5140.8</v>
      </c>
      <c r="AJ28" s="36">
        <f t="shared" si="6"/>
        <v>457.87430000000001</v>
      </c>
      <c r="AK28" s="2">
        <v>1</v>
      </c>
      <c r="AL28" s="28">
        <f t="shared" si="13"/>
        <v>458</v>
      </c>
      <c r="AM28" s="28">
        <f>$AH28/5*[1]战斗预期!C$4</f>
        <v>9520</v>
      </c>
      <c r="AN28" s="28">
        <f>$AH28/5*[1]战斗预期!D$4</f>
        <v>952</v>
      </c>
      <c r="AO28" s="28">
        <f>$AH28/5*[1]战斗预期!E$4</f>
        <v>476</v>
      </c>
      <c r="AP28" s="28">
        <f>$AH28/5*[1]战斗预期!F$4</f>
        <v>380.8</v>
      </c>
      <c r="AQ28" s="28">
        <f>$AH28/5*[1]战斗预期!G$4</f>
        <v>380.8</v>
      </c>
      <c r="AR28" s="28">
        <f>$AL28*怪物属性规划!A$18*怪物属性等级系数!A22</f>
        <v>3298.3417700301011</v>
      </c>
      <c r="AS28" s="28">
        <f>$AL28*怪物属性规划!B$18</f>
        <v>458</v>
      </c>
      <c r="AT28" s="28">
        <f>$AL28*怪物属性规划!C$18</f>
        <v>458</v>
      </c>
      <c r="AU28" s="28">
        <f>$AL28*怪物属性规划!D$18</f>
        <v>366.40000000000003</v>
      </c>
      <c r="AV28" s="28">
        <f>$AL28*怪物属性规划!E$18</f>
        <v>366.40000000000003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48">
        <f>[2]技能伤害!$C23</f>
        <v>1.2000000000000002</v>
      </c>
      <c r="BC28" s="2">
        <f>[2]技能伤害!$N23</f>
        <v>601</v>
      </c>
      <c r="BD28" s="2">
        <f>[2]技能伤害!$L23</f>
        <v>370</v>
      </c>
      <c r="BE28" s="48">
        <f t="shared" si="7"/>
        <v>0.63981761007167914</v>
      </c>
      <c r="BF28" s="48">
        <f t="shared" si="8"/>
        <v>0.74992516503080042</v>
      </c>
      <c r="BG28" s="28">
        <f t="shared" si="14"/>
        <v>857.50472450822758</v>
      </c>
      <c r="BH28" s="28">
        <f t="shared" si="15"/>
        <v>229.06854883178681</v>
      </c>
      <c r="BI28" s="28">
        <f t="shared" si="16"/>
        <v>571.37098293762733</v>
      </c>
      <c r="BJ28" s="49">
        <f t="shared" si="9"/>
        <v>2.1369119517236963</v>
      </c>
      <c r="BK28" s="49">
        <f t="shared" si="10"/>
        <v>41.55961195262504</v>
      </c>
      <c r="BL28" s="49">
        <f t="shared" si="17"/>
        <v>9.2564884231550852</v>
      </c>
    </row>
    <row r="29" spans="1:64" x14ac:dyDescent="0.15">
      <c r="A29" s="24">
        <v>1</v>
      </c>
      <c r="B29" s="24">
        <v>1</v>
      </c>
      <c r="C29" s="44">
        <v>10</v>
      </c>
      <c r="D29" s="25">
        <v>4</v>
      </c>
      <c r="E29" s="2">
        <v>240</v>
      </c>
      <c r="I29" s="29">
        <v>22</v>
      </c>
      <c r="J29" s="29">
        <f>[1]属性成长!$D29</f>
        <v>110</v>
      </c>
      <c r="K29" s="27">
        <v>22</v>
      </c>
      <c r="L29" s="27">
        <v>22</v>
      </c>
      <c r="M29" s="27">
        <f t="shared" si="1"/>
        <v>20</v>
      </c>
      <c r="N29" s="27">
        <v>0</v>
      </c>
      <c r="O29" s="27">
        <v>1</v>
      </c>
      <c r="P29" s="27">
        <v>1</v>
      </c>
      <c r="Q29" s="27">
        <v>0</v>
      </c>
      <c r="R29" s="27">
        <v>1</v>
      </c>
      <c r="S29" s="27">
        <v>0</v>
      </c>
      <c r="T29" s="27">
        <v>10</v>
      </c>
      <c r="U29" s="27">
        <v>0</v>
      </c>
      <c r="V29" s="27">
        <v>0</v>
      </c>
      <c r="W29" s="27">
        <v>0</v>
      </c>
      <c r="X29" s="27">
        <v>0</v>
      </c>
      <c r="Y29" s="27">
        <v>22</v>
      </c>
      <c r="Z29" s="27">
        <v>1</v>
      </c>
      <c r="AA29" s="27">
        <v>0</v>
      </c>
      <c r="AB29" s="2">
        <f t="shared" si="2"/>
        <v>140</v>
      </c>
      <c r="AC29" s="28">
        <f t="shared" si="3"/>
        <v>300</v>
      </c>
      <c r="AD29" s="28">
        <f t="shared" si="4"/>
        <v>12</v>
      </c>
      <c r="AE29" s="28">
        <f t="shared" si="5"/>
        <v>0</v>
      </c>
      <c r="AF29" s="28">
        <f>INDEX(圣火属性!$I$3:$I$53,MATCH(T29,圣火属性!$B$3:$B$53,0),1)+INDEX(圣火属性!$J$3:$J$53,MATCH(U29,圣火属性!$B$3:$B$53,0),1)+INDEX(圣火属性!$K$3:$K$53,MATCH(V29,圣火属性!$B$3:$B$53,0),1)+INDEX(圣火属性!$L$3:$L$53,MATCH(W29,圣火属性!$B$3:$B$53,0),1)+INDEX(圣火属性!$M$3:$M$53,MATCH(X29,圣火属性!$B$3:$B$53,0),1)</f>
        <v>45</v>
      </c>
      <c r="AG29" s="28">
        <f>AA29*VLOOKUP(Z29,神器属性!$B$4:$D$13,3,FALSE)</f>
        <v>0</v>
      </c>
      <c r="AH29" s="36">
        <f>ROUND(SUM(AB29:AG29),0)</f>
        <v>497</v>
      </c>
      <c r="AI29" s="36">
        <f>AH29*10*(1+VLOOKUP(Y29,技能效果!$B$2:$D$101,3,FALSE))</f>
        <v>5387.4800000000005</v>
      </c>
      <c r="AJ29" s="36">
        <f t="shared" si="6"/>
        <v>495.8254</v>
      </c>
      <c r="AK29" s="2">
        <v>1</v>
      </c>
      <c r="AL29" s="28">
        <f t="shared" si="13"/>
        <v>496</v>
      </c>
      <c r="AM29" s="28">
        <f>$AH29/5*[1]战斗预期!C$4</f>
        <v>9940</v>
      </c>
      <c r="AN29" s="28">
        <f>$AH29/5*[1]战斗预期!D$4</f>
        <v>994</v>
      </c>
      <c r="AO29" s="28">
        <f>$AH29/5*[1]战斗预期!E$4</f>
        <v>497</v>
      </c>
      <c r="AP29" s="28">
        <f>$AH29/5*[1]战斗预期!F$4</f>
        <v>397.6</v>
      </c>
      <c r="AQ29" s="28">
        <f>$AH29/5*[1]战斗预期!G$4</f>
        <v>397.6</v>
      </c>
      <c r="AR29" s="28">
        <f>$AL29*怪物属性规划!A$18*怪物属性等级系数!A23</f>
        <v>3628.9451317448024</v>
      </c>
      <c r="AS29" s="28">
        <f>$AL29*怪物属性规划!B$18</f>
        <v>496</v>
      </c>
      <c r="AT29" s="28">
        <f>$AL29*怪物属性规划!C$18</f>
        <v>496</v>
      </c>
      <c r="AU29" s="28">
        <f>$AL29*怪物属性规划!D$18</f>
        <v>396.8</v>
      </c>
      <c r="AV29" s="28">
        <f>$AL29*怪物属性规划!E$18</f>
        <v>396.8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48">
        <f>[2]技能伤害!$C24</f>
        <v>1.2100000000000002</v>
      </c>
      <c r="BC29" s="2">
        <f>[2]技能伤害!$N24</f>
        <v>660</v>
      </c>
      <c r="BD29" s="2">
        <f>[2]技能伤害!$L24</f>
        <v>382</v>
      </c>
      <c r="BE29" s="48">
        <f t="shared" si="7"/>
        <v>0.6365993274636137</v>
      </c>
      <c r="BF29" s="48">
        <f t="shared" si="8"/>
        <v>0.75202987540816923</v>
      </c>
      <c r="BG29" s="28">
        <f t="shared" si="14"/>
        <v>876.08904977282668</v>
      </c>
      <c r="BH29" s="28">
        <f t="shared" si="15"/>
        <v>245.98636359509612</v>
      </c>
      <c r="BI29" s="28">
        <f t="shared" si="16"/>
        <v>596.48717530315719</v>
      </c>
      <c r="BJ29" s="49">
        <f t="shared" si="9"/>
        <v>2.3012279736516397</v>
      </c>
      <c r="BK29" s="49">
        <f t="shared" si="10"/>
        <v>40.408744024370627</v>
      </c>
      <c r="BL29" s="49">
        <f t="shared" si="17"/>
        <v>9.2579060386597938</v>
      </c>
    </row>
    <row r="30" spans="1:64" x14ac:dyDescent="0.15">
      <c r="A30" s="24">
        <v>2</v>
      </c>
      <c r="B30" s="24">
        <v>2</v>
      </c>
      <c r="C30" s="44">
        <v>22</v>
      </c>
      <c r="D30" s="25">
        <v>8</v>
      </c>
      <c r="E30" s="2">
        <v>528</v>
      </c>
      <c r="I30" s="29">
        <v>23</v>
      </c>
      <c r="J30" s="29">
        <f>[1]属性成长!$D30</f>
        <v>115</v>
      </c>
      <c r="K30" s="27">
        <v>23</v>
      </c>
      <c r="L30" s="27">
        <v>23</v>
      </c>
      <c r="M30" s="27">
        <f t="shared" si="1"/>
        <v>20</v>
      </c>
      <c r="N30" s="27">
        <v>0</v>
      </c>
      <c r="O30" s="27">
        <v>1</v>
      </c>
      <c r="P30" s="27">
        <v>1</v>
      </c>
      <c r="Q30" s="27">
        <v>0</v>
      </c>
      <c r="R30" s="27">
        <v>1</v>
      </c>
      <c r="S30" s="27">
        <v>0</v>
      </c>
      <c r="T30" s="27">
        <v>12</v>
      </c>
      <c r="U30" s="27">
        <v>0</v>
      </c>
      <c r="V30" s="27">
        <v>0</v>
      </c>
      <c r="W30" s="27">
        <v>0</v>
      </c>
      <c r="X30" s="27">
        <v>0</v>
      </c>
      <c r="Y30" s="27">
        <v>23</v>
      </c>
      <c r="Z30" s="27">
        <v>1</v>
      </c>
      <c r="AA30" s="27">
        <v>0</v>
      </c>
      <c r="AB30" s="2">
        <f t="shared" si="2"/>
        <v>145</v>
      </c>
      <c r="AC30" s="28">
        <f t="shared" si="3"/>
        <v>306.66666666666669</v>
      </c>
      <c r="AD30" s="28">
        <f t="shared" si="4"/>
        <v>12</v>
      </c>
      <c r="AE30" s="28">
        <f t="shared" si="5"/>
        <v>0</v>
      </c>
      <c r="AF30" s="28">
        <f>INDEX(圣火属性!$I$3:$I$53,MATCH(T30,圣火属性!$B$3:$B$53,0),1)+INDEX(圣火属性!$J$3:$J$53,MATCH(U30,圣火属性!$B$3:$B$53,0),1)+INDEX(圣火属性!$K$3:$K$53,MATCH(V30,圣火属性!$B$3:$B$53,0),1)+INDEX(圣火属性!$L$3:$L$53,MATCH(W30,圣火属性!$B$3:$B$53,0),1)+INDEX(圣火属性!$M$3:$M$53,MATCH(X30,圣火属性!$B$3:$B$53,0),1)</f>
        <v>55.5</v>
      </c>
      <c r="AG30" s="28">
        <f>AA30*VLOOKUP(Z30,神器属性!$B$4:$D$13,3,FALSE)</f>
        <v>0</v>
      </c>
      <c r="AH30" s="36">
        <f t="shared" ref="AH30:AH93" si="20">ROUND(SUM(AB30:AG30),0)</f>
        <v>519</v>
      </c>
      <c r="AI30" s="36">
        <f>AH30*10*(1+VLOOKUP(Y30,技能效果!$B$2:$D$101,3,FALSE))</f>
        <v>5646.72</v>
      </c>
      <c r="AJ30" s="36">
        <f t="shared" si="6"/>
        <v>536.22810000000004</v>
      </c>
      <c r="AK30" s="2">
        <v>1</v>
      </c>
      <c r="AL30" s="28">
        <f t="shared" si="13"/>
        <v>536</v>
      </c>
      <c r="AM30" s="28">
        <f>$AH30/5*[1]战斗预期!C$4</f>
        <v>10380</v>
      </c>
      <c r="AN30" s="28">
        <f>$AH30/5*[1]战斗预期!D$4</f>
        <v>1038</v>
      </c>
      <c r="AO30" s="28">
        <f>$AH30/5*[1]战斗预期!E$4</f>
        <v>519</v>
      </c>
      <c r="AP30" s="28">
        <f>$AH30/5*[1]战斗预期!F$4</f>
        <v>415.2</v>
      </c>
      <c r="AQ30" s="28">
        <f>$AH30/5*[1]战斗预期!G$4</f>
        <v>415.2</v>
      </c>
      <c r="AR30" s="28">
        <f>$AL30*怪物属性规划!A$18*怪物属性等级系数!A24</f>
        <v>3987.1734680359677</v>
      </c>
      <c r="AS30" s="28">
        <f>$AL30*怪物属性规划!B$18</f>
        <v>536</v>
      </c>
      <c r="AT30" s="28">
        <f>$AL30*怪物属性规划!C$18</f>
        <v>536</v>
      </c>
      <c r="AU30" s="28">
        <f>$AL30*怪物属性规划!D$18</f>
        <v>428.8</v>
      </c>
      <c r="AV30" s="28">
        <f>$AL30*怪物属性规划!E$18</f>
        <v>428.8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48">
        <f>[2]技能伤害!$C25</f>
        <v>1.2200000000000002</v>
      </c>
      <c r="BC30" s="2">
        <f>[2]技能伤害!$N25</f>
        <v>722</v>
      </c>
      <c r="BD30" s="2">
        <f>[2]技能伤害!$L25</f>
        <v>395</v>
      </c>
      <c r="BE30" s="48">
        <f t="shared" si="7"/>
        <v>0.63376601264221299</v>
      </c>
      <c r="BF30" s="48">
        <f t="shared" si="8"/>
        <v>0.7538619081857203</v>
      </c>
      <c r="BG30" s="28">
        <f t="shared" si="14"/>
        <v>927.56814446081444</v>
      </c>
      <c r="BH30" s="28">
        <f t="shared" si="15"/>
        <v>291.06003442490788</v>
      </c>
      <c r="BI30" s="28">
        <f t="shared" si="16"/>
        <v>623.39886789986258</v>
      </c>
      <c r="BJ30" s="49">
        <f t="shared" si="9"/>
        <v>2.3880686118416725</v>
      </c>
      <c r="BK30" s="49">
        <f t="shared" si="10"/>
        <v>35.662745730479159</v>
      </c>
      <c r="BL30" s="49">
        <f t="shared" si="17"/>
        <v>9.2503643551578829</v>
      </c>
    </row>
    <row r="31" spans="1:64" x14ac:dyDescent="0.15">
      <c r="A31" s="24">
        <v>3</v>
      </c>
      <c r="B31" s="24">
        <v>3</v>
      </c>
      <c r="C31" s="44">
        <v>36</v>
      </c>
      <c r="D31" s="25">
        <v>12</v>
      </c>
      <c r="E31" s="2">
        <v>864</v>
      </c>
      <c r="I31" s="29">
        <v>24</v>
      </c>
      <c r="J31" s="29">
        <f>[1]属性成长!$D31</f>
        <v>120</v>
      </c>
      <c r="K31" s="27">
        <v>24</v>
      </c>
      <c r="L31" s="27">
        <v>24</v>
      </c>
      <c r="M31" s="27">
        <f t="shared" si="1"/>
        <v>20</v>
      </c>
      <c r="N31" s="27">
        <v>0</v>
      </c>
      <c r="O31" s="27">
        <v>1</v>
      </c>
      <c r="P31" s="27">
        <v>1</v>
      </c>
      <c r="Q31" s="27">
        <v>0</v>
      </c>
      <c r="R31" s="27">
        <v>1</v>
      </c>
      <c r="S31" s="27">
        <v>0</v>
      </c>
      <c r="T31" s="27">
        <v>15</v>
      </c>
      <c r="U31" s="27">
        <v>0</v>
      </c>
      <c r="V31" s="27">
        <v>0</v>
      </c>
      <c r="W31" s="27">
        <v>0</v>
      </c>
      <c r="X31" s="27">
        <v>0</v>
      </c>
      <c r="Y31" s="27">
        <v>24</v>
      </c>
      <c r="Z31" s="27">
        <v>1</v>
      </c>
      <c r="AA31" s="27">
        <v>0</v>
      </c>
      <c r="AB31" s="2">
        <f t="shared" si="2"/>
        <v>150</v>
      </c>
      <c r="AC31" s="28">
        <f t="shared" si="3"/>
        <v>313.33333333333337</v>
      </c>
      <c r="AD31" s="28">
        <f t="shared" si="4"/>
        <v>12</v>
      </c>
      <c r="AE31" s="28">
        <f t="shared" si="5"/>
        <v>0</v>
      </c>
      <c r="AF31" s="28">
        <f>INDEX(圣火属性!$I$3:$I$53,MATCH(T31,圣火属性!$B$3:$B$53,0),1)+INDEX(圣火属性!$J$3:$J$53,MATCH(U31,圣火属性!$B$3:$B$53,0),1)+INDEX(圣火属性!$K$3:$K$53,MATCH(V31,圣火属性!$B$3:$B$53,0),1)+INDEX(圣火属性!$L$3:$L$53,MATCH(W31,圣火属性!$B$3:$B$53,0),1)+INDEX(圣火属性!$M$3:$M$53,MATCH(X31,圣火属性!$B$3:$B$53,0),1)</f>
        <v>71.25</v>
      </c>
      <c r="AG31" s="28">
        <f>AA31*VLOOKUP(Z31,神器属性!$B$4:$D$13,3,FALSE)</f>
        <v>0</v>
      </c>
      <c r="AH31" s="36">
        <f t="shared" si="20"/>
        <v>547</v>
      </c>
      <c r="AI31" s="36">
        <f>AH31*10*(1+VLOOKUP(Y31,技能效果!$B$2:$D$101,3,FALSE))</f>
        <v>5973.2400000000007</v>
      </c>
      <c r="AJ31" s="36">
        <f t="shared" si="6"/>
        <v>579.18020000000001</v>
      </c>
      <c r="AK31" s="2">
        <v>1</v>
      </c>
      <c r="AL31" s="28">
        <f t="shared" si="13"/>
        <v>579</v>
      </c>
      <c r="AM31" s="28">
        <f>$AH31/5*[1]战斗预期!C$4</f>
        <v>10940</v>
      </c>
      <c r="AN31" s="28">
        <f>$AH31/5*[1]战斗预期!D$4</f>
        <v>1094</v>
      </c>
      <c r="AO31" s="28">
        <f>$AH31/5*[1]战斗预期!E$4</f>
        <v>547</v>
      </c>
      <c r="AP31" s="28">
        <f>$AH31/5*[1]战斗预期!F$4</f>
        <v>437.6</v>
      </c>
      <c r="AQ31" s="28">
        <f>$AH31/5*[1]战斗预期!G$4</f>
        <v>437.6</v>
      </c>
      <c r="AR31" s="28">
        <f>$AL31*怪物属性规划!A$18*怪物属性等级系数!A25</f>
        <v>4377.6676207687206</v>
      </c>
      <c r="AS31" s="28">
        <f>$AL31*怪物属性规划!B$18</f>
        <v>579</v>
      </c>
      <c r="AT31" s="28">
        <f>$AL31*怪物属性规划!C$18</f>
        <v>579</v>
      </c>
      <c r="AU31" s="28">
        <f>$AL31*怪物属性规划!D$18</f>
        <v>463.20000000000005</v>
      </c>
      <c r="AV31" s="28">
        <f>$AL31*怪物属性规划!E$18</f>
        <v>463.20000000000005</v>
      </c>
      <c r="AW31" s="28">
        <v>0</v>
      </c>
      <c r="AX31" s="28">
        <v>0</v>
      </c>
      <c r="AY31" s="28">
        <v>0</v>
      </c>
      <c r="AZ31" s="28">
        <v>0</v>
      </c>
      <c r="BA31" s="28">
        <v>0</v>
      </c>
      <c r="BB31" s="48">
        <f>[2]技能伤害!$C26</f>
        <v>1.2300000000000002</v>
      </c>
      <c r="BC31" s="2">
        <f>[2]技能伤害!$N26</f>
        <v>790</v>
      </c>
      <c r="BD31" s="2">
        <f>[2]技能伤害!$L26</f>
        <v>412</v>
      </c>
      <c r="BE31" s="48">
        <f t="shared" si="7"/>
        <v>0.63078079550282706</v>
      </c>
      <c r="BF31" s="48">
        <f t="shared" si="8"/>
        <v>0.75578792618425195</v>
      </c>
      <c r="BG31" s="28">
        <f t="shared" si="14"/>
        <v>993.65749191097188</v>
      </c>
      <c r="BH31" s="28">
        <f t="shared" si="15"/>
        <v>333.99758147863628</v>
      </c>
      <c r="BI31" s="28">
        <f t="shared" si="16"/>
        <v>657.23330153589393</v>
      </c>
      <c r="BJ31" s="49">
        <f t="shared" si="9"/>
        <v>2.4475612440827201</v>
      </c>
      <c r="BK31" s="49">
        <f t="shared" si="10"/>
        <v>32.754728197634456</v>
      </c>
      <c r="BL31" s="49">
        <f t="shared" si="17"/>
        <v>9.2475195087871658</v>
      </c>
    </row>
    <row r="32" spans="1:64" x14ac:dyDescent="0.15">
      <c r="A32" s="24">
        <v>4</v>
      </c>
      <c r="B32" s="24">
        <v>4</v>
      </c>
      <c r="C32" s="44">
        <v>51</v>
      </c>
      <c r="D32" s="25">
        <v>16</v>
      </c>
      <c r="E32" s="2">
        <v>1224</v>
      </c>
      <c r="I32" s="29">
        <v>25</v>
      </c>
      <c r="J32" s="29">
        <f>[1]属性成长!$D32</f>
        <v>125</v>
      </c>
      <c r="K32" s="27">
        <v>25</v>
      </c>
      <c r="L32" s="27">
        <v>25</v>
      </c>
      <c r="M32" s="27">
        <f t="shared" si="1"/>
        <v>25</v>
      </c>
      <c r="N32" s="27">
        <v>0</v>
      </c>
      <c r="O32" s="27">
        <v>25</v>
      </c>
      <c r="P32" s="27">
        <f>M32</f>
        <v>25</v>
      </c>
      <c r="Q32" s="27">
        <f>N32</f>
        <v>0</v>
      </c>
      <c r="R32" s="27">
        <v>1</v>
      </c>
      <c r="S32" s="27">
        <v>0</v>
      </c>
      <c r="T32" s="27">
        <v>20</v>
      </c>
      <c r="U32" s="27">
        <v>0</v>
      </c>
      <c r="V32" s="27">
        <v>0</v>
      </c>
      <c r="W32" s="27">
        <v>0</v>
      </c>
      <c r="X32" s="27">
        <v>0</v>
      </c>
      <c r="Y32" s="27">
        <v>25</v>
      </c>
      <c r="Z32" s="27">
        <v>1</v>
      </c>
      <c r="AA32" s="27">
        <v>0</v>
      </c>
      <c r="AB32" s="2">
        <f t="shared" si="2"/>
        <v>155</v>
      </c>
      <c r="AC32" s="28">
        <f t="shared" si="3"/>
        <v>426.66666666666669</v>
      </c>
      <c r="AD32" s="28">
        <f t="shared" si="4"/>
        <v>329.33333333333331</v>
      </c>
      <c r="AE32" s="28">
        <f t="shared" si="5"/>
        <v>0</v>
      </c>
      <c r="AF32" s="28">
        <f>INDEX(圣火属性!$I$3:$I$53,MATCH(T32,圣火属性!$B$3:$B$53,0),1)+INDEX(圣火属性!$J$3:$J$53,MATCH(U32,圣火属性!$B$3:$B$53,0),1)+INDEX(圣火属性!$K$3:$K$53,MATCH(V32,圣火属性!$B$3:$B$53,0),1)+INDEX(圣火属性!$L$3:$L$53,MATCH(W32,圣火属性!$B$3:$B$53,0),1)+INDEX(圣火属性!$M$3:$M$53,MATCH(X32,圣火属性!$B$3:$B$53,0),1)</f>
        <v>97.5</v>
      </c>
      <c r="AG32" s="28">
        <f>AA32*VLOOKUP(Z32,神器属性!$B$4:$D$13,3,FALSE)</f>
        <v>0</v>
      </c>
      <c r="AH32" s="36">
        <f t="shared" si="20"/>
        <v>1009</v>
      </c>
      <c r="AI32" s="36">
        <f>AH32*10*(1+VLOOKUP(Y32,技能效果!$B$2:$D$101,3,FALSE))</f>
        <v>11058.640000000001</v>
      </c>
      <c r="AJ32" s="36">
        <f t="shared" si="6"/>
        <v>624.7795000000001</v>
      </c>
      <c r="AK32" s="2">
        <v>1</v>
      </c>
      <c r="AL32" s="28">
        <f t="shared" si="13"/>
        <v>625</v>
      </c>
      <c r="AM32" s="28">
        <f>$AH32/5*[1]战斗预期!C$4</f>
        <v>20180</v>
      </c>
      <c r="AN32" s="28">
        <f>$AH32/5*[1]战斗预期!D$4</f>
        <v>2018</v>
      </c>
      <c r="AO32" s="28">
        <f>$AH32/5*[1]战斗预期!E$4</f>
        <v>1009</v>
      </c>
      <c r="AP32" s="28">
        <f>$AH32/5*[1]战斗预期!F$4</f>
        <v>807.2</v>
      </c>
      <c r="AQ32" s="28">
        <f>$AH32/5*[1]战斗预期!G$4</f>
        <v>807.2</v>
      </c>
      <c r="AR32" s="28">
        <f>$AL32*怪物属性规划!A$18*怪物属性等级系数!A26</f>
        <v>4808.2191621046986</v>
      </c>
      <c r="AS32" s="28">
        <f>$AL32*怪物属性规划!B$18</f>
        <v>625</v>
      </c>
      <c r="AT32" s="28">
        <f>$AL32*怪物属性规划!C$18</f>
        <v>625</v>
      </c>
      <c r="AU32" s="28">
        <f>$AL32*怪物属性规划!D$18</f>
        <v>500</v>
      </c>
      <c r="AV32" s="28">
        <f>$AL32*怪物属性规划!E$18</f>
        <v>500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48">
        <f>[2]技能伤害!$C27</f>
        <v>1.2400000000000002</v>
      </c>
      <c r="BC32" s="2">
        <f>[2]技能伤害!$N27</f>
        <v>864</v>
      </c>
      <c r="BD32" s="2">
        <f>[2]技能伤害!$L27</f>
        <v>515</v>
      </c>
      <c r="BE32" s="48">
        <f t="shared" si="7"/>
        <v>0.62772684541648927</v>
      </c>
      <c r="BF32" s="48">
        <f t="shared" si="8"/>
        <v>0.82036855606190573</v>
      </c>
      <c r="BG32" s="28">
        <f t="shared" si="14"/>
        <v>2624.9491203548214</v>
      </c>
      <c r="BH32" s="28">
        <f t="shared" si="15"/>
        <v>224.53930492261784</v>
      </c>
      <c r="BI32" s="28">
        <f t="shared" si="16"/>
        <v>898.9907095903443</v>
      </c>
      <c r="BJ32" s="49">
        <f t="shared" si="9"/>
        <v>1.0176322455632458</v>
      </c>
      <c r="BK32" s="49">
        <f t="shared" si="10"/>
        <v>89.872906692013501</v>
      </c>
      <c r="BL32" s="49">
        <f t="shared" si="17"/>
        <v>12.470775272215921</v>
      </c>
    </row>
    <row r="33" spans="1:64" x14ac:dyDescent="0.15">
      <c r="A33" s="24">
        <v>5</v>
      </c>
      <c r="B33" s="24">
        <v>5</v>
      </c>
      <c r="C33" s="44">
        <v>66</v>
      </c>
      <c r="D33" s="25">
        <v>20</v>
      </c>
      <c r="E33" s="2">
        <v>1584</v>
      </c>
      <c r="I33" s="29">
        <v>26</v>
      </c>
      <c r="J33" s="29">
        <f>[1]属性成长!$D33</f>
        <v>130</v>
      </c>
      <c r="K33" s="27">
        <v>26</v>
      </c>
      <c r="L33" s="27">
        <v>26</v>
      </c>
      <c r="M33" s="27">
        <f t="shared" si="1"/>
        <v>25</v>
      </c>
      <c r="N33" s="27">
        <v>0</v>
      </c>
      <c r="O33" s="27">
        <v>26</v>
      </c>
      <c r="P33" s="27">
        <f t="shared" ref="P33:P96" si="21">M33</f>
        <v>25</v>
      </c>
      <c r="Q33" s="27">
        <f t="shared" ref="Q33:Q96" si="22">N33</f>
        <v>0</v>
      </c>
      <c r="R33" s="27">
        <v>1</v>
      </c>
      <c r="S33" s="27">
        <v>0</v>
      </c>
      <c r="T33" s="27">
        <v>22</v>
      </c>
      <c r="U33" s="27">
        <v>0</v>
      </c>
      <c r="V33" s="27">
        <v>0</v>
      </c>
      <c r="W33" s="27">
        <v>0</v>
      </c>
      <c r="X33" s="27">
        <v>0</v>
      </c>
      <c r="Y33" s="27">
        <v>26</v>
      </c>
      <c r="Z33" s="27">
        <v>1</v>
      </c>
      <c r="AA33" s="27">
        <v>0</v>
      </c>
      <c r="AB33" s="2">
        <f t="shared" si="2"/>
        <v>160</v>
      </c>
      <c r="AC33" s="28">
        <f t="shared" si="3"/>
        <v>434.44444444444446</v>
      </c>
      <c r="AD33" s="28">
        <f t="shared" si="4"/>
        <v>335.55555555555554</v>
      </c>
      <c r="AE33" s="28">
        <f t="shared" si="5"/>
        <v>0</v>
      </c>
      <c r="AF33" s="28">
        <f>INDEX(圣火属性!$I$3:$I$53,MATCH(T33,圣火属性!$B$3:$B$53,0),1)+INDEX(圣火属性!$J$3:$J$53,MATCH(U33,圣火属性!$B$3:$B$53,0),1)+INDEX(圣火属性!$K$3:$K$53,MATCH(V33,圣火属性!$B$3:$B$53,0),1)+INDEX(圣火属性!$L$3:$L$53,MATCH(W33,圣火属性!$B$3:$B$53,0),1)+INDEX(圣火属性!$M$3:$M$53,MATCH(X33,圣火属性!$B$3:$B$53,0),1)</f>
        <v>109.5</v>
      </c>
      <c r="AG33" s="28">
        <f>AA33*VLOOKUP(Z33,神器属性!$B$4:$D$13,3,FALSE)</f>
        <v>0</v>
      </c>
      <c r="AH33" s="36">
        <f t="shared" si="20"/>
        <v>1040</v>
      </c>
      <c r="AI33" s="36">
        <f>AH33*10*(1+VLOOKUP(Y33,技能效果!$B$2:$D$101,3,FALSE))</f>
        <v>11440.000000000002</v>
      </c>
      <c r="AJ33" s="36">
        <f t="shared" si="6"/>
        <v>673.12380000000007</v>
      </c>
      <c r="AK33" s="2">
        <v>1</v>
      </c>
      <c r="AL33" s="28">
        <f t="shared" si="13"/>
        <v>673</v>
      </c>
      <c r="AM33" s="28">
        <f>$AH33/5*[1]战斗预期!C$4</f>
        <v>20800</v>
      </c>
      <c r="AN33" s="28">
        <f>$AH33/5*[1]战斗预期!D$4</f>
        <v>2080</v>
      </c>
      <c r="AO33" s="28">
        <f>$AH33/5*[1]战斗预期!E$4</f>
        <v>1040</v>
      </c>
      <c r="AP33" s="28">
        <f>$AH33/5*[1]战斗预期!F$4</f>
        <v>832</v>
      </c>
      <c r="AQ33" s="28">
        <f>$AH33/5*[1]战斗预期!G$4</f>
        <v>832</v>
      </c>
      <c r="AR33" s="28">
        <f>$AL33*怪物属性规划!A$18*怪物属性等级系数!A27</f>
        <v>5255.5581128410231</v>
      </c>
      <c r="AS33" s="28">
        <f>$AL33*怪物属性规划!B$18</f>
        <v>673</v>
      </c>
      <c r="AT33" s="28">
        <f>$AL33*怪物属性规划!C$18</f>
        <v>673</v>
      </c>
      <c r="AU33" s="28">
        <f>$AL33*怪物属性规划!D$18</f>
        <v>538.4</v>
      </c>
      <c r="AV33" s="28">
        <f>$AL33*怪物属性规划!E$18</f>
        <v>538.4</v>
      </c>
      <c r="AW33" s="28">
        <v>0</v>
      </c>
      <c r="AX33" s="28">
        <v>0</v>
      </c>
      <c r="AY33" s="28">
        <v>0</v>
      </c>
      <c r="AZ33" s="28">
        <v>0</v>
      </c>
      <c r="BA33" s="28">
        <v>0</v>
      </c>
      <c r="BB33" s="48">
        <f>[2]技能伤害!$C28</f>
        <v>1.2500000000000002</v>
      </c>
      <c r="BC33" s="2">
        <f>[2]技能伤害!$N28</f>
        <v>942</v>
      </c>
      <c r="BD33" s="2">
        <f>[2]技能伤害!$L28</f>
        <v>528</v>
      </c>
      <c r="BE33" s="48">
        <f t="shared" si="7"/>
        <v>0.62481547982672281</v>
      </c>
      <c r="BF33" s="48">
        <f t="shared" si="8"/>
        <v>0.82115289866973229</v>
      </c>
      <c r="BG33" s="28">
        <f t="shared" si="14"/>
        <v>2684.9595049010422</v>
      </c>
      <c r="BH33" s="28">
        <f t="shared" si="15"/>
        <v>240.72819839054034</v>
      </c>
      <c r="BI33" s="28">
        <f t="shared" si="16"/>
        <v>930.00492691739225</v>
      </c>
      <c r="BJ33" s="49">
        <f t="shared" si="9"/>
        <v>1.0874482470980555</v>
      </c>
      <c r="BK33" s="49">
        <f t="shared" si="10"/>
        <v>86.404501587535478</v>
      </c>
      <c r="BL33" s="49">
        <f t="shared" si="17"/>
        <v>12.425262728293028</v>
      </c>
    </row>
    <row r="34" spans="1:64" x14ac:dyDescent="0.15">
      <c r="A34" s="24">
        <v>6</v>
      </c>
      <c r="B34" s="24">
        <v>6</v>
      </c>
      <c r="C34" s="44">
        <v>81</v>
      </c>
      <c r="D34" s="25">
        <v>24</v>
      </c>
      <c r="E34" s="2">
        <v>1944</v>
      </c>
      <c r="I34" s="29">
        <v>27</v>
      </c>
      <c r="J34" s="29">
        <f>[1]属性成长!$D34</f>
        <v>135</v>
      </c>
      <c r="K34" s="27">
        <v>27</v>
      </c>
      <c r="L34" s="27">
        <v>27</v>
      </c>
      <c r="M34" s="27">
        <f t="shared" si="1"/>
        <v>25</v>
      </c>
      <c r="N34" s="27">
        <v>0</v>
      </c>
      <c r="O34" s="27">
        <v>27</v>
      </c>
      <c r="P34" s="27">
        <f t="shared" si="21"/>
        <v>25</v>
      </c>
      <c r="Q34" s="27">
        <f t="shared" si="22"/>
        <v>0</v>
      </c>
      <c r="R34" s="27">
        <v>1</v>
      </c>
      <c r="S34" s="27">
        <v>0</v>
      </c>
      <c r="T34" s="27">
        <v>25</v>
      </c>
      <c r="U34" s="27">
        <v>0</v>
      </c>
      <c r="V34" s="27">
        <v>0</v>
      </c>
      <c r="W34" s="27">
        <v>0</v>
      </c>
      <c r="X34" s="27">
        <v>0</v>
      </c>
      <c r="Y34" s="27">
        <v>27</v>
      </c>
      <c r="Z34" s="27">
        <v>1</v>
      </c>
      <c r="AA34" s="27">
        <v>0</v>
      </c>
      <c r="AB34" s="2">
        <f t="shared" si="2"/>
        <v>165</v>
      </c>
      <c r="AC34" s="28">
        <f t="shared" si="3"/>
        <v>442.22222222222223</v>
      </c>
      <c r="AD34" s="28">
        <f t="shared" si="4"/>
        <v>341.77777777777771</v>
      </c>
      <c r="AE34" s="28">
        <f t="shared" si="5"/>
        <v>0</v>
      </c>
      <c r="AF34" s="28">
        <f>INDEX(圣火属性!$I$3:$I$53,MATCH(T34,圣火属性!$B$3:$B$53,0),1)+INDEX(圣火属性!$J$3:$J$53,MATCH(U34,圣火属性!$B$3:$B$53,0),1)+INDEX(圣火属性!$K$3:$K$53,MATCH(V34,圣火属性!$B$3:$B$53,0),1)+INDEX(圣火属性!$L$3:$L$53,MATCH(W34,圣火属性!$B$3:$B$53,0),1)+INDEX(圣火属性!$M$3:$M$53,MATCH(X34,圣火属性!$B$3:$B$53,0),1)</f>
        <v>127.5</v>
      </c>
      <c r="AG34" s="28">
        <f>AA34*VLOOKUP(Z34,神器属性!$B$4:$D$13,3,FALSE)</f>
        <v>0</v>
      </c>
      <c r="AH34" s="36">
        <f t="shared" si="20"/>
        <v>1077</v>
      </c>
      <c r="AI34" s="36">
        <f>AH34*10*(1+VLOOKUP(Y34,技能效果!$B$2:$D$101,3,FALSE))</f>
        <v>11890.080000000002</v>
      </c>
      <c r="AJ34" s="36">
        <f t="shared" si="6"/>
        <v>724.31090000000006</v>
      </c>
      <c r="AK34" s="2">
        <v>1</v>
      </c>
      <c r="AL34" s="28">
        <f t="shared" si="13"/>
        <v>724</v>
      </c>
      <c r="AM34" s="28">
        <f>$AH34/5*[1]战斗预期!C$4</f>
        <v>21540</v>
      </c>
      <c r="AN34" s="28">
        <f>$AH34/5*[1]战斗预期!D$4</f>
        <v>2154</v>
      </c>
      <c r="AO34" s="28">
        <f>$AH34/5*[1]战斗预期!E$4</f>
        <v>1077</v>
      </c>
      <c r="AP34" s="28">
        <f>$AH34/5*[1]战斗预期!F$4</f>
        <v>861.6</v>
      </c>
      <c r="AQ34" s="28">
        <f>$AH34/5*[1]战斗预期!G$4</f>
        <v>861.6</v>
      </c>
      <c r="AR34" s="28">
        <f>$AL34*怪物属性规划!A$18*怪物属性等级系数!A28</f>
        <v>5746.8815975462076</v>
      </c>
      <c r="AS34" s="28">
        <f>$AL34*怪物属性规划!B$18</f>
        <v>724</v>
      </c>
      <c r="AT34" s="28">
        <f>$AL34*怪物属性规划!C$18</f>
        <v>724</v>
      </c>
      <c r="AU34" s="28">
        <f>$AL34*怪物属性规划!D$18</f>
        <v>579.20000000000005</v>
      </c>
      <c r="AV34" s="28">
        <f>$AL34*怪物属性规划!E$18</f>
        <v>579.20000000000005</v>
      </c>
      <c r="AW34" s="28">
        <v>0</v>
      </c>
      <c r="AX34" s="28">
        <v>0</v>
      </c>
      <c r="AY34" s="28">
        <v>0</v>
      </c>
      <c r="AZ34" s="28">
        <v>0</v>
      </c>
      <c r="BA34" s="28">
        <v>0</v>
      </c>
      <c r="BB34" s="48">
        <f>[2]技能伤害!$C29</f>
        <v>1.2600000000000002</v>
      </c>
      <c r="BC34" s="2">
        <f>[2]技能伤害!$N29</f>
        <v>1027</v>
      </c>
      <c r="BD34" s="2">
        <f>[2]技能伤害!$L29</f>
        <v>545</v>
      </c>
      <c r="BE34" s="48">
        <f t="shared" si="7"/>
        <v>0.62168175218082344</v>
      </c>
      <c r="BF34" s="48">
        <f t="shared" si="8"/>
        <v>0.82163250826782008</v>
      </c>
      <c r="BG34" s="28">
        <f t="shared" si="14"/>
        <v>2765.1897146223164</v>
      </c>
      <c r="BH34" s="28">
        <f t="shared" si="15"/>
        <v>258.27612802819652</v>
      </c>
      <c r="BI34" s="28">
        <f t="shared" si="16"/>
        <v>968.1930145216113</v>
      </c>
      <c r="BJ34" s="49">
        <f t="shared" si="9"/>
        <v>1.1546086627451739</v>
      </c>
      <c r="BK34" s="49">
        <f t="shared" si="10"/>
        <v>83.399113051781683</v>
      </c>
      <c r="BL34" s="49">
        <f t="shared" si="17"/>
        <v>12.359794469886205</v>
      </c>
    </row>
    <row r="35" spans="1:64" x14ac:dyDescent="0.15">
      <c r="I35" s="29">
        <v>28</v>
      </c>
      <c r="J35" s="29">
        <f>[1]属性成长!$D35</f>
        <v>140</v>
      </c>
      <c r="K35" s="27">
        <v>28</v>
      </c>
      <c r="L35" s="27">
        <v>28</v>
      </c>
      <c r="M35" s="27">
        <f t="shared" si="1"/>
        <v>25</v>
      </c>
      <c r="N35" s="27">
        <v>0</v>
      </c>
      <c r="O35" s="27">
        <v>28</v>
      </c>
      <c r="P35" s="27">
        <f t="shared" si="21"/>
        <v>25</v>
      </c>
      <c r="Q35" s="27">
        <f t="shared" si="22"/>
        <v>0</v>
      </c>
      <c r="R35" s="27">
        <v>1</v>
      </c>
      <c r="S35" s="27">
        <v>0</v>
      </c>
      <c r="T35" s="27">
        <v>27</v>
      </c>
      <c r="U35" s="27">
        <v>0</v>
      </c>
      <c r="V35" s="27">
        <v>0</v>
      </c>
      <c r="W35" s="27">
        <v>0</v>
      </c>
      <c r="X35" s="27">
        <v>0</v>
      </c>
      <c r="Y35" s="27">
        <v>28</v>
      </c>
      <c r="Z35" s="27">
        <v>1</v>
      </c>
      <c r="AA35" s="27">
        <v>1</v>
      </c>
      <c r="AB35" s="2">
        <f t="shared" si="2"/>
        <v>170</v>
      </c>
      <c r="AC35" s="28">
        <f t="shared" si="3"/>
        <v>450</v>
      </c>
      <c r="AD35" s="28">
        <f t="shared" si="4"/>
        <v>348</v>
      </c>
      <c r="AE35" s="28">
        <f t="shared" si="5"/>
        <v>0</v>
      </c>
      <c r="AF35" s="28">
        <f>INDEX(圣火属性!$I$3:$I$53,MATCH(T35,圣火属性!$B$3:$B$53,0),1)+INDEX(圣火属性!$J$3:$J$53,MATCH(U35,圣火属性!$B$3:$B$53,0),1)+INDEX(圣火属性!$K$3:$K$53,MATCH(V35,圣火属性!$B$3:$B$53,0),1)+INDEX(圣火属性!$L$3:$L$53,MATCH(W35,圣火属性!$B$3:$B$53,0),1)+INDEX(圣火属性!$M$3:$M$53,MATCH(X35,圣火属性!$B$3:$B$53,0),1)</f>
        <v>139.5</v>
      </c>
      <c r="AG35" s="28">
        <f>AA35*VLOOKUP(Z35,神器属性!$B$4:$D$13,3,FALSE)</f>
        <v>42.4</v>
      </c>
      <c r="AH35" s="36">
        <f t="shared" si="20"/>
        <v>1150</v>
      </c>
      <c r="AI35" s="36">
        <f>AH35*10*(1+VLOOKUP(Y35,技能效果!$B$2:$D$101,3,FALSE))</f>
        <v>12742.000000000002</v>
      </c>
      <c r="AJ35" s="36">
        <f t="shared" si="6"/>
        <v>778.43860000000006</v>
      </c>
      <c r="AK35" s="2">
        <v>1</v>
      </c>
      <c r="AL35" s="28">
        <f t="shared" si="13"/>
        <v>778</v>
      </c>
      <c r="AM35" s="28">
        <f>$AH35/5*[1]战斗预期!C$4</f>
        <v>23000</v>
      </c>
      <c r="AN35" s="28">
        <f>$AH35/5*[1]战斗预期!D$4</f>
        <v>2300</v>
      </c>
      <c r="AO35" s="28">
        <f>$AH35/5*[1]战斗预期!E$4</f>
        <v>1150</v>
      </c>
      <c r="AP35" s="28">
        <f>$AH35/5*[1]战斗预期!F$4</f>
        <v>920</v>
      </c>
      <c r="AQ35" s="28">
        <f>$AH35/5*[1]战斗预期!G$4</f>
        <v>920</v>
      </c>
      <c r="AR35" s="28">
        <f>$AL35*怪物属性规划!A$18*怪物属性等级系数!A29</f>
        <v>6279.3039782795131</v>
      </c>
      <c r="AS35" s="28">
        <f>$AL35*怪物属性规划!B$18</f>
        <v>778</v>
      </c>
      <c r="AT35" s="28">
        <f>$AL35*怪物属性规划!C$18</f>
        <v>778</v>
      </c>
      <c r="AU35" s="28">
        <f>$AL35*怪物属性规划!D$18</f>
        <v>622.40000000000009</v>
      </c>
      <c r="AV35" s="28">
        <f>$AL35*怪物属性规划!E$18</f>
        <v>622.40000000000009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48">
        <f>[2]技能伤害!$C30</f>
        <v>1.2700000000000002</v>
      </c>
      <c r="BC35" s="2">
        <f>[2]技能伤害!$N30</f>
        <v>1118</v>
      </c>
      <c r="BD35" s="2">
        <f>[2]技能伤害!$L30</f>
        <v>557</v>
      </c>
      <c r="BE35" s="48">
        <f t="shared" si="7"/>
        <v>0.61862785479261651</v>
      </c>
      <c r="BF35" s="48">
        <f t="shared" si="8"/>
        <v>0.82796178128417597</v>
      </c>
      <c r="BG35" s="28">
        <f t="shared" si="14"/>
        <v>2983.8800723015343</v>
      </c>
      <c r="BH35" s="28">
        <f t="shared" si="15"/>
        <v>267.69146832182219</v>
      </c>
      <c r="BI35" s="28">
        <f t="shared" si="16"/>
        <v>1005.0472737378442</v>
      </c>
      <c r="BJ35" s="49">
        <f t="shared" si="9"/>
        <v>1.1691160923449999</v>
      </c>
      <c r="BK35" s="49">
        <f t="shared" si="10"/>
        <v>85.919809638270195</v>
      </c>
      <c r="BL35" s="49">
        <f t="shared" si="17"/>
        <v>12.713608714400356</v>
      </c>
    </row>
    <row r="36" spans="1:64" x14ac:dyDescent="0.15">
      <c r="A36" s="30" t="s">
        <v>45</v>
      </c>
      <c r="B36" s="30" t="s">
        <v>79</v>
      </c>
      <c r="C36" s="30" t="s">
        <v>46</v>
      </c>
      <c r="I36" s="29">
        <v>29</v>
      </c>
      <c r="J36" s="29">
        <f>[1]属性成长!$D36</f>
        <v>145</v>
      </c>
      <c r="K36" s="27">
        <v>29</v>
      </c>
      <c r="L36" s="27">
        <v>29</v>
      </c>
      <c r="M36" s="27">
        <f t="shared" si="1"/>
        <v>25</v>
      </c>
      <c r="N36" s="27">
        <v>0</v>
      </c>
      <c r="O36" s="27">
        <v>29</v>
      </c>
      <c r="P36" s="27">
        <f t="shared" si="21"/>
        <v>25</v>
      </c>
      <c r="Q36" s="27">
        <f t="shared" si="22"/>
        <v>0</v>
      </c>
      <c r="R36" s="27">
        <v>1</v>
      </c>
      <c r="S36" s="27">
        <v>0</v>
      </c>
      <c r="T36" s="27">
        <v>29</v>
      </c>
      <c r="U36" s="27">
        <v>0</v>
      </c>
      <c r="V36" s="27">
        <v>0</v>
      </c>
      <c r="W36" s="27">
        <v>0</v>
      </c>
      <c r="X36" s="27">
        <v>0</v>
      </c>
      <c r="Y36" s="27">
        <v>29</v>
      </c>
      <c r="Z36" s="27">
        <v>1</v>
      </c>
      <c r="AA36" s="27">
        <v>1</v>
      </c>
      <c r="AB36" s="2">
        <f t="shared" si="2"/>
        <v>175</v>
      </c>
      <c r="AC36" s="28">
        <f t="shared" si="3"/>
        <v>457.77777777777783</v>
      </c>
      <c r="AD36" s="28">
        <f t="shared" si="4"/>
        <v>354.22222222222217</v>
      </c>
      <c r="AE36" s="28">
        <f t="shared" si="5"/>
        <v>0</v>
      </c>
      <c r="AF36" s="28">
        <f>INDEX(圣火属性!$I$3:$I$53,MATCH(T36,圣火属性!$B$3:$B$53,0),1)+INDEX(圣火属性!$J$3:$J$53,MATCH(U36,圣火属性!$B$3:$B$53,0),1)+INDEX(圣火属性!$K$3:$K$53,MATCH(V36,圣火属性!$B$3:$B$53,0),1)+INDEX(圣火属性!$L$3:$L$53,MATCH(W36,圣火属性!$B$3:$B$53,0),1)+INDEX(圣火属性!$M$3:$M$53,MATCH(X36,圣火属性!$B$3:$B$53,0),1)</f>
        <v>151.5</v>
      </c>
      <c r="AG36" s="28">
        <f>AA36*VLOOKUP(Z36,神器属性!$B$4:$D$13,3,FALSE)</f>
        <v>42.4</v>
      </c>
      <c r="AH36" s="36">
        <f t="shared" si="20"/>
        <v>1181</v>
      </c>
      <c r="AI36" s="36">
        <f>AH36*10*(1+VLOOKUP(Y36,技能效果!$B$2:$D$101,3,FALSE))</f>
        <v>13132.720000000001</v>
      </c>
      <c r="AJ36" s="36">
        <f t="shared" si="6"/>
        <v>835.60470000000009</v>
      </c>
      <c r="AK36" s="2">
        <v>1</v>
      </c>
      <c r="AL36" s="28">
        <f t="shared" si="13"/>
        <v>836</v>
      </c>
      <c r="AM36" s="28">
        <f>$AH36/5*[1]战斗预期!C$4</f>
        <v>23620</v>
      </c>
      <c r="AN36" s="28">
        <f>$AH36/5*[1]战斗预期!D$4</f>
        <v>2362</v>
      </c>
      <c r="AO36" s="28">
        <f>$AH36/5*[1]战斗预期!E$4</f>
        <v>1181</v>
      </c>
      <c r="AP36" s="28">
        <f>$AH36/5*[1]战斗预期!F$4</f>
        <v>944.8</v>
      </c>
      <c r="AQ36" s="28">
        <f>$AH36/5*[1]战斗预期!G$4</f>
        <v>944.8</v>
      </c>
      <c r="AR36" s="28">
        <f>$AL36*怪物属性规划!A$18*怪物属性等级系数!A30</f>
        <v>6848.7419032766438</v>
      </c>
      <c r="AS36" s="28">
        <f>$AL36*怪物属性规划!B$18</f>
        <v>836</v>
      </c>
      <c r="AT36" s="28">
        <f>$AL36*怪物属性规划!C$18</f>
        <v>836</v>
      </c>
      <c r="AU36" s="28">
        <f>$AL36*怪物属性规划!D$18</f>
        <v>668.80000000000007</v>
      </c>
      <c r="AV36" s="28">
        <f>$AL36*怪物属性规划!E$18</f>
        <v>668.80000000000007</v>
      </c>
      <c r="AW36" s="28">
        <v>0</v>
      </c>
      <c r="AX36" s="28">
        <v>0</v>
      </c>
      <c r="AY36" s="28">
        <v>0</v>
      </c>
      <c r="AZ36" s="28">
        <v>0</v>
      </c>
      <c r="BA36" s="28">
        <v>0</v>
      </c>
      <c r="BB36" s="48">
        <f>[2]技能伤害!$C31</f>
        <v>1.2800000000000002</v>
      </c>
      <c r="BC36" s="2">
        <f>[2]技能伤害!$N31</f>
        <v>1216</v>
      </c>
      <c r="BD36" s="2">
        <f>[2]技能伤害!$L31</f>
        <v>569</v>
      </c>
      <c r="BE36" s="48">
        <f t="shared" si="7"/>
        <v>0.61576354679802958</v>
      </c>
      <c r="BF36" s="48">
        <f t="shared" si="8"/>
        <v>0.82871319295965684</v>
      </c>
      <c r="BG36" s="28">
        <f t="shared" si="14"/>
        <v>3029.9302463054187</v>
      </c>
      <c r="BH36" s="28">
        <f t="shared" si="15"/>
        <v>286.39154137145374</v>
      </c>
      <c r="BI36" s="28">
        <f t="shared" si="16"/>
        <v>1035.7233618669839</v>
      </c>
      <c r="BJ36" s="49">
        <f t="shared" si="9"/>
        <v>1.2557571639053293</v>
      </c>
      <c r="BK36" s="49">
        <f t="shared" si="10"/>
        <v>82.474502867263581</v>
      </c>
      <c r="BL36" s="49">
        <f t="shared" si="17"/>
        <v>12.669620774574637</v>
      </c>
    </row>
    <row r="37" spans="1:64" x14ac:dyDescent="0.15">
      <c r="A37" s="2">
        <v>1</v>
      </c>
      <c r="B37" s="2">
        <v>1</v>
      </c>
      <c r="C37" s="28">
        <v>12.444444444444445</v>
      </c>
      <c r="I37" s="29">
        <v>30</v>
      </c>
      <c r="J37" s="29">
        <f>[1]属性成长!$D37</f>
        <v>150</v>
      </c>
      <c r="K37" s="27">
        <v>30</v>
      </c>
      <c r="L37" s="27">
        <v>30</v>
      </c>
      <c r="M37" s="27">
        <f t="shared" si="1"/>
        <v>30</v>
      </c>
      <c r="N37" s="27">
        <v>1</v>
      </c>
      <c r="O37" s="27">
        <v>30</v>
      </c>
      <c r="P37" s="27">
        <f t="shared" si="21"/>
        <v>30</v>
      </c>
      <c r="Q37" s="27">
        <f t="shared" si="22"/>
        <v>1</v>
      </c>
      <c r="R37" s="27">
        <v>1</v>
      </c>
      <c r="S37" s="27">
        <v>0</v>
      </c>
      <c r="T37" s="27">
        <v>30</v>
      </c>
      <c r="U37" s="27">
        <f>T27</f>
        <v>0</v>
      </c>
      <c r="V37" s="27">
        <v>0</v>
      </c>
      <c r="W37" s="27">
        <v>0</v>
      </c>
      <c r="X37" s="27">
        <v>0</v>
      </c>
      <c r="Y37" s="27">
        <v>30</v>
      </c>
      <c r="Z37" s="27">
        <v>1</v>
      </c>
      <c r="AA37" s="27">
        <v>1</v>
      </c>
      <c r="AB37" s="2">
        <f t="shared" si="2"/>
        <v>180</v>
      </c>
      <c r="AC37" s="28">
        <f t="shared" si="3"/>
        <v>834.22222222222217</v>
      </c>
      <c r="AD37" s="28">
        <f t="shared" si="4"/>
        <v>641.77777777777783</v>
      </c>
      <c r="AE37" s="28">
        <f t="shared" si="5"/>
        <v>0</v>
      </c>
      <c r="AF37" s="28">
        <f>INDEX(圣火属性!$I$3:$I$53,MATCH(T37,圣火属性!$B$3:$B$53,0),1)+INDEX(圣火属性!$J$3:$J$53,MATCH(U37,圣火属性!$B$3:$B$53,0),1)+INDEX(圣火属性!$K$3:$K$53,MATCH(V37,圣火属性!$B$3:$B$53,0),1)+INDEX(圣火属性!$L$3:$L$53,MATCH(W37,圣火属性!$B$3:$B$53,0),1)+INDEX(圣火属性!$M$3:$M$53,MATCH(X37,圣火属性!$B$3:$B$53,0),1)</f>
        <v>157.5</v>
      </c>
      <c r="AG37" s="28">
        <f>AA37*VLOOKUP(Z37,神器属性!$B$4:$D$13,3,FALSE)</f>
        <v>42.4</v>
      </c>
      <c r="AH37" s="36">
        <f t="shared" si="20"/>
        <v>1856</v>
      </c>
      <c r="AI37" s="36">
        <f>AH37*10*(1+VLOOKUP(Y37,技能效果!$B$2:$D$101,3,FALSE))</f>
        <v>20712.960000000003</v>
      </c>
      <c r="AJ37" s="36">
        <f t="shared" si="6"/>
        <v>895.90699999999993</v>
      </c>
      <c r="AK37" s="2">
        <v>1</v>
      </c>
      <c r="AL37" s="28">
        <f t="shared" si="13"/>
        <v>896</v>
      </c>
      <c r="AM37" s="28">
        <f>$AH37/5*[1]战斗预期!C$4</f>
        <v>37120</v>
      </c>
      <c r="AN37" s="28">
        <f>$AH37/5*[1]战斗预期!D$4</f>
        <v>3712</v>
      </c>
      <c r="AO37" s="28">
        <f>$AH37/5*[1]战斗预期!E$4</f>
        <v>1856</v>
      </c>
      <c r="AP37" s="28">
        <f>$AH37/5*[1]战斗预期!F$4</f>
        <v>1484.8</v>
      </c>
      <c r="AQ37" s="28">
        <f>$AH37/5*[1]战斗预期!G$4</f>
        <v>1484.8</v>
      </c>
      <c r="AR37" s="28">
        <f>$AL37*怪物属性规划!A$18*怪物属性等级系数!A31</f>
        <v>7459.2607195126184</v>
      </c>
      <c r="AS37" s="28">
        <f>$AL37*怪物属性规划!B$18</f>
        <v>896</v>
      </c>
      <c r="AT37" s="28">
        <f>$AL37*怪物属性规划!C$18</f>
        <v>896</v>
      </c>
      <c r="AU37" s="28">
        <f>$AL37*怪物属性规划!D$18</f>
        <v>716.80000000000007</v>
      </c>
      <c r="AV37" s="28">
        <f>$AL37*怪物属性规划!E$18</f>
        <v>716.80000000000007</v>
      </c>
      <c r="AW37" s="28">
        <v>0</v>
      </c>
      <c r="AX37" s="28">
        <v>0</v>
      </c>
      <c r="AY37" s="28">
        <v>0</v>
      </c>
      <c r="AZ37" s="28">
        <v>0</v>
      </c>
      <c r="BA37" s="28">
        <v>0</v>
      </c>
      <c r="BB37" s="48">
        <f>[2]技能伤害!$C32</f>
        <v>1.2900000000000003</v>
      </c>
      <c r="BC37" s="2">
        <f>[2]技能伤害!$N32</f>
        <v>1320</v>
      </c>
      <c r="BD37" s="2">
        <f>[2]技能伤害!$L32</f>
        <v>702</v>
      </c>
      <c r="BE37" s="48">
        <f t="shared" si="7"/>
        <v>0.61274174576688456</v>
      </c>
      <c r="BF37" s="48">
        <f t="shared" si="8"/>
        <v>0.86039131116033229</v>
      </c>
      <c r="BG37" s="28">
        <f t="shared" si="14"/>
        <v>5690.1968104603775</v>
      </c>
      <c r="BH37" s="28">
        <f t="shared" si="15"/>
        <v>250.17877040068453</v>
      </c>
      <c r="BI37" s="28">
        <f t="shared" si="16"/>
        <v>1337.0268286699443</v>
      </c>
      <c r="BJ37" s="49">
        <f t="shared" si="9"/>
        <v>0.72827599309825697</v>
      </c>
      <c r="BK37" s="49">
        <f t="shared" si="10"/>
        <v>148.37390055338778</v>
      </c>
      <c r="BL37" s="49">
        <f t="shared" si="17"/>
        <v>15.423940477497315</v>
      </c>
    </row>
    <row r="38" spans="1:64" x14ac:dyDescent="0.15">
      <c r="A38" s="2">
        <v>2</v>
      </c>
      <c r="B38" s="2">
        <v>1.8</v>
      </c>
      <c r="C38" s="28">
        <v>22.400000000000002</v>
      </c>
      <c r="I38" s="29">
        <v>31</v>
      </c>
      <c r="J38" s="29">
        <f>[1]属性成长!$D38</f>
        <v>155</v>
      </c>
      <c r="K38" s="27">
        <v>31</v>
      </c>
      <c r="L38" s="27">
        <v>31</v>
      </c>
      <c r="M38" s="27">
        <f t="shared" si="1"/>
        <v>30</v>
      </c>
      <c r="N38" s="27">
        <v>1</v>
      </c>
      <c r="O38" s="27">
        <v>31</v>
      </c>
      <c r="P38" s="27">
        <f t="shared" si="21"/>
        <v>30</v>
      </c>
      <c r="Q38" s="27">
        <f t="shared" si="22"/>
        <v>1</v>
      </c>
      <c r="R38" s="27">
        <v>1</v>
      </c>
      <c r="S38" s="27">
        <v>0</v>
      </c>
      <c r="T38" s="27">
        <v>31</v>
      </c>
      <c r="U38" s="27">
        <f t="shared" ref="U38:U101" si="23">T28</f>
        <v>8</v>
      </c>
      <c r="V38" s="27">
        <v>0</v>
      </c>
      <c r="W38" s="27">
        <v>0</v>
      </c>
      <c r="X38" s="27">
        <v>0</v>
      </c>
      <c r="Y38" s="27">
        <v>31</v>
      </c>
      <c r="Z38" s="27">
        <v>1</v>
      </c>
      <c r="AA38" s="27">
        <v>1</v>
      </c>
      <c r="AB38" s="2">
        <f t="shared" si="2"/>
        <v>185</v>
      </c>
      <c r="AC38" s="28">
        <f t="shared" si="3"/>
        <v>845.33333333333337</v>
      </c>
      <c r="AD38" s="28">
        <f t="shared" si="4"/>
        <v>650.66666666666663</v>
      </c>
      <c r="AE38" s="28">
        <f t="shared" si="5"/>
        <v>0</v>
      </c>
      <c r="AF38" s="28">
        <f>INDEX(圣火属性!$I$3:$I$53,MATCH(T38,圣火属性!$B$3:$B$53,0),1)+INDEX(圣火属性!$J$3:$J$53,MATCH(U38,圣火属性!$B$3:$B$53,0),1)+INDEX(圣火属性!$K$3:$K$53,MATCH(V38,圣火属性!$B$3:$B$53,0),1)+INDEX(圣火属性!$L$3:$L$53,MATCH(W38,圣火属性!$B$3:$B$53,0),1)+INDEX(圣火属性!$M$3:$M$53,MATCH(X38,圣火属性!$B$3:$B$53,0),1)</f>
        <v>218.25</v>
      </c>
      <c r="AG38" s="28">
        <f>AA38*VLOOKUP(Z38,神器属性!$B$4:$D$13,3,FALSE)</f>
        <v>42.4</v>
      </c>
      <c r="AH38" s="36">
        <f t="shared" si="20"/>
        <v>1942</v>
      </c>
      <c r="AI38" s="36">
        <f>AH38*10*(1+VLOOKUP(Y38,技能效果!$B$2:$D$101,3,FALSE))</f>
        <v>21750.400000000001</v>
      </c>
      <c r="AJ38" s="36">
        <f t="shared" si="6"/>
        <v>959.44330000000002</v>
      </c>
      <c r="AK38" s="2">
        <v>1</v>
      </c>
      <c r="AL38" s="28">
        <f t="shared" si="13"/>
        <v>959</v>
      </c>
      <c r="AM38" s="28">
        <f>$AH38/5*[1]战斗预期!C$4</f>
        <v>38840</v>
      </c>
      <c r="AN38" s="28">
        <f>$AH38/5*[1]战斗预期!D$4</f>
        <v>3884</v>
      </c>
      <c r="AO38" s="28">
        <f>$AH38/5*[1]战斗预期!E$4</f>
        <v>1942</v>
      </c>
      <c r="AP38" s="28">
        <f>$AH38/5*[1]战斗预期!F$4</f>
        <v>1553.6</v>
      </c>
      <c r="AQ38" s="28">
        <f>$AH38/5*[1]战斗预期!G$4</f>
        <v>1553.6</v>
      </c>
      <c r="AR38" s="28">
        <f>$AL38*怪物属性规划!A$18*怪物属性等级系数!A32</f>
        <v>8106.2918062697372</v>
      </c>
      <c r="AS38" s="28">
        <f>$AL38*怪物属性规划!B$18</f>
        <v>959</v>
      </c>
      <c r="AT38" s="28">
        <f>$AL38*怪物属性规划!C$18</f>
        <v>959</v>
      </c>
      <c r="AU38" s="28">
        <f>$AL38*怪物属性规划!D$18</f>
        <v>767.2</v>
      </c>
      <c r="AV38" s="28">
        <f>$AL38*怪物属性规划!E$18</f>
        <v>767.2</v>
      </c>
      <c r="AW38" s="28">
        <v>0</v>
      </c>
      <c r="AX38" s="28">
        <v>0</v>
      </c>
      <c r="AY38" s="28">
        <v>0</v>
      </c>
      <c r="AZ38" s="28">
        <v>0</v>
      </c>
      <c r="BA38" s="28">
        <v>0</v>
      </c>
      <c r="BB38" s="48">
        <f>[2]技能伤害!$C33</f>
        <v>1.3000000000000003</v>
      </c>
      <c r="BC38" s="2">
        <f>[2]技能伤害!$N33</f>
        <v>1431</v>
      </c>
      <c r="BD38" s="2">
        <f>[2]技能伤害!$L33</f>
        <v>724</v>
      </c>
      <c r="BE38" s="48">
        <f t="shared" si="7"/>
        <v>0.60970221228445065</v>
      </c>
      <c r="BF38" s="48">
        <f t="shared" si="8"/>
        <v>0.86211642034346148</v>
      </c>
      <c r="BG38" s="28">
        <f t="shared" si="14"/>
        <v>5986.0231794667043</v>
      </c>
      <c r="BH38" s="28">
        <f t="shared" si="15"/>
        <v>264.4607057812409</v>
      </c>
      <c r="BI38" s="28">
        <f t="shared" si="16"/>
        <v>1392.4035408035891</v>
      </c>
      <c r="BJ38" s="49">
        <f t="shared" si="9"/>
        <v>0.75233511680602094</v>
      </c>
      <c r="BK38" s="49">
        <f t="shared" si="10"/>
        <v>146.86491849616417</v>
      </c>
      <c r="BL38" s="49">
        <f t="shared" si="17"/>
        <v>15.496784621306501</v>
      </c>
    </row>
    <row r="39" spans="1:64" x14ac:dyDescent="0.15">
      <c r="A39" s="2">
        <v>3</v>
      </c>
      <c r="B39" s="2">
        <v>3.4</v>
      </c>
      <c r="C39" s="28">
        <v>42.31111111111111</v>
      </c>
      <c r="I39" s="29">
        <v>32</v>
      </c>
      <c r="J39" s="29">
        <f>[1]属性成长!$D39</f>
        <v>160</v>
      </c>
      <c r="K39" s="27">
        <v>32</v>
      </c>
      <c r="L39" s="27">
        <v>32</v>
      </c>
      <c r="M39" s="27">
        <f t="shared" si="1"/>
        <v>30</v>
      </c>
      <c r="N39" s="27">
        <v>1</v>
      </c>
      <c r="O39" s="27">
        <v>32</v>
      </c>
      <c r="P39" s="27">
        <f t="shared" si="21"/>
        <v>30</v>
      </c>
      <c r="Q39" s="27">
        <f t="shared" si="22"/>
        <v>1</v>
      </c>
      <c r="R39" s="27">
        <v>1</v>
      </c>
      <c r="S39" s="27">
        <v>0</v>
      </c>
      <c r="T39" s="27">
        <v>32</v>
      </c>
      <c r="U39" s="27">
        <f t="shared" si="23"/>
        <v>10</v>
      </c>
      <c r="V39" s="27">
        <v>0</v>
      </c>
      <c r="W39" s="27">
        <v>0</v>
      </c>
      <c r="X39" s="27">
        <v>0</v>
      </c>
      <c r="Y39" s="27">
        <v>32</v>
      </c>
      <c r="Z39" s="27">
        <v>1</v>
      </c>
      <c r="AA39" s="27">
        <v>1</v>
      </c>
      <c r="AB39" s="2">
        <f t="shared" si="2"/>
        <v>190</v>
      </c>
      <c r="AC39" s="28">
        <f t="shared" si="3"/>
        <v>856.44444444444457</v>
      </c>
      <c r="AD39" s="28">
        <f t="shared" si="4"/>
        <v>659.55555555555554</v>
      </c>
      <c r="AE39" s="28">
        <f t="shared" si="5"/>
        <v>0</v>
      </c>
      <c r="AF39" s="28">
        <f>INDEX(圣火属性!$I$3:$I$53,MATCH(T39,圣火属性!$B$3:$B$53,0),1)+INDEX(圣火属性!$J$3:$J$53,MATCH(U39,圣火属性!$B$3:$B$53,0),1)+INDEX(圣火属性!$K$3:$K$53,MATCH(V39,圣火属性!$B$3:$B$53,0),1)+INDEX(圣火属性!$L$3:$L$53,MATCH(W39,圣火属性!$B$3:$B$53,0),1)+INDEX(圣火属性!$M$3:$M$53,MATCH(X39,圣火属性!$B$3:$B$53,0),1)</f>
        <v>238.5</v>
      </c>
      <c r="AG39" s="28">
        <f>AA39*VLOOKUP(Z39,神器属性!$B$4:$D$13,3,FALSE)</f>
        <v>42.4</v>
      </c>
      <c r="AH39" s="36">
        <f t="shared" si="20"/>
        <v>1987</v>
      </c>
      <c r="AI39" s="36">
        <f>AH39*10*(1+VLOOKUP(Y39,技能效果!$B$2:$D$101,3,FALSE))</f>
        <v>22333.88</v>
      </c>
      <c r="AJ39" s="36">
        <f t="shared" si="6"/>
        <v>1026.3114</v>
      </c>
      <c r="AK39" s="2">
        <v>1</v>
      </c>
      <c r="AL39" s="28">
        <f t="shared" si="13"/>
        <v>1026</v>
      </c>
      <c r="AM39" s="28">
        <f>$AH39/5*[1]战斗预期!C$4</f>
        <v>39740</v>
      </c>
      <c r="AN39" s="28">
        <f>$AH39/5*[1]战斗预期!D$4</f>
        <v>3974</v>
      </c>
      <c r="AO39" s="28">
        <f>$AH39/5*[1]战斗预期!E$4</f>
        <v>1987</v>
      </c>
      <c r="AP39" s="28">
        <f>$AH39/5*[1]战斗预期!F$4</f>
        <v>1589.6</v>
      </c>
      <c r="AQ39" s="28">
        <f>$AH39/5*[1]战斗预期!G$4</f>
        <v>1589.6</v>
      </c>
      <c r="AR39" s="28">
        <f>$AL39*怪物属性规划!A$18*怪物属性等级系数!A33</f>
        <v>8803.0455990397113</v>
      </c>
      <c r="AS39" s="28">
        <f>$AL39*怪物属性规划!B$18</f>
        <v>1026</v>
      </c>
      <c r="AT39" s="28">
        <f>$AL39*怪物属性规划!C$18</f>
        <v>1026</v>
      </c>
      <c r="AU39" s="28">
        <f>$AL39*怪物属性规划!D$18</f>
        <v>820.80000000000007</v>
      </c>
      <c r="AV39" s="28">
        <f>$AL39*怪物属性规划!E$18</f>
        <v>820.80000000000007</v>
      </c>
      <c r="AW39" s="28">
        <v>0</v>
      </c>
      <c r="AX39" s="28">
        <v>0</v>
      </c>
      <c r="AY39" s="28">
        <v>0</v>
      </c>
      <c r="AZ39" s="28">
        <v>0</v>
      </c>
      <c r="BA39" s="28">
        <v>0</v>
      </c>
      <c r="BB39" s="48">
        <f>[2]技能伤害!$C34</f>
        <v>1.3100000000000003</v>
      </c>
      <c r="BC39" s="2">
        <f>[2]技能伤害!$N34</f>
        <v>1550</v>
      </c>
      <c r="BD39" s="2">
        <f>[2]技能伤害!$L34</f>
        <v>740</v>
      </c>
      <c r="BE39" s="48">
        <f t="shared" si="7"/>
        <v>0.60675951388272875</v>
      </c>
      <c r="BF39" s="48">
        <f t="shared" si="8"/>
        <v>0.86224104562457149</v>
      </c>
      <c r="BG39" s="28">
        <f t="shared" si="14"/>
        <v>6108.6287525946955</v>
      </c>
      <c r="BH39" s="28">
        <f t="shared" si="15"/>
        <v>282.6813743783793</v>
      </c>
      <c r="BI39" s="28">
        <f t="shared" si="16"/>
        <v>1434.3297018824369</v>
      </c>
      <c r="BJ39" s="49">
        <f t="shared" si="9"/>
        <v>0.80060208050425008</v>
      </c>
      <c r="BK39" s="49">
        <f t="shared" si="10"/>
        <v>140.58230786300962</v>
      </c>
      <c r="BL39" s="49">
        <f t="shared" si="17"/>
        <v>15.392400888584092</v>
      </c>
    </row>
    <row r="40" spans="1:64" x14ac:dyDescent="0.15">
      <c r="A40" s="2">
        <v>4</v>
      </c>
      <c r="B40" s="2">
        <v>5.5</v>
      </c>
      <c r="C40" s="28">
        <v>68.444444444444443</v>
      </c>
      <c r="I40" s="29">
        <v>33</v>
      </c>
      <c r="J40" s="29">
        <f>[1]属性成长!$D40</f>
        <v>165</v>
      </c>
      <c r="K40" s="27">
        <v>33</v>
      </c>
      <c r="L40" s="27">
        <v>33</v>
      </c>
      <c r="M40" s="27">
        <f t="shared" ref="M40:M71" si="24">INDEX($A$5:$A$25,MATCH(L40,$A$5:$A$25,1),1)</f>
        <v>30</v>
      </c>
      <c r="N40" s="27">
        <v>1</v>
      </c>
      <c r="O40" s="27">
        <v>33</v>
      </c>
      <c r="P40" s="27">
        <f t="shared" si="21"/>
        <v>30</v>
      </c>
      <c r="Q40" s="27">
        <f t="shared" si="22"/>
        <v>1</v>
      </c>
      <c r="R40" s="27">
        <v>1</v>
      </c>
      <c r="S40" s="27">
        <v>0</v>
      </c>
      <c r="T40" s="27">
        <v>33</v>
      </c>
      <c r="U40" s="27">
        <f t="shared" si="23"/>
        <v>12</v>
      </c>
      <c r="V40" s="27">
        <v>0</v>
      </c>
      <c r="W40" s="27">
        <v>0</v>
      </c>
      <c r="X40" s="27">
        <v>0</v>
      </c>
      <c r="Y40" s="27">
        <v>33</v>
      </c>
      <c r="Z40" s="27">
        <v>1</v>
      </c>
      <c r="AA40" s="27">
        <v>1</v>
      </c>
      <c r="AB40" s="2">
        <f t="shared" ref="AB40:AB71" si="25">VLOOKUP(K40,$I$8:$J$107,2,FALSE)+$B$2</f>
        <v>195</v>
      </c>
      <c r="AC40" s="28">
        <f t="shared" ref="AC40:AC71" si="26">ROUND(5/9*($D$2+D$3/B$1*J$8),0)*(1+VLOOKUP(M40,$A$5:$F$25,4,FALSE)+VLOOKUP(N40,$A$28:$E$34,3,FALSE))+5/9*$D$3/$B$1*(VLOOKUP(L40,$I$8:$J$107,2,FALSE)-J$8)*(1+VLOOKUP(M40,$A$5:$F$25,3,FALSE)+VLOOKUP(N40,$A$28:$E$34,2,FALSE))</f>
        <v>867.55555555555554</v>
      </c>
      <c r="AD40" s="28">
        <f t="shared" ref="AD40:AD71" si="27">ROUND(4/9*($D$2+D$3/B$1*J$8),0)*(1+VLOOKUP(P40,$A$5:$F$25,4,FALSE)+VLOOKUP(Q40,$A$28:$E$34,3,FALSE))+4/9*$D$3/$B$1*(VLOOKUP(O40,$I$8:$J$107,2,FALSE)-J$8)*(1+VLOOKUP(P40,$A$5:$F$25,3,FALSE)+VLOOKUP(Q40,$A$28:$E$34,2,FALSE))</f>
        <v>668.44444444444446</v>
      </c>
      <c r="AE40" s="28">
        <f t="shared" ref="AE40:AE71" si="28">VLOOKUP(R40,$A$37:$C$46,3,FALSE)*S40</f>
        <v>0</v>
      </c>
      <c r="AF40" s="28">
        <f>INDEX(圣火属性!$I$3:$I$53,MATCH(T40,圣火属性!$B$3:$B$53,0),1)+INDEX(圣火属性!$J$3:$J$53,MATCH(U40,圣火属性!$B$3:$B$53,0),1)+INDEX(圣火属性!$K$3:$K$53,MATCH(V40,圣火属性!$B$3:$B$53,0),1)+INDEX(圣火属性!$L$3:$L$53,MATCH(W40,圣火属性!$B$3:$B$53,0),1)+INDEX(圣火属性!$M$3:$M$53,MATCH(X40,圣火属性!$B$3:$B$53,0),1)</f>
        <v>261</v>
      </c>
      <c r="AG40" s="28">
        <f>AA40*VLOOKUP(Z40,神器属性!$B$4:$D$13,3,FALSE)</f>
        <v>42.4</v>
      </c>
      <c r="AH40" s="36">
        <f t="shared" si="20"/>
        <v>2034</v>
      </c>
      <c r="AI40" s="36">
        <f>AH40*10*(1+VLOOKUP(Y40,技能效果!$B$2:$D$101,3,FALSE))</f>
        <v>22943.520000000004</v>
      </c>
      <c r="AJ40" s="36">
        <f t="shared" ref="AJ40:AJ71" si="29">0.0163*I40^3 + 0.15*I40^2 + 8.893*I40^1 + 54.017</f>
        <v>1096.6091000000001</v>
      </c>
      <c r="AK40" s="2">
        <v>1</v>
      </c>
      <c r="AL40" s="28">
        <f t="shared" si="13"/>
        <v>1097</v>
      </c>
      <c r="AM40" s="28">
        <f>$AH40/5*[1]战斗预期!C$4</f>
        <v>40680</v>
      </c>
      <c r="AN40" s="28">
        <f>$AH40/5*[1]战斗预期!D$4</f>
        <v>4068</v>
      </c>
      <c r="AO40" s="28">
        <f>$AH40/5*[1]战斗预期!E$4</f>
        <v>2034</v>
      </c>
      <c r="AP40" s="28">
        <f>$AH40/5*[1]战斗预期!F$4</f>
        <v>1627.2</v>
      </c>
      <c r="AQ40" s="28">
        <f>$AH40/5*[1]战斗预期!G$4</f>
        <v>1627.2</v>
      </c>
      <c r="AR40" s="28">
        <f>$AL40*怪物属性规划!A$18*怪物属性等级系数!A34</f>
        <v>9553.2541333912341</v>
      </c>
      <c r="AS40" s="28">
        <f>$AL40*怪物属性规划!B$18</f>
        <v>1097</v>
      </c>
      <c r="AT40" s="28">
        <f>$AL40*怪物属性规划!C$18</f>
        <v>1097</v>
      </c>
      <c r="AU40" s="28">
        <f>$AL40*怪物属性规划!D$18</f>
        <v>877.6</v>
      </c>
      <c r="AV40" s="28">
        <f>$AL40*怪物属性规划!E$18</f>
        <v>877.6</v>
      </c>
      <c r="AW40" s="28">
        <v>0</v>
      </c>
      <c r="AX40" s="28">
        <v>0</v>
      </c>
      <c r="AY40" s="28">
        <v>0</v>
      </c>
      <c r="AZ40" s="28">
        <v>0</v>
      </c>
      <c r="BA40" s="28">
        <v>0</v>
      </c>
      <c r="BB40" s="48">
        <f>[2]技能伤害!$C35</f>
        <v>1.3200000000000003</v>
      </c>
      <c r="BC40" s="2">
        <f>[2]技能伤害!$N35</f>
        <v>1678</v>
      </c>
      <c r="BD40" s="2">
        <f>[2]技能伤害!$L35</f>
        <v>758</v>
      </c>
      <c r="BE40" s="48">
        <f t="shared" ref="BE40:BE71" si="30">1*(AT40+AY40)/((AT40+AY40)+0+0.429*BC40)</f>
        <v>0.60378828991965261</v>
      </c>
      <c r="BF40" s="48">
        <f t="shared" ref="BF40:BF71" si="31">1*AO40/(AO40+0+0.429*BD40)</f>
        <v>0.86216324132686672</v>
      </c>
      <c r="BG40" s="28">
        <f t="shared" si="14"/>
        <v>6234.0675846420936</v>
      </c>
      <c r="BH40" s="28">
        <f t="shared" si="15"/>
        <v>302.41384852885443</v>
      </c>
      <c r="BI40" s="28">
        <f t="shared" si="16"/>
        <v>1480.3006265052886</v>
      </c>
      <c r="BJ40" s="49">
        <f t="shared" ref="BJ40:BJ71" si="32">AR40/(BG40*1.8)</f>
        <v>0.85134839097902992</v>
      </c>
      <c r="BK40" s="49">
        <f t="shared" ref="BK40:BK71" si="33">AM40/MAX(BH40*1,1)</f>
        <v>134.51764923430275</v>
      </c>
      <c r="BL40" s="49">
        <f t="shared" si="17"/>
        <v>15.267169111016557</v>
      </c>
    </row>
    <row r="41" spans="1:64" x14ac:dyDescent="0.15">
      <c r="A41" s="2">
        <v>5</v>
      </c>
      <c r="B41" s="2">
        <v>8.3000000000000007</v>
      </c>
      <c r="C41" s="28">
        <v>103.28888888888891</v>
      </c>
      <c r="I41" s="29">
        <v>34</v>
      </c>
      <c r="J41" s="29">
        <f>[1]属性成长!$D41</f>
        <v>170</v>
      </c>
      <c r="K41" s="27">
        <v>34</v>
      </c>
      <c r="L41" s="27">
        <v>34</v>
      </c>
      <c r="M41" s="27">
        <f t="shared" si="24"/>
        <v>30</v>
      </c>
      <c r="N41" s="27">
        <v>1</v>
      </c>
      <c r="O41" s="27">
        <v>34</v>
      </c>
      <c r="P41" s="27">
        <f t="shared" si="21"/>
        <v>30</v>
      </c>
      <c r="Q41" s="27">
        <f t="shared" si="22"/>
        <v>1</v>
      </c>
      <c r="R41" s="27">
        <v>1</v>
      </c>
      <c r="S41" s="27">
        <v>0</v>
      </c>
      <c r="T41" s="27">
        <v>34</v>
      </c>
      <c r="U41" s="27">
        <f t="shared" si="23"/>
        <v>15</v>
      </c>
      <c r="V41" s="27">
        <v>0</v>
      </c>
      <c r="W41" s="27">
        <v>0</v>
      </c>
      <c r="X41" s="27">
        <v>0</v>
      </c>
      <c r="Y41" s="27">
        <v>34</v>
      </c>
      <c r="Z41" s="27">
        <v>1</v>
      </c>
      <c r="AA41" s="27">
        <v>1</v>
      </c>
      <c r="AB41" s="2">
        <f t="shared" si="25"/>
        <v>200</v>
      </c>
      <c r="AC41" s="28">
        <f t="shared" si="26"/>
        <v>878.66666666666674</v>
      </c>
      <c r="AD41" s="28">
        <f t="shared" si="27"/>
        <v>677.33333333333326</v>
      </c>
      <c r="AE41" s="28">
        <f t="shared" si="28"/>
        <v>0</v>
      </c>
      <c r="AF41" s="28">
        <f>INDEX(圣火属性!$I$3:$I$53,MATCH(T41,圣火属性!$B$3:$B$53,0),1)+INDEX(圣火属性!$J$3:$J$53,MATCH(U41,圣火属性!$B$3:$B$53,0),1)+INDEX(圣火属性!$K$3:$K$53,MATCH(V41,圣火属性!$B$3:$B$53,0),1)+INDEX(圣火属性!$L$3:$L$53,MATCH(W41,圣火属性!$B$3:$B$53,0),1)+INDEX(圣火属性!$M$3:$M$53,MATCH(X41,圣火属性!$B$3:$B$53,0),1)</f>
        <v>291.375</v>
      </c>
      <c r="AG41" s="28">
        <f>AA41*VLOOKUP(Z41,神器属性!$B$4:$D$13,3,FALSE)</f>
        <v>42.4</v>
      </c>
      <c r="AH41" s="36">
        <f t="shared" si="20"/>
        <v>2090</v>
      </c>
      <c r="AI41" s="36">
        <f>AH41*10*(1+VLOOKUP(Y41,技能效果!$B$2:$D$101,3,FALSE))</f>
        <v>23658.800000000003</v>
      </c>
      <c r="AJ41" s="36">
        <f t="shared" si="29"/>
        <v>1170.4341999999999</v>
      </c>
      <c r="AK41" s="2">
        <v>1</v>
      </c>
      <c r="AL41" s="28">
        <f t="shared" si="13"/>
        <v>1170</v>
      </c>
      <c r="AM41" s="28">
        <f>$AH41/5*[1]战斗预期!C$4</f>
        <v>41800</v>
      </c>
      <c r="AN41" s="28">
        <f>$AH41/5*[1]战斗预期!D$4</f>
        <v>4180</v>
      </c>
      <c r="AO41" s="28">
        <f>$AH41/5*[1]战斗预期!E$4</f>
        <v>2090</v>
      </c>
      <c r="AP41" s="28">
        <f>$AH41/5*[1]战斗预期!F$4</f>
        <v>1672</v>
      </c>
      <c r="AQ41" s="28">
        <f>$AH41/5*[1]战斗预期!G$4</f>
        <v>1672</v>
      </c>
      <c r="AR41" s="28">
        <f>$AL41*怪物属性规划!A$18*怪物属性等级系数!A35</f>
        <v>10349.695690823386</v>
      </c>
      <c r="AS41" s="28">
        <f>$AL41*怪物属性规划!B$18</f>
        <v>1170</v>
      </c>
      <c r="AT41" s="28">
        <f>$AL41*怪物属性规划!C$18</f>
        <v>1170</v>
      </c>
      <c r="AU41" s="28">
        <f>$AL41*怪物属性规划!D$18</f>
        <v>936</v>
      </c>
      <c r="AV41" s="28">
        <f>$AL41*怪物属性规划!E$18</f>
        <v>936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48">
        <f>[2]技能伤害!$C36</f>
        <v>1.3300000000000003</v>
      </c>
      <c r="BC41" s="2">
        <f>[2]技能伤害!$N36</f>
        <v>1813</v>
      </c>
      <c r="BD41" s="2">
        <f>[2]技能伤害!$L36</f>
        <v>781</v>
      </c>
      <c r="BE41" s="48">
        <f t="shared" si="30"/>
        <v>0.60068478064994091</v>
      </c>
      <c r="BF41" s="48">
        <f t="shared" si="31"/>
        <v>0.86183825563937055</v>
      </c>
      <c r="BG41" s="28">
        <f t="shared" si="14"/>
        <v>6397.6660609094379</v>
      </c>
      <c r="BH41" s="28">
        <f t="shared" si="15"/>
        <v>323.2984818038729</v>
      </c>
      <c r="BI41" s="28">
        <f t="shared" si="16"/>
        <v>1536.1928031969671</v>
      </c>
      <c r="BJ41" s="49">
        <f t="shared" si="32"/>
        <v>0.89873883453819692</v>
      </c>
      <c r="BK41" s="49">
        <f t="shared" si="33"/>
        <v>129.29228670290422</v>
      </c>
      <c r="BL41" s="49">
        <f t="shared" si="17"/>
        <v>15.116736762400208</v>
      </c>
    </row>
    <row r="42" spans="1:64" x14ac:dyDescent="0.15">
      <c r="A42" s="2">
        <v>6</v>
      </c>
      <c r="B42" s="2">
        <v>12.5</v>
      </c>
      <c r="C42" s="28">
        <v>155.55555555555557</v>
      </c>
      <c r="I42" s="29">
        <v>35</v>
      </c>
      <c r="J42" s="29">
        <f>[1]属性成长!$D42</f>
        <v>175</v>
      </c>
      <c r="K42" s="27">
        <v>35</v>
      </c>
      <c r="L42" s="27">
        <v>35</v>
      </c>
      <c r="M42" s="27">
        <f t="shared" si="24"/>
        <v>35</v>
      </c>
      <c r="N42" s="27">
        <v>1</v>
      </c>
      <c r="O42" s="27">
        <v>35</v>
      </c>
      <c r="P42" s="27">
        <f t="shared" si="21"/>
        <v>35</v>
      </c>
      <c r="Q42" s="27">
        <f t="shared" si="22"/>
        <v>1</v>
      </c>
      <c r="R42" s="27">
        <v>1</v>
      </c>
      <c r="S42" s="27">
        <v>0</v>
      </c>
      <c r="T42" s="27">
        <v>35</v>
      </c>
      <c r="U42" s="27">
        <f t="shared" si="23"/>
        <v>20</v>
      </c>
      <c r="V42" s="27">
        <v>0</v>
      </c>
      <c r="W42" s="27">
        <v>0</v>
      </c>
      <c r="X42" s="27">
        <v>0</v>
      </c>
      <c r="Y42" s="27">
        <v>35</v>
      </c>
      <c r="Z42" s="27">
        <v>2</v>
      </c>
      <c r="AA42" s="27">
        <v>2</v>
      </c>
      <c r="AB42" s="2">
        <f t="shared" si="25"/>
        <v>205</v>
      </c>
      <c r="AC42" s="28">
        <f t="shared" si="26"/>
        <v>1045.8987508218279</v>
      </c>
      <c r="AD42" s="28">
        <f t="shared" si="27"/>
        <v>805.20184089414852</v>
      </c>
      <c r="AE42" s="28">
        <f t="shared" si="28"/>
        <v>0</v>
      </c>
      <c r="AF42" s="28">
        <f>INDEX(圣火属性!$I$3:$I$53,MATCH(T42,圣火属性!$B$3:$B$53,0),1)+INDEX(圣火属性!$J$3:$J$53,MATCH(U42,圣火属性!$B$3:$B$53,0),1)+INDEX(圣火属性!$K$3:$K$53,MATCH(V42,圣火属性!$B$3:$B$53,0),1)+INDEX(圣火属性!$L$3:$L$53,MATCH(W42,圣火属性!$B$3:$B$53,0),1)+INDEX(圣火属性!$M$3:$M$53,MATCH(X42,圣火属性!$B$3:$B$53,0),1)</f>
        <v>337.5</v>
      </c>
      <c r="AG42" s="28">
        <f>AA42*VLOOKUP(Z42,神器属性!$B$4:$D$13,3,FALSE)</f>
        <v>169.6</v>
      </c>
      <c r="AH42" s="36">
        <f t="shared" si="20"/>
        <v>2563</v>
      </c>
      <c r="AI42" s="36">
        <f>AH42*10*(1+VLOOKUP(Y42,技能效果!$B$2:$D$101,3,FALSE))</f>
        <v>29115.680000000004</v>
      </c>
      <c r="AJ42" s="36">
        <f t="shared" si="29"/>
        <v>1247.8844999999999</v>
      </c>
      <c r="AK42" s="2">
        <v>1</v>
      </c>
      <c r="AL42" s="28">
        <f t="shared" si="13"/>
        <v>1248</v>
      </c>
      <c r="AM42" s="28">
        <f>$AH42/5*[1]战斗预期!C$4</f>
        <v>51260</v>
      </c>
      <c r="AN42" s="28">
        <f>$AH42/5*[1]战斗预期!D$4</f>
        <v>5126</v>
      </c>
      <c r="AO42" s="28">
        <f>$AH42/5*[1]战斗预期!E$4</f>
        <v>2563</v>
      </c>
      <c r="AP42" s="28">
        <f>$AH42/5*[1]战斗预期!F$4</f>
        <v>2050.4</v>
      </c>
      <c r="AQ42" s="28">
        <f>$AH42/5*[1]战斗预期!G$4</f>
        <v>2050.4</v>
      </c>
      <c r="AR42" s="28">
        <f>$AL42*怪物属性规划!A$18*怪物属性等级系数!A36</f>
        <v>11204.036225271233</v>
      </c>
      <c r="AS42" s="28">
        <f>$AL42*怪物属性规划!B$18</f>
        <v>1248</v>
      </c>
      <c r="AT42" s="28">
        <f>$AL42*怪物属性规划!C$18</f>
        <v>1248</v>
      </c>
      <c r="AU42" s="28">
        <f>$AL42*怪物属性规划!D$18</f>
        <v>998.40000000000009</v>
      </c>
      <c r="AV42" s="28">
        <f>$AL42*怪物属性规划!E$18</f>
        <v>998.40000000000009</v>
      </c>
      <c r="AW42" s="28">
        <v>0</v>
      </c>
      <c r="AX42" s="28">
        <v>0</v>
      </c>
      <c r="AY42" s="28">
        <v>0</v>
      </c>
      <c r="AZ42" s="28">
        <v>0</v>
      </c>
      <c r="BA42" s="28">
        <v>0</v>
      </c>
      <c r="BB42" s="48">
        <f>[2]技能伤害!$C37</f>
        <v>1.3400000000000003</v>
      </c>
      <c r="BC42" s="2">
        <f>[2]技能伤害!$N37</f>
        <v>1958</v>
      </c>
      <c r="BD42" s="2">
        <f>[2]技能伤害!$L37</f>
        <v>919</v>
      </c>
      <c r="BE42" s="48">
        <f t="shared" si="30"/>
        <v>0.59770630206582243</v>
      </c>
      <c r="BF42" s="48">
        <f t="shared" si="31"/>
        <v>0.86668328119594851</v>
      </c>
      <c r="BG42" s="28">
        <f t="shared" si="14"/>
        <v>8345.9420882363938</v>
      </c>
      <c r="BH42" s="28">
        <f t="shared" si="15"/>
        <v>332.75853013491252</v>
      </c>
      <c r="BI42" s="28">
        <f t="shared" si="16"/>
        <v>1831.4624215800425</v>
      </c>
      <c r="BJ42" s="49">
        <f t="shared" si="32"/>
        <v>0.74580730417103092</v>
      </c>
      <c r="BK42" s="49">
        <f t="shared" si="33"/>
        <v>154.04563777588908</v>
      </c>
      <c r="BL42" s="49">
        <f t="shared" si="17"/>
        <v>15.549201251538308</v>
      </c>
    </row>
    <row r="43" spans="1:64" x14ac:dyDescent="0.15">
      <c r="A43" s="2">
        <v>7</v>
      </c>
      <c r="B43" s="2">
        <v>18</v>
      </c>
      <c r="C43" s="28">
        <v>224</v>
      </c>
      <c r="I43" s="29">
        <v>36</v>
      </c>
      <c r="J43" s="29">
        <f>[1]属性成长!$D43</f>
        <v>180</v>
      </c>
      <c r="K43" s="27">
        <v>36</v>
      </c>
      <c r="L43" s="27">
        <v>36</v>
      </c>
      <c r="M43" s="27">
        <f t="shared" si="24"/>
        <v>35</v>
      </c>
      <c r="N43" s="27">
        <v>1</v>
      </c>
      <c r="O43" s="27">
        <v>36</v>
      </c>
      <c r="P43" s="27">
        <f t="shared" si="21"/>
        <v>35</v>
      </c>
      <c r="Q43" s="27">
        <f t="shared" si="22"/>
        <v>1</v>
      </c>
      <c r="R43" s="27">
        <v>1</v>
      </c>
      <c r="S43" s="27">
        <v>0</v>
      </c>
      <c r="T43" s="27">
        <v>36</v>
      </c>
      <c r="U43" s="27">
        <f t="shared" si="23"/>
        <v>22</v>
      </c>
      <c r="V43" s="27">
        <v>0</v>
      </c>
      <c r="W43" s="27">
        <v>0</v>
      </c>
      <c r="X43" s="27">
        <v>0</v>
      </c>
      <c r="Y43" s="27">
        <v>36</v>
      </c>
      <c r="Z43" s="27">
        <v>2</v>
      </c>
      <c r="AA43" s="27">
        <v>2</v>
      </c>
      <c r="AB43" s="2">
        <f t="shared" si="25"/>
        <v>210</v>
      </c>
      <c r="AC43" s="28">
        <f t="shared" si="26"/>
        <v>1058.1209730440501</v>
      </c>
      <c r="AD43" s="28">
        <f t="shared" si="27"/>
        <v>814.97961867192635</v>
      </c>
      <c r="AE43" s="28">
        <f t="shared" si="28"/>
        <v>0</v>
      </c>
      <c r="AF43" s="28">
        <f>INDEX(圣火属性!$I$3:$I$53,MATCH(T43,圣火属性!$B$3:$B$53,0),1)+INDEX(圣火属性!$J$3:$J$53,MATCH(U43,圣火属性!$B$3:$B$53,0),1)+INDEX(圣火属性!$K$3:$K$53,MATCH(V43,圣火属性!$B$3:$B$53,0),1)+INDEX(圣火属性!$L$3:$L$53,MATCH(W43,圣火属性!$B$3:$B$53,0),1)+INDEX(圣火属性!$M$3:$M$53,MATCH(X43,圣火属性!$B$3:$B$53,0),1)</f>
        <v>362.25</v>
      </c>
      <c r="AG43" s="28">
        <f>AA43*VLOOKUP(Z43,神器属性!$B$4:$D$13,3,FALSE)</f>
        <v>169.6</v>
      </c>
      <c r="AH43" s="36">
        <f t="shared" si="20"/>
        <v>2615</v>
      </c>
      <c r="AI43" s="36">
        <f>AH43*10*(1+VLOOKUP(Y43,技能效果!$B$2:$D$101,3,FALSE))</f>
        <v>29811.000000000004</v>
      </c>
      <c r="AJ43" s="36">
        <f t="shared" si="29"/>
        <v>1329.0577999999998</v>
      </c>
      <c r="AK43" s="2">
        <v>1</v>
      </c>
      <c r="AL43" s="28">
        <f t="shared" si="13"/>
        <v>1329</v>
      </c>
      <c r="AM43" s="28">
        <f>$AH43/5*[1]战斗预期!C$4</f>
        <v>52300</v>
      </c>
      <c r="AN43" s="28">
        <f>$AH43/5*[1]战斗预期!D$4</f>
        <v>5230</v>
      </c>
      <c r="AO43" s="28">
        <f>$AH43/5*[1]战斗预期!E$4</f>
        <v>2615</v>
      </c>
      <c r="AP43" s="28">
        <f>$AH43/5*[1]战斗预期!F$4</f>
        <v>2092</v>
      </c>
      <c r="AQ43" s="28">
        <f>$AH43/5*[1]战斗预期!G$4</f>
        <v>2092</v>
      </c>
      <c r="AR43" s="28">
        <f>$AL43*怪物属性规划!A$18*怪物属性等级系数!A37</f>
        <v>12109.102605410588</v>
      </c>
      <c r="AS43" s="28">
        <f>$AL43*怪物属性规划!B$18</f>
        <v>1329</v>
      </c>
      <c r="AT43" s="28">
        <f>$AL43*怪物属性规划!C$18</f>
        <v>1329</v>
      </c>
      <c r="AU43" s="28">
        <f>$AL43*怪物属性规划!D$18</f>
        <v>1063.2</v>
      </c>
      <c r="AV43" s="28">
        <f>$AL43*怪物属性规划!E$18</f>
        <v>1063.2</v>
      </c>
      <c r="AW43" s="28">
        <v>0</v>
      </c>
      <c r="AX43" s="28">
        <v>0</v>
      </c>
      <c r="AY43" s="28">
        <v>0</v>
      </c>
      <c r="AZ43" s="28">
        <v>0</v>
      </c>
      <c r="BA43" s="28">
        <v>0</v>
      </c>
      <c r="BB43" s="48">
        <f>[2]技能伤害!$C38</f>
        <v>1.3500000000000003</v>
      </c>
      <c r="BC43" s="2">
        <f>[2]技能伤害!$N38</f>
        <v>2111</v>
      </c>
      <c r="BD43" s="2">
        <f>[2]技能伤害!$L38</f>
        <v>937</v>
      </c>
      <c r="BE43" s="48">
        <f t="shared" si="30"/>
        <v>0.59473225637122029</v>
      </c>
      <c r="BF43" s="48">
        <f t="shared" si="31"/>
        <v>0.86676281159957347</v>
      </c>
      <c r="BG43" s="28">
        <f t="shared" si="14"/>
        <v>8500.5458077820003</v>
      </c>
      <c r="BH43" s="28">
        <f t="shared" si="15"/>
        <v>354.14444676833369</v>
      </c>
      <c r="BI43" s="28">
        <f t="shared" si="16"/>
        <v>1881.4423374024234</v>
      </c>
      <c r="BJ43" s="49">
        <f t="shared" si="32"/>
        <v>0.79139379721587733</v>
      </c>
      <c r="BK43" s="49">
        <f t="shared" si="33"/>
        <v>147.6798534531658</v>
      </c>
      <c r="BL43" s="49">
        <f t="shared" si="17"/>
        <v>15.443234681149219</v>
      </c>
    </row>
    <row r="44" spans="1:64" x14ac:dyDescent="0.15">
      <c r="A44" s="2">
        <v>8</v>
      </c>
      <c r="B44" s="2">
        <v>25</v>
      </c>
      <c r="C44" s="28">
        <v>311.11111111111114</v>
      </c>
      <c r="I44" s="29">
        <v>37</v>
      </c>
      <c r="J44" s="29">
        <f>[1]属性成长!$D44</f>
        <v>185</v>
      </c>
      <c r="K44" s="27">
        <v>37</v>
      </c>
      <c r="L44" s="27">
        <v>37</v>
      </c>
      <c r="M44" s="27">
        <f t="shared" si="24"/>
        <v>35</v>
      </c>
      <c r="N44" s="27">
        <v>1</v>
      </c>
      <c r="O44" s="27">
        <v>37</v>
      </c>
      <c r="P44" s="27">
        <f t="shared" si="21"/>
        <v>35</v>
      </c>
      <c r="Q44" s="27">
        <f t="shared" si="22"/>
        <v>1</v>
      </c>
      <c r="R44" s="27">
        <v>1</v>
      </c>
      <c r="S44" s="27">
        <v>0</v>
      </c>
      <c r="T44" s="27">
        <v>37</v>
      </c>
      <c r="U44" s="27">
        <f t="shared" si="23"/>
        <v>25</v>
      </c>
      <c r="V44" s="27">
        <v>0</v>
      </c>
      <c r="W44" s="27">
        <v>0</v>
      </c>
      <c r="X44" s="27">
        <v>0</v>
      </c>
      <c r="Y44" s="27">
        <v>37</v>
      </c>
      <c r="Z44" s="27">
        <v>2</v>
      </c>
      <c r="AA44" s="27">
        <v>2</v>
      </c>
      <c r="AB44" s="2">
        <f t="shared" si="25"/>
        <v>215</v>
      </c>
      <c r="AC44" s="28">
        <f t="shared" si="26"/>
        <v>1070.3431952662722</v>
      </c>
      <c r="AD44" s="28">
        <f t="shared" si="27"/>
        <v>824.75739644970417</v>
      </c>
      <c r="AE44" s="28">
        <f t="shared" si="28"/>
        <v>0</v>
      </c>
      <c r="AF44" s="28">
        <f>INDEX(圣火属性!$I$3:$I$53,MATCH(T44,圣火属性!$B$3:$B$53,0),1)+INDEX(圣火属性!$J$3:$J$53,MATCH(U44,圣火属性!$B$3:$B$53,0),1)+INDEX(圣火属性!$K$3:$K$53,MATCH(V44,圣火属性!$B$3:$B$53,0),1)+INDEX(圣火属性!$L$3:$L$53,MATCH(W44,圣火属性!$B$3:$B$53,0),1)+INDEX(圣火属性!$M$3:$M$53,MATCH(X44,圣火属性!$B$3:$B$53,0),1)</f>
        <v>396</v>
      </c>
      <c r="AG44" s="28">
        <f>AA44*VLOOKUP(Z44,神器属性!$B$4:$D$13,3,FALSE)</f>
        <v>169.6</v>
      </c>
      <c r="AH44" s="36">
        <f t="shared" si="20"/>
        <v>2676</v>
      </c>
      <c r="AI44" s="36">
        <f>AH44*10*(1+VLOOKUP(Y44,技能效果!$B$2:$D$101,3,FALSE))</f>
        <v>30613.440000000002</v>
      </c>
      <c r="AJ44" s="36">
        <f t="shared" si="29"/>
        <v>1414.0519000000002</v>
      </c>
      <c r="AK44" s="2">
        <v>1</v>
      </c>
      <c r="AL44" s="28">
        <f t="shared" si="13"/>
        <v>1414</v>
      </c>
      <c r="AM44" s="28">
        <f>$AH44/5*[1]战斗预期!C$4</f>
        <v>53520.000000000007</v>
      </c>
      <c r="AN44" s="28">
        <f>$AH44/5*[1]战斗预期!D$4</f>
        <v>5352</v>
      </c>
      <c r="AO44" s="28">
        <f>$AH44/5*[1]战斗预期!E$4</f>
        <v>2676</v>
      </c>
      <c r="AP44" s="28">
        <f>$AH44/5*[1]战斗预期!F$4</f>
        <v>2140.8000000000002</v>
      </c>
      <c r="AQ44" s="28">
        <f>$AH44/5*[1]战斗预期!G$4</f>
        <v>2140.8000000000002</v>
      </c>
      <c r="AR44" s="28">
        <f>$AL44*怪物属性规划!A$18*怪物属性等级系数!A38</f>
        <v>13072.212266528388</v>
      </c>
      <c r="AS44" s="28">
        <f>$AL44*怪物属性规划!B$18</f>
        <v>1414</v>
      </c>
      <c r="AT44" s="28">
        <f>$AL44*怪物属性规划!C$18</f>
        <v>1414</v>
      </c>
      <c r="AU44" s="28">
        <f>$AL44*怪物属性规划!D$18</f>
        <v>1131.2</v>
      </c>
      <c r="AV44" s="28">
        <f>$AL44*怪物属性规划!E$18</f>
        <v>1131.2</v>
      </c>
      <c r="AW44" s="28">
        <v>0</v>
      </c>
      <c r="AX44" s="28">
        <v>0</v>
      </c>
      <c r="AY44" s="28">
        <v>0</v>
      </c>
      <c r="AZ44" s="28">
        <v>0</v>
      </c>
      <c r="BA44" s="28">
        <v>0</v>
      </c>
      <c r="BB44" s="48">
        <f>[2]技能伤害!$C39</f>
        <v>1.3600000000000003</v>
      </c>
      <c r="BC44" s="2">
        <f>[2]技能伤害!$N39</f>
        <v>2274</v>
      </c>
      <c r="BD44" s="2">
        <f>[2]技能伤害!$L39</f>
        <v>959</v>
      </c>
      <c r="BE44" s="48">
        <f t="shared" si="30"/>
        <v>0.59174420580311071</v>
      </c>
      <c r="BF44" s="48">
        <f t="shared" si="31"/>
        <v>0.86674563250568193</v>
      </c>
      <c r="BG44" s="28">
        <f t="shared" si="14"/>
        <v>8689.2712286735659</v>
      </c>
      <c r="BH44" s="28">
        <f t="shared" si="15"/>
        <v>376.84335127393149</v>
      </c>
      <c r="BI44" s="28">
        <f t="shared" si="16"/>
        <v>1939.8424595364861</v>
      </c>
      <c r="BJ44" s="49">
        <f t="shared" si="32"/>
        <v>0.83578242144248682</v>
      </c>
      <c r="BK44" s="49">
        <f t="shared" si="33"/>
        <v>142.0218767800304</v>
      </c>
      <c r="BL44" s="49">
        <f t="shared" si="17"/>
        <v>15.327705189233738</v>
      </c>
    </row>
    <row r="45" spans="1:64" x14ac:dyDescent="0.15">
      <c r="A45" s="2">
        <v>9</v>
      </c>
      <c r="B45" s="2">
        <v>34</v>
      </c>
      <c r="C45" s="28">
        <v>423.11111111111114</v>
      </c>
      <c r="I45" s="29">
        <v>38</v>
      </c>
      <c r="J45" s="29">
        <f>[1]属性成长!$D45</f>
        <v>190</v>
      </c>
      <c r="K45" s="27">
        <v>38</v>
      </c>
      <c r="L45" s="27">
        <v>38</v>
      </c>
      <c r="M45" s="27">
        <f t="shared" si="24"/>
        <v>35</v>
      </c>
      <c r="N45" s="27">
        <v>1</v>
      </c>
      <c r="O45" s="27">
        <v>38</v>
      </c>
      <c r="P45" s="27">
        <f t="shared" si="21"/>
        <v>35</v>
      </c>
      <c r="Q45" s="27">
        <f t="shared" si="22"/>
        <v>1</v>
      </c>
      <c r="R45" s="27">
        <v>1</v>
      </c>
      <c r="S45" s="27">
        <v>0</v>
      </c>
      <c r="T45" s="27">
        <v>38</v>
      </c>
      <c r="U45" s="27">
        <f t="shared" si="23"/>
        <v>27</v>
      </c>
      <c r="V45" s="27">
        <v>0</v>
      </c>
      <c r="W45" s="27">
        <v>0</v>
      </c>
      <c r="X45" s="27">
        <v>0</v>
      </c>
      <c r="Y45" s="27">
        <v>38</v>
      </c>
      <c r="Z45" s="27">
        <v>2</v>
      </c>
      <c r="AA45" s="27">
        <v>2</v>
      </c>
      <c r="AB45" s="2">
        <f t="shared" si="25"/>
        <v>220</v>
      </c>
      <c r="AC45" s="28">
        <f t="shared" si="26"/>
        <v>1082.5654174884944</v>
      </c>
      <c r="AD45" s="28">
        <f t="shared" si="27"/>
        <v>834.53517422748189</v>
      </c>
      <c r="AE45" s="28">
        <f t="shared" si="28"/>
        <v>0</v>
      </c>
      <c r="AF45" s="28">
        <f>INDEX(圣火属性!$I$3:$I$53,MATCH(T45,圣火属性!$B$3:$B$53,0),1)+INDEX(圣火属性!$J$3:$J$53,MATCH(U45,圣火属性!$B$3:$B$53,0),1)+INDEX(圣火属性!$K$3:$K$53,MATCH(V45,圣火属性!$B$3:$B$53,0),1)+INDEX(圣火属性!$L$3:$L$53,MATCH(W45,圣火属性!$B$3:$B$53,0),1)+INDEX(圣火属性!$M$3:$M$53,MATCH(X45,圣火属性!$B$3:$B$53,0),1)</f>
        <v>420.75</v>
      </c>
      <c r="AG45" s="28">
        <f>AA45*VLOOKUP(Z45,神器属性!$B$4:$D$13,3,FALSE)</f>
        <v>169.6</v>
      </c>
      <c r="AH45" s="36">
        <f t="shared" si="20"/>
        <v>2727</v>
      </c>
      <c r="AI45" s="36">
        <f>AH45*10*(1+VLOOKUP(Y45,技能效果!$B$2:$D$101,3,FALSE))</f>
        <v>31305.960000000003</v>
      </c>
      <c r="AJ45" s="36">
        <f t="shared" si="29"/>
        <v>1502.9646</v>
      </c>
      <c r="AK45" s="2">
        <v>1</v>
      </c>
      <c r="AL45" s="28">
        <f t="shared" si="13"/>
        <v>1503</v>
      </c>
      <c r="AM45" s="28">
        <f>$AH45/5*[1]战斗预期!C$4</f>
        <v>54540</v>
      </c>
      <c r="AN45" s="28">
        <f>$AH45/5*[1]战斗预期!D$4</f>
        <v>5454</v>
      </c>
      <c r="AO45" s="28">
        <f>$AH45/5*[1]战斗预期!E$4</f>
        <v>2727</v>
      </c>
      <c r="AP45" s="28">
        <f>$AH45/5*[1]战斗预期!F$4</f>
        <v>2181.6</v>
      </c>
      <c r="AQ45" s="28">
        <f>$AH45/5*[1]战斗预期!G$4</f>
        <v>2181.6</v>
      </c>
      <c r="AR45" s="28">
        <f>$AL45*怪物属性规划!A$18*怪物属性等级系数!A39</f>
        <v>14108.083824440211</v>
      </c>
      <c r="AS45" s="28">
        <f>$AL45*怪物属性规划!B$18</f>
        <v>1503</v>
      </c>
      <c r="AT45" s="28">
        <f>$AL45*怪物属性规划!C$18</f>
        <v>1503</v>
      </c>
      <c r="AU45" s="28">
        <f>$AL45*怪物属性规划!D$18</f>
        <v>1202.4000000000001</v>
      </c>
      <c r="AV45" s="28">
        <f>$AL45*怪物属性规划!E$18</f>
        <v>1202.4000000000001</v>
      </c>
      <c r="AW45" s="28">
        <v>0</v>
      </c>
      <c r="AX45" s="28">
        <v>0</v>
      </c>
      <c r="AY45" s="28">
        <v>0</v>
      </c>
      <c r="AZ45" s="28">
        <v>0</v>
      </c>
      <c r="BA45" s="28">
        <v>0</v>
      </c>
      <c r="BB45" s="48">
        <f>[2]技能伤害!$C40</f>
        <v>1.3700000000000003</v>
      </c>
      <c r="BC45" s="2">
        <f>[2]技能伤害!$N40</f>
        <v>2448</v>
      </c>
      <c r="BD45" s="2">
        <f>[2]技能伤害!$L40</f>
        <v>977</v>
      </c>
      <c r="BE45" s="48">
        <f t="shared" si="30"/>
        <v>0.58867488226502351</v>
      </c>
      <c r="BF45" s="48">
        <f t="shared" si="31"/>
        <v>0.86677835933827341</v>
      </c>
      <c r="BG45" s="28">
        <f t="shared" si="14"/>
        <v>8829.8341064267806</v>
      </c>
      <c r="BH45" s="28">
        <f t="shared" si="15"/>
        <v>400.46425182915016</v>
      </c>
      <c r="BI45" s="28">
        <f t="shared" si="16"/>
        <v>1990.8588691832163</v>
      </c>
      <c r="BJ45" s="49">
        <f t="shared" si="32"/>
        <v>0.88765250314346</v>
      </c>
      <c r="BK45" s="49">
        <f t="shared" si="33"/>
        <v>136.19193161657878</v>
      </c>
      <c r="BL45" s="49">
        <f t="shared" si="17"/>
        <v>15.219562003624642</v>
      </c>
    </row>
    <row r="46" spans="1:64" x14ac:dyDescent="0.15">
      <c r="A46" s="2">
        <v>10</v>
      </c>
      <c r="B46" s="2">
        <v>45</v>
      </c>
      <c r="C46" s="28">
        <v>560</v>
      </c>
      <c r="I46" s="29">
        <v>39</v>
      </c>
      <c r="J46" s="29">
        <f>[1]属性成长!$D46</f>
        <v>195</v>
      </c>
      <c r="K46" s="27">
        <v>39</v>
      </c>
      <c r="L46" s="27">
        <v>39</v>
      </c>
      <c r="M46" s="27">
        <f t="shared" si="24"/>
        <v>35</v>
      </c>
      <c r="N46" s="27">
        <v>1</v>
      </c>
      <c r="O46" s="27">
        <v>39</v>
      </c>
      <c r="P46" s="27">
        <f t="shared" si="21"/>
        <v>35</v>
      </c>
      <c r="Q46" s="27">
        <f t="shared" si="22"/>
        <v>1</v>
      </c>
      <c r="R46" s="27">
        <v>1</v>
      </c>
      <c r="S46" s="27">
        <v>0</v>
      </c>
      <c r="T46" s="27">
        <v>39</v>
      </c>
      <c r="U46" s="27">
        <f t="shared" si="23"/>
        <v>29</v>
      </c>
      <c r="V46" s="27">
        <v>0</v>
      </c>
      <c r="W46" s="27">
        <v>0</v>
      </c>
      <c r="X46" s="27">
        <v>0</v>
      </c>
      <c r="Y46" s="27">
        <v>39</v>
      </c>
      <c r="Z46" s="27">
        <v>2</v>
      </c>
      <c r="AA46" s="27">
        <v>2</v>
      </c>
      <c r="AB46" s="2">
        <f t="shared" si="25"/>
        <v>225</v>
      </c>
      <c r="AC46" s="28">
        <f t="shared" si="26"/>
        <v>1094.7876397107168</v>
      </c>
      <c r="AD46" s="28">
        <f t="shared" si="27"/>
        <v>844.3129520052596</v>
      </c>
      <c r="AE46" s="28">
        <f t="shared" si="28"/>
        <v>0</v>
      </c>
      <c r="AF46" s="28">
        <f>INDEX(圣火属性!$I$3:$I$53,MATCH(T46,圣火属性!$B$3:$B$53,0),1)+INDEX(圣火属性!$J$3:$J$53,MATCH(U46,圣火属性!$B$3:$B$53,0),1)+INDEX(圣火属性!$K$3:$K$53,MATCH(V46,圣火属性!$B$3:$B$53,0),1)+INDEX(圣火属性!$L$3:$L$53,MATCH(W46,圣火属性!$B$3:$B$53,0),1)+INDEX(圣火属性!$M$3:$M$53,MATCH(X46,圣火属性!$B$3:$B$53,0),1)</f>
        <v>445.5</v>
      </c>
      <c r="AG46" s="28">
        <f>AA46*VLOOKUP(Z46,神器属性!$B$4:$D$13,3,FALSE)</f>
        <v>169.6</v>
      </c>
      <c r="AH46" s="36">
        <f t="shared" si="20"/>
        <v>2779</v>
      </c>
      <c r="AI46" s="36">
        <f>AH46*10*(1+VLOOKUP(Y46,技能效果!$B$2:$D$101,3,FALSE))</f>
        <v>32014.080000000005</v>
      </c>
      <c r="AJ46" s="36">
        <f t="shared" si="29"/>
        <v>1595.8937000000001</v>
      </c>
      <c r="AK46" s="2">
        <v>1</v>
      </c>
      <c r="AL46" s="28">
        <f t="shared" si="13"/>
        <v>1596</v>
      </c>
      <c r="AM46" s="28">
        <f>$AH46/5*[1]战斗预期!C$4</f>
        <v>55579.999999999993</v>
      </c>
      <c r="AN46" s="28">
        <f>$AH46/5*[1]战斗预期!D$4</f>
        <v>5558</v>
      </c>
      <c r="AO46" s="28">
        <f>$AH46/5*[1]战斗预期!E$4</f>
        <v>2779</v>
      </c>
      <c r="AP46" s="28">
        <f>$AH46/5*[1]战斗预期!F$4</f>
        <v>2223.1999999999998</v>
      </c>
      <c r="AQ46" s="28">
        <f>$AH46/5*[1]战斗预期!G$4</f>
        <v>2223.1999999999998</v>
      </c>
      <c r="AR46" s="28">
        <f>$AL46*怪物属性规划!A$18*怪物属性等级系数!A40</f>
        <v>15199.408615484901</v>
      </c>
      <c r="AS46" s="28">
        <f>$AL46*怪物属性规划!B$18</f>
        <v>1596</v>
      </c>
      <c r="AT46" s="28">
        <f>$AL46*怪物属性规划!C$18</f>
        <v>1596</v>
      </c>
      <c r="AU46" s="28">
        <f>$AL46*怪物属性规划!D$18</f>
        <v>1276.8000000000002</v>
      </c>
      <c r="AV46" s="28">
        <f>$AL46*怪物属性规划!E$18</f>
        <v>1276.8000000000002</v>
      </c>
      <c r="AW46" s="28">
        <v>0</v>
      </c>
      <c r="AX46" s="28">
        <v>0</v>
      </c>
      <c r="AY46" s="28">
        <v>0</v>
      </c>
      <c r="AZ46" s="28">
        <v>0</v>
      </c>
      <c r="BA46" s="28">
        <v>0</v>
      </c>
      <c r="BB46" s="48">
        <f>[2]技能伤害!$C41</f>
        <v>1.3800000000000003</v>
      </c>
      <c r="BC46" s="2">
        <f>[2]技能伤害!$N41</f>
        <v>2631</v>
      </c>
      <c r="BD46" s="2">
        <f>[2]技能伤害!$L41</f>
        <v>994</v>
      </c>
      <c r="BE46" s="48">
        <f t="shared" si="30"/>
        <v>0.58575277489366717</v>
      </c>
      <c r="BF46" s="48">
        <f t="shared" si="31"/>
        <v>0.8669674483204417</v>
      </c>
      <c r="BG46" s="28">
        <f t="shared" si="14"/>
        <v>8966.6495729091548</v>
      </c>
      <c r="BH46" s="28">
        <f t="shared" si="15"/>
        <v>424.63990496115008</v>
      </c>
      <c r="BI46" s="28">
        <f t="shared" si="16"/>
        <v>2040.729985368559</v>
      </c>
      <c r="BJ46" s="49">
        <f t="shared" si="32"/>
        <v>0.94172475781854259</v>
      </c>
      <c r="BK46" s="49">
        <f t="shared" si="33"/>
        <v>130.88736915831063</v>
      </c>
      <c r="BL46" s="49">
        <f t="shared" si="17"/>
        <v>15.130751250367499</v>
      </c>
    </row>
    <row r="47" spans="1:64" x14ac:dyDescent="0.15">
      <c r="I47" s="29">
        <v>40</v>
      </c>
      <c r="J47" s="29">
        <f>[1]属性成长!$D47</f>
        <v>200</v>
      </c>
      <c r="K47" s="27">
        <v>40</v>
      </c>
      <c r="L47" s="27">
        <v>40</v>
      </c>
      <c r="M47" s="27">
        <f t="shared" si="24"/>
        <v>40</v>
      </c>
      <c r="N47" s="27">
        <v>2</v>
      </c>
      <c r="O47" s="27">
        <v>40</v>
      </c>
      <c r="P47" s="27">
        <f t="shared" si="21"/>
        <v>40</v>
      </c>
      <c r="Q47" s="27">
        <f t="shared" si="22"/>
        <v>2</v>
      </c>
      <c r="R47" s="27">
        <v>1</v>
      </c>
      <c r="S47" s="27">
        <v>28</v>
      </c>
      <c r="T47" s="27">
        <v>40</v>
      </c>
      <c r="U47" s="27">
        <f t="shared" si="23"/>
        <v>30</v>
      </c>
      <c r="V47" s="27">
        <f>T27</f>
        <v>0</v>
      </c>
      <c r="W47" s="27">
        <v>0</v>
      </c>
      <c r="X47" s="27">
        <v>0</v>
      </c>
      <c r="Y47" s="27">
        <v>40</v>
      </c>
      <c r="Z47" s="27">
        <v>2</v>
      </c>
      <c r="AA47" s="27">
        <f>AA42+1</f>
        <v>3</v>
      </c>
      <c r="AB47" s="2">
        <f t="shared" si="25"/>
        <v>230</v>
      </c>
      <c r="AC47" s="28">
        <f t="shared" si="26"/>
        <v>1549.009861932939</v>
      </c>
      <c r="AD47" s="28">
        <f t="shared" si="27"/>
        <v>1192.0907297830374</v>
      </c>
      <c r="AE47" s="28">
        <f t="shared" si="28"/>
        <v>348.44444444444446</v>
      </c>
      <c r="AF47" s="28">
        <f>INDEX(圣火属性!$I$3:$I$53,MATCH(T47,圣火属性!$B$3:$B$53,0),1)+INDEX(圣火属性!$J$3:$J$53,MATCH(U47,圣火属性!$B$3:$B$53,0),1)+INDEX(圣火属性!$K$3:$K$53,MATCH(V47,圣火属性!$B$3:$B$53,0),1)+INDEX(圣火属性!$L$3:$L$53,MATCH(W47,圣火属性!$B$3:$B$53,0),1)+INDEX(圣火属性!$M$3:$M$53,MATCH(X47,圣火属性!$B$3:$B$53,0),1)</f>
        <v>461.25</v>
      </c>
      <c r="AG47" s="28">
        <f>AA47*VLOOKUP(Z47,神器属性!$B$4:$D$13,3,FALSE)</f>
        <v>254.39999999999998</v>
      </c>
      <c r="AH47" s="36">
        <f t="shared" si="20"/>
        <v>4035</v>
      </c>
      <c r="AI47" s="36">
        <f>AH47*10*(1+VLOOKUP(Y47,技能效果!$B$2:$D$101,3,FALSE))</f>
        <v>46644.600000000006</v>
      </c>
      <c r="AJ47" s="36">
        <f t="shared" si="29"/>
        <v>1692.9369999999999</v>
      </c>
      <c r="AK47" s="2">
        <v>1</v>
      </c>
      <c r="AL47" s="28">
        <f t="shared" si="13"/>
        <v>1693</v>
      </c>
      <c r="AM47" s="28">
        <f>$AH47/5*[1]战斗预期!C$4</f>
        <v>80700</v>
      </c>
      <c r="AN47" s="77">
        <f>$AH47/5*[1]战斗预期!D$4</f>
        <v>8070</v>
      </c>
      <c r="AO47" s="77">
        <f>$AH47/5*[1]战斗预期!E$4</f>
        <v>4035</v>
      </c>
      <c r="AP47" s="77">
        <f>$AH47/5*[1]战斗预期!F$4</f>
        <v>3228</v>
      </c>
      <c r="AQ47" s="77">
        <f>$AH47/5*[1]战斗预期!G$4</f>
        <v>3228</v>
      </c>
      <c r="AR47" s="77">
        <f>$AL47*怪物属性规划!A$18*怪物属性等级系数!A41</f>
        <v>16356.415351242482</v>
      </c>
      <c r="AS47" s="28">
        <f>$AL47*怪物属性规划!B$18</f>
        <v>1693</v>
      </c>
      <c r="AT47" s="28">
        <f>$AL47*怪物属性规划!C$18</f>
        <v>1693</v>
      </c>
      <c r="AU47" s="28">
        <f>$AL47*怪物属性规划!D$18</f>
        <v>1354.4</v>
      </c>
      <c r="AV47" s="28">
        <f>$AL47*怪物属性规划!E$18</f>
        <v>1354.4</v>
      </c>
      <c r="AW47" s="28">
        <v>0</v>
      </c>
      <c r="AX47" s="28">
        <v>0</v>
      </c>
      <c r="AY47" s="28">
        <v>0</v>
      </c>
      <c r="AZ47" s="28">
        <v>0</v>
      </c>
      <c r="BA47" s="28">
        <v>0</v>
      </c>
      <c r="BB47" s="48">
        <f>[2]技能伤害!$C42</f>
        <v>1.3900000000000003</v>
      </c>
      <c r="BC47" s="2">
        <f>[2]技能伤害!$N42</f>
        <v>2826</v>
      </c>
      <c r="BD47" s="2">
        <f>[2]技能伤害!$L42</f>
        <v>1138</v>
      </c>
      <c r="BE47" s="48">
        <f t="shared" si="30"/>
        <v>0.58271728677469248</v>
      </c>
      <c r="BF47" s="48">
        <f t="shared" si="31"/>
        <v>0.89206716834667121</v>
      </c>
      <c r="BG47" s="28">
        <f t="shared" si="14"/>
        <v>14570.178758124488</v>
      </c>
      <c r="BH47" s="28">
        <f t="shared" si="15"/>
        <v>365.4605679781713</v>
      </c>
      <c r="BI47" s="28">
        <f t="shared" si="16"/>
        <v>2421.4299050097707</v>
      </c>
      <c r="BJ47" s="49">
        <f t="shared" si="32"/>
        <v>0.62366409967962699</v>
      </c>
      <c r="BK47" s="49">
        <f t="shared" si="33"/>
        <v>220.81725655507697</v>
      </c>
      <c r="BL47" s="49">
        <f t="shared" si="17"/>
        <v>18.515230707515535</v>
      </c>
    </row>
    <row r="48" spans="1:64" x14ac:dyDescent="0.15">
      <c r="I48" s="29">
        <v>41</v>
      </c>
      <c r="J48" s="29">
        <f>[1]属性成长!$D48</f>
        <v>205</v>
      </c>
      <c r="K48" s="27">
        <v>41</v>
      </c>
      <c r="L48" s="27">
        <v>41</v>
      </c>
      <c r="M48" s="27">
        <f t="shared" si="24"/>
        <v>40</v>
      </c>
      <c r="N48" s="27">
        <v>2</v>
      </c>
      <c r="O48" s="27">
        <v>41</v>
      </c>
      <c r="P48" s="27">
        <f t="shared" si="21"/>
        <v>40</v>
      </c>
      <c r="Q48" s="27">
        <f t="shared" si="22"/>
        <v>2</v>
      </c>
      <c r="R48" s="27">
        <v>1</v>
      </c>
      <c r="S48" s="27">
        <v>28</v>
      </c>
      <c r="T48" s="27">
        <v>41</v>
      </c>
      <c r="U48" s="27">
        <f t="shared" si="23"/>
        <v>31</v>
      </c>
      <c r="V48" s="27">
        <f t="shared" ref="V48:V107" si="34">T28</f>
        <v>8</v>
      </c>
      <c r="W48" s="27">
        <v>0</v>
      </c>
      <c r="X48" s="27">
        <v>0</v>
      </c>
      <c r="Y48" s="27">
        <v>41</v>
      </c>
      <c r="Z48" s="27">
        <v>2</v>
      </c>
      <c r="AA48" s="27">
        <f t="shared" ref="AA48:AA107" si="35">AA43+1</f>
        <v>3</v>
      </c>
      <c r="AB48" s="2">
        <f t="shared" si="25"/>
        <v>235</v>
      </c>
      <c r="AC48" s="28">
        <f t="shared" si="26"/>
        <v>1564.5654174884944</v>
      </c>
      <c r="AD48" s="28">
        <f t="shared" si="27"/>
        <v>1204.535174227482</v>
      </c>
      <c r="AE48" s="28">
        <f t="shared" si="28"/>
        <v>348.44444444444446</v>
      </c>
      <c r="AF48" s="28">
        <f>INDEX(圣火属性!$I$3:$I$53,MATCH(T48,圣火属性!$B$3:$B$53,0),1)+INDEX(圣火属性!$J$3:$J$53,MATCH(U48,圣火属性!$B$3:$B$53,0),1)+INDEX(圣火属性!$K$3:$K$53,MATCH(V48,圣火属性!$B$3:$B$53,0),1)+INDEX(圣火属性!$L$3:$L$53,MATCH(W48,圣火属性!$B$3:$B$53,0),1)+INDEX(圣火属性!$M$3:$M$53,MATCH(X48,圣火属性!$B$3:$B$53,0),1)</f>
        <v>550.875</v>
      </c>
      <c r="AG48" s="28">
        <f>AA48*VLOOKUP(Z48,神器属性!$B$4:$D$13,3,FALSE)</f>
        <v>254.39999999999998</v>
      </c>
      <c r="AH48" s="36">
        <f t="shared" si="20"/>
        <v>4158</v>
      </c>
      <c r="AI48" s="36">
        <f>AH48*10*(1+VLOOKUP(Y48,技能效果!$B$2:$D$101,3,FALSE))</f>
        <v>48232.800000000003</v>
      </c>
      <c r="AJ48" s="36">
        <f t="shared" si="29"/>
        <v>1794.1923000000002</v>
      </c>
      <c r="AK48" s="2">
        <v>1</v>
      </c>
      <c r="AL48" s="28">
        <f t="shared" si="13"/>
        <v>1794</v>
      </c>
      <c r="AM48" s="28">
        <f>$AH48/5*[1]战斗预期!C$4</f>
        <v>83160</v>
      </c>
      <c r="AN48" s="28">
        <f>$AH48/5*[1]战斗预期!D$4</f>
        <v>8316</v>
      </c>
      <c r="AO48" s="28">
        <f>$AH48/5*[1]战斗预期!E$4</f>
        <v>4158</v>
      </c>
      <c r="AP48" s="28">
        <f>$AH48/5*[1]战斗预期!F$4</f>
        <v>3326.4</v>
      </c>
      <c r="AQ48" s="28">
        <f>$AH48/5*[1]战斗预期!G$4</f>
        <v>3326.4</v>
      </c>
      <c r="AR48" s="28">
        <f>$AL48*怪物属性规划!A$18*怪物属性等级系数!A42</f>
        <v>17575.737560050773</v>
      </c>
      <c r="AS48" s="28">
        <f>$AL48*怪物属性规划!B$18</f>
        <v>1794</v>
      </c>
      <c r="AT48" s="28">
        <f>$AL48*怪物属性规划!C$18</f>
        <v>1794</v>
      </c>
      <c r="AU48" s="28">
        <f>$AL48*怪物属性规划!D$18</f>
        <v>1435.2</v>
      </c>
      <c r="AV48" s="28">
        <f>$AL48*怪物属性规划!E$18</f>
        <v>1435.2</v>
      </c>
      <c r="AW48" s="28">
        <v>0</v>
      </c>
      <c r="AX48" s="28">
        <v>0</v>
      </c>
      <c r="AY48" s="28">
        <v>0</v>
      </c>
      <c r="AZ48" s="28">
        <v>0</v>
      </c>
      <c r="BA48" s="28">
        <v>0</v>
      </c>
      <c r="BB48" s="48">
        <f>[2]技能伤害!$C43</f>
        <v>1.4000000000000004</v>
      </c>
      <c r="BC48" s="2">
        <f>[2]技能伤害!$N43</f>
        <v>3032</v>
      </c>
      <c r="BD48" s="2">
        <f>[2]技能伤害!$L43</f>
        <v>1166</v>
      </c>
      <c r="BE48" s="48">
        <f t="shared" si="30"/>
        <v>0.57969553382397421</v>
      </c>
      <c r="BF48" s="48">
        <f t="shared" si="31"/>
        <v>0.89261678402924383</v>
      </c>
      <c r="BG48" s="28">
        <f t="shared" si="14"/>
        <v>15082.065434015529</v>
      </c>
      <c r="BH48" s="28">
        <f t="shared" si="15"/>
        <v>385.29097890307315</v>
      </c>
      <c r="BI48" s="28">
        <f t="shared" si="16"/>
        <v>2500.3967072358637</v>
      </c>
      <c r="BJ48" s="49">
        <f t="shared" si="32"/>
        <v>0.64741123735285067</v>
      </c>
      <c r="BK48" s="49">
        <f t="shared" si="33"/>
        <v>215.83687278834626</v>
      </c>
      <c r="BL48" s="49">
        <f t="shared" si="17"/>
        <v>18.47706800536989</v>
      </c>
    </row>
    <row r="49" spans="9:64" x14ac:dyDescent="0.15">
      <c r="I49" s="29">
        <v>42</v>
      </c>
      <c r="J49" s="29">
        <f>[1]属性成长!$D49</f>
        <v>210</v>
      </c>
      <c r="K49" s="27">
        <v>42</v>
      </c>
      <c r="L49" s="27">
        <v>42</v>
      </c>
      <c r="M49" s="27">
        <f t="shared" si="24"/>
        <v>40</v>
      </c>
      <c r="N49" s="27">
        <v>2</v>
      </c>
      <c r="O49" s="27">
        <v>42</v>
      </c>
      <c r="P49" s="27">
        <f t="shared" si="21"/>
        <v>40</v>
      </c>
      <c r="Q49" s="27">
        <f t="shared" si="22"/>
        <v>2</v>
      </c>
      <c r="R49" s="27">
        <v>1</v>
      </c>
      <c r="S49" s="27">
        <v>28</v>
      </c>
      <c r="T49" s="27">
        <v>42</v>
      </c>
      <c r="U49" s="27">
        <f t="shared" si="23"/>
        <v>32</v>
      </c>
      <c r="V49" s="27">
        <f t="shared" si="34"/>
        <v>10</v>
      </c>
      <c r="W49" s="27">
        <v>0</v>
      </c>
      <c r="X49" s="27">
        <v>0</v>
      </c>
      <c r="Y49" s="27">
        <v>42</v>
      </c>
      <c r="Z49" s="27">
        <v>2</v>
      </c>
      <c r="AA49" s="27">
        <f t="shared" si="35"/>
        <v>3</v>
      </c>
      <c r="AB49" s="2">
        <f t="shared" si="25"/>
        <v>240</v>
      </c>
      <c r="AC49" s="28">
        <f t="shared" si="26"/>
        <v>1580.1209730440501</v>
      </c>
      <c r="AD49" s="28">
        <f t="shared" si="27"/>
        <v>1216.9796186719263</v>
      </c>
      <c r="AE49" s="28">
        <f t="shared" si="28"/>
        <v>348.44444444444446</v>
      </c>
      <c r="AF49" s="28">
        <f>INDEX(圣火属性!$I$3:$I$53,MATCH(T49,圣火属性!$B$3:$B$53,0),1)+INDEX(圣火属性!$J$3:$J$53,MATCH(U49,圣火属性!$B$3:$B$53,0),1)+INDEX(圣火属性!$K$3:$K$53,MATCH(V49,圣火属性!$B$3:$B$53,0),1)+INDEX(圣火属性!$L$3:$L$53,MATCH(W49,圣火属性!$B$3:$B$53,0),1)+INDEX(圣火属性!$M$3:$M$53,MATCH(X49,圣火属性!$B$3:$B$53,0),1)</f>
        <v>586.5</v>
      </c>
      <c r="AG49" s="28">
        <f>AA49*VLOOKUP(Z49,神器属性!$B$4:$D$13,3,FALSE)</f>
        <v>254.39999999999998</v>
      </c>
      <c r="AH49" s="36">
        <f t="shared" si="20"/>
        <v>4226</v>
      </c>
      <c r="AI49" s="36">
        <f>AH49*10*(1+VLOOKUP(Y49,技能效果!$B$2:$D$101,3,FALSE))</f>
        <v>49190.640000000007</v>
      </c>
      <c r="AJ49" s="36">
        <f t="shared" si="29"/>
        <v>1899.7574</v>
      </c>
      <c r="AK49" s="2">
        <v>1</v>
      </c>
      <c r="AL49" s="28">
        <f t="shared" si="13"/>
        <v>1900</v>
      </c>
      <c r="AM49" s="28">
        <f>$AH49/5*[1]战斗预期!C$4</f>
        <v>84520</v>
      </c>
      <c r="AN49" s="28">
        <f>$AH49/5*[1]战斗预期!D$4</f>
        <v>8452</v>
      </c>
      <c r="AO49" s="28">
        <f>$AH49/5*[1]战斗预期!E$4</f>
        <v>4226</v>
      </c>
      <c r="AP49" s="28">
        <f>$AH49/5*[1]战斗预期!F$4</f>
        <v>3380.8</v>
      </c>
      <c r="AQ49" s="28">
        <f>$AH49/5*[1]战斗预期!G$4</f>
        <v>3380.8</v>
      </c>
      <c r="AR49" s="28">
        <f>$AL49*怪物属性规划!A$18*怪物属性等级系数!A43</f>
        <v>18888.500414941074</v>
      </c>
      <c r="AS49" s="28">
        <f>$AL49*怪物属性规划!B$18</f>
        <v>1900</v>
      </c>
      <c r="AT49" s="28">
        <f>$AL49*怪物属性规划!C$18</f>
        <v>1900</v>
      </c>
      <c r="AU49" s="28">
        <f>$AL49*怪物属性规划!D$18</f>
        <v>1520</v>
      </c>
      <c r="AV49" s="28">
        <f>$AL49*怪物属性规划!E$18</f>
        <v>1520</v>
      </c>
      <c r="AW49" s="28">
        <v>0</v>
      </c>
      <c r="AX49" s="28">
        <v>0</v>
      </c>
      <c r="AY49" s="28">
        <v>0</v>
      </c>
      <c r="AZ49" s="28">
        <v>0</v>
      </c>
      <c r="BA49" s="28">
        <v>0</v>
      </c>
      <c r="BB49" s="48">
        <f>[2]技能伤害!$C44</f>
        <v>1.4100000000000004</v>
      </c>
      <c r="BC49" s="2">
        <f>[2]技能伤害!$N44</f>
        <v>3251</v>
      </c>
      <c r="BD49" s="2">
        <f>[2]技能伤害!$L44</f>
        <v>1188</v>
      </c>
      <c r="BE49" s="48">
        <f t="shared" si="30"/>
        <v>0.57668744056704768</v>
      </c>
      <c r="BF49" s="48">
        <f t="shared" si="31"/>
        <v>0.89237976101284466</v>
      </c>
      <c r="BG49" s="28">
        <f t="shared" si="14"/>
        <v>15336.958461563027</v>
      </c>
      <c r="BH49" s="28">
        <f t="shared" si="15"/>
        <v>408.95690815119031</v>
      </c>
      <c r="BI49" s="28">
        <f t="shared" si="16"/>
        <v>2565.0896529728125</v>
      </c>
      <c r="BJ49" s="49">
        <f t="shared" si="32"/>
        <v>0.68420419654474962</v>
      </c>
      <c r="BK49" s="49">
        <f t="shared" si="33"/>
        <v>206.67214152732487</v>
      </c>
      <c r="BL49" s="49">
        <f t="shared" si="17"/>
        <v>18.305619650033041</v>
      </c>
    </row>
    <row r="50" spans="9:64" x14ac:dyDescent="0.15">
      <c r="I50" s="29">
        <v>43</v>
      </c>
      <c r="J50" s="29">
        <f>[1]属性成长!$D50</f>
        <v>215</v>
      </c>
      <c r="K50" s="27">
        <v>43</v>
      </c>
      <c r="L50" s="27">
        <v>43</v>
      </c>
      <c r="M50" s="27">
        <f t="shared" si="24"/>
        <v>40</v>
      </c>
      <c r="N50" s="27">
        <v>2</v>
      </c>
      <c r="O50" s="27">
        <v>43</v>
      </c>
      <c r="P50" s="27">
        <f t="shared" si="21"/>
        <v>40</v>
      </c>
      <c r="Q50" s="27">
        <f t="shared" si="22"/>
        <v>2</v>
      </c>
      <c r="R50" s="27">
        <v>1</v>
      </c>
      <c r="S50" s="27">
        <v>28</v>
      </c>
      <c r="T50" s="27">
        <v>43</v>
      </c>
      <c r="U50" s="27">
        <f t="shared" si="23"/>
        <v>33</v>
      </c>
      <c r="V50" s="27">
        <f t="shared" si="34"/>
        <v>12</v>
      </c>
      <c r="W50" s="27">
        <v>0</v>
      </c>
      <c r="X50" s="27">
        <v>0</v>
      </c>
      <c r="Y50" s="27">
        <v>43</v>
      </c>
      <c r="Z50" s="27">
        <v>2</v>
      </c>
      <c r="AA50" s="27">
        <f t="shared" si="35"/>
        <v>3</v>
      </c>
      <c r="AB50" s="2">
        <f t="shared" si="25"/>
        <v>245</v>
      </c>
      <c r="AC50" s="28">
        <f t="shared" si="26"/>
        <v>1595.6765285996057</v>
      </c>
      <c r="AD50" s="28">
        <f t="shared" si="27"/>
        <v>1229.4240631163707</v>
      </c>
      <c r="AE50" s="28">
        <f t="shared" si="28"/>
        <v>348.44444444444446</v>
      </c>
      <c r="AF50" s="28">
        <f>INDEX(圣火属性!$I$3:$I$53,MATCH(T50,圣火属性!$B$3:$B$53,0),1)+INDEX(圣火属性!$J$3:$J$53,MATCH(U50,圣火属性!$B$3:$B$53,0),1)+INDEX(圣火属性!$K$3:$K$53,MATCH(V50,圣火属性!$B$3:$B$53,0),1)+INDEX(圣火属性!$L$3:$L$53,MATCH(W50,圣火属性!$B$3:$B$53,0),1)+INDEX(圣火属性!$M$3:$M$53,MATCH(X50,圣火属性!$B$3:$B$53,0),1)</f>
        <v>625.125</v>
      </c>
      <c r="AG50" s="28">
        <f>AA50*VLOOKUP(Z50,神器属性!$B$4:$D$13,3,FALSE)</f>
        <v>254.39999999999998</v>
      </c>
      <c r="AH50" s="36">
        <f t="shared" si="20"/>
        <v>4298</v>
      </c>
      <c r="AI50" s="36">
        <f>AH50*10*(1+VLOOKUP(Y50,技能效果!$B$2:$D$101,3,FALSE))</f>
        <v>50200.640000000007</v>
      </c>
      <c r="AJ50" s="36">
        <f t="shared" si="29"/>
        <v>2009.7301</v>
      </c>
      <c r="AK50" s="2">
        <v>1</v>
      </c>
      <c r="AL50" s="28">
        <f t="shared" si="13"/>
        <v>2010</v>
      </c>
      <c r="AM50" s="28">
        <f>$AH50/5*[1]战斗预期!C$4</f>
        <v>85960</v>
      </c>
      <c r="AN50" s="28">
        <f>$AH50/5*[1]战斗预期!D$4</f>
        <v>8596</v>
      </c>
      <c r="AO50" s="28">
        <f>$AH50/5*[1]战斗预期!E$4</f>
        <v>4298</v>
      </c>
      <c r="AP50" s="28">
        <f>$AH50/5*[1]战斗预期!F$4</f>
        <v>3438.4</v>
      </c>
      <c r="AQ50" s="28">
        <f>$AH50/5*[1]战斗预期!G$4</f>
        <v>3438.4</v>
      </c>
      <c r="AR50" s="28">
        <f>$AL50*怪物属性规划!A$18*怪物属性等级系数!A44</f>
        <v>20264.546543092751</v>
      </c>
      <c r="AS50" s="28">
        <f>$AL50*怪物属性规划!B$18</f>
        <v>2010</v>
      </c>
      <c r="AT50" s="28">
        <f>$AL50*怪物属性规划!C$18</f>
        <v>2010</v>
      </c>
      <c r="AU50" s="28">
        <f>$AL50*怪物属性规划!D$18</f>
        <v>1608</v>
      </c>
      <c r="AV50" s="28">
        <f>$AL50*怪物属性规划!E$18</f>
        <v>1608</v>
      </c>
      <c r="AW50" s="28">
        <v>0</v>
      </c>
      <c r="AX50" s="28">
        <v>0</v>
      </c>
      <c r="AY50" s="28">
        <v>0</v>
      </c>
      <c r="AZ50" s="28">
        <v>0</v>
      </c>
      <c r="BA50" s="28">
        <v>0</v>
      </c>
      <c r="BB50" s="48">
        <f>[2]技能伤害!$C45</f>
        <v>1.4200000000000004</v>
      </c>
      <c r="BC50" s="2">
        <f>[2]技能伤害!$N45</f>
        <v>3481</v>
      </c>
      <c r="BD50" s="2">
        <f>[2]技能伤害!$L45</f>
        <v>1212</v>
      </c>
      <c r="BE50" s="48">
        <f t="shared" si="30"/>
        <v>0.57373673019730542</v>
      </c>
      <c r="BF50" s="48">
        <f t="shared" si="31"/>
        <v>0.89208102702644354</v>
      </c>
      <c r="BG50" s="28">
        <f t="shared" si="14"/>
        <v>15604.547750916059</v>
      </c>
      <c r="BH50" s="28">
        <f t="shared" si="15"/>
        <v>433.83427135369698</v>
      </c>
      <c r="BI50" s="28">
        <f t="shared" si="16"/>
        <v>2634.5870363731642</v>
      </c>
      <c r="BJ50" s="49">
        <f t="shared" si="32"/>
        <v>0.72146156316311083</v>
      </c>
      <c r="BK50" s="49">
        <f t="shared" si="33"/>
        <v>198.14017857966417</v>
      </c>
      <c r="BL50" s="49">
        <f t="shared" si="17"/>
        <v>18.126391307723505</v>
      </c>
    </row>
    <row r="51" spans="9:64" x14ac:dyDescent="0.15">
      <c r="I51" s="29">
        <v>44</v>
      </c>
      <c r="J51" s="29">
        <f>[1]属性成长!$D51</f>
        <v>220</v>
      </c>
      <c r="K51" s="27">
        <v>44</v>
      </c>
      <c r="L51" s="27">
        <v>44</v>
      </c>
      <c r="M51" s="27">
        <f t="shared" si="24"/>
        <v>40</v>
      </c>
      <c r="N51" s="27">
        <v>2</v>
      </c>
      <c r="O51" s="27">
        <v>44</v>
      </c>
      <c r="P51" s="27">
        <f t="shared" si="21"/>
        <v>40</v>
      </c>
      <c r="Q51" s="27">
        <f t="shared" si="22"/>
        <v>2</v>
      </c>
      <c r="R51" s="27">
        <v>1</v>
      </c>
      <c r="S51" s="27">
        <v>28</v>
      </c>
      <c r="T51" s="27">
        <v>44</v>
      </c>
      <c r="U51" s="27">
        <f t="shared" si="23"/>
        <v>34</v>
      </c>
      <c r="V51" s="27">
        <f t="shared" si="34"/>
        <v>15</v>
      </c>
      <c r="W51" s="27">
        <v>0</v>
      </c>
      <c r="X51" s="27">
        <v>0</v>
      </c>
      <c r="Y51" s="27">
        <v>44</v>
      </c>
      <c r="Z51" s="27">
        <v>2</v>
      </c>
      <c r="AA51" s="27">
        <f t="shared" si="35"/>
        <v>3</v>
      </c>
      <c r="AB51" s="2">
        <f t="shared" si="25"/>
        <v>250</v>
      </c>
      <c r="AC51" s="28">
        <f t="shared" si="26"/>
        <v>1611.2320841551611</v>
      </c>
      <c r="AD51" s="28">
        <f t="shared" si="27"/>
        <v>1241.868507560815</v>
      </c>
      <c r="AE51" s="28">
        <f t="shared" si="28"/>
        <v>348.44444444444446</v>
      </c>
      <c r="AF51" s="28">
        <f>INDEX(圣火属性!$I$3:$I$53,MATCH(T51,圣火属性!$B$3:$B$53,0),1)+INDEX(圣火属性!$J$3:$J$53,MATCH(U51,圣火属性!$B$3:$B$53,0),1)+INDEX(圣火属性!$K$3:$K$53,MATCH(V51,圣火属性!$B$3:$B$53,0),1)+INDEX(圣火属性!$L$3:$L$53,MATCH(W51,圣火属性!$B$3:$B$53,0),1)+INDEX(圣火属性!$M$3:$M$53,MATCH(X51,圣火属性!$B$3:$B$53,0),1)</f>
        <v>674.25</v>
      </c>
      <c r="AG51" s="28">
        <f>AA51*VLOOKUP(Z51,神器属性!$B$4:$D$13,3,FALSE)</f>
        <v>254.39999999999998</v>
      </c>
      <c r="AH51" s="36">
        <f t="shared" si="20"/>
        <v>4380</v>
      </c>
      <c r="AI51" s="36">
        <f>AH51*10*(1+VLOOKUP(Y51,技能效果!$B$2:$D$101,3,FALSE))</f>
        <v>51333.600000000006</v>
      </c>
      <c r="AJ51" s="36">
        <f t="shared" si="29"/>
        <v>2124.2081999999996</v>
      </c>
      <c r="AK51" s="2">
        <v>1</v>
      </c>
      <c r="AL51" s="28">
        <f t="shared" si="13"/>
        <v>2124</v>
      </c>
      <c r="AM51" s="28">
        <f>$AH51/5*[1]战斗预期!C$4</f>
        <v>87600</v>
      </c>
      <c r="AN51" s="28">
        <f>$AH51/5*[1]战斗预期!D$4</f>
        <v>8760</v>
      </c>
      <c r="AO51" s="28">
        <f>$AH51/5*[1]战斗预期!E$4</f>
        <v>4380</v>
      </c>
      <c r="AP51" s="28">
        <f>$AH51/5*[1]战斗预期!F$4</f>
        <v>3504</v>
      </c>
      <c r="AQ51" s="28">
        <f>$AH51/5*[1]战斗预期!G$4</f>
        <v>3504</v>
      </c>
      <c r="AR51" s="28">
        <f>$AL51*怪物属性规划!A$18*怪物属性等级系数!A45</f>
        <v>21710.481359027104</v>
      </c>
      <c r="AS51" s="28">
        <f>$AL51*怪物属性规划!B$18</f>
        <v>2124</v>
      </c>
      <c r="AT51" s="28">
        <f>$AL51*怪物属性规划!C$18</f>
        <v>2124</v>
      </c>
      <c r="AU51" s="28">
        <f>$AL51*怪物属性规划!D$18</f>
        <v>1699.2</v>
      </c>
      <c r="AV51" s="28">
        <f>$AL51*怪物属性规划!E$18</f>
        <v>1699.2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48">
        <f>[2]技能伤害!$C46</f>
        <v>1.4300000000000004</v>
      </c>
      <c r="BC51" s="2">
        <f>[2]技能伤害!$N46</f>
        <v>3724</v>
      </c>
      <c r="BD51" s="2">
        <f>[2]技能伤害!$L46</f>
        <v>1241</v>
      </c>
      <c r="BE51" s="48">
        <f t="shared" si="30"/>
        <v>0.57072288340808619</v>
      </c>
      <c r="BF51" s="48">
        <f t="shared" si="31"/>
        <v>0.89162320003566486</v>
      </c>
      <c r="BG51" s="28">
        <f t="shared" si="14"/>
        <v>15916.665168247177</v>
      </c>
      <c r="BH51" s="28">
        <f t="shared" si="15"/>
        <v>460.38464624849564</v>
      </c>
      <c r="BI51" s="28">
        <f t="shared" si="16"/>
        <v>2715.2289955864676</v>
      </c>
      <c r="BJ51" s="49">
        <f t="shared" si="32"/>
        <v>0.75778301580751894</v>
      </c>
      <c r="BK51" s="49">
        <f t="shared" si="33"/>
        <v>190.27567646710207</v>
      </c>
      <c r="BL51" s="49">
        <f t="shared" si="17"/>
        <v>17.923595669379282</v>
      </c>
    </row>
    <row r="52" spans="9:64" x14ac:dyDescent="0.15">
      <c r="I52" s="29">
        <v>45</v>
      </c>
      <c r="J52" s="29">
        <f>[1]属性成长!$D52</f>
        <v>225</v>
      </c>
      <c r="K52" s="27">
        <v>45</v>
      </c>
      <c r="L52" s="27">
        <v>45</v>
      </c>
      <c r="M52" s="27">
        <f t="shared" si="24"/>
        <v>45</v>
      </c>
      <c r="N52" s="27">
        <v>2</v>
      </c>
      <c r="O52" s="27">
        <v>45</v>
      </c>
      <c r="P52" s="27">
        <f t="shared" si="21"/>
        <v>45</v>
      </c>
      <c r="Q52" s="27">
        <f t="shared" si="22"/>
        <v>2</v>
      </c>
      <c r="R52" s="27">
        <f>R47+1</f>
        <v>2</v>
      </c>
      <c r="S52" s="27">
        <v>28</v>
      </c>
      <c r="T52" s="27">
        <v>45</v>
      </c>
      <c r="U52" s="27">
        <f t="shared" si="23"/>
        <v>35</v>
      </c>
      <c r="V52" s="27">
        <f t="shared" si="34"/>
        <v>20</v>
      </c>
      <c r="W52" s="27">
        <v>0</v>
      </c>
      <c r="X52" s="27">
        <v>0</v>
      </c>
      <c r="Y52" s="27">
        <v>45</v>
      </c>
      <c r="Z52" s="27">
        <f t="shared" ref="Z52:Z91" si="36">Z47+1</f>
        <v>3</v>
      </c>
      <c r="AA52" s="27">
        <f t="shared" si="35"/>
        <v>4</v>
      </c>
      <c r="AB52" s="2">
        <f t="shared" si="25"/>
        <v>255</v>
      </c>
      <c r="AC52" s="28">
        <f t="shared" si="26"/>
        <v>1796.6268525736878</v>
      </c>
      <c r="AD52" s="28">
        <f t="shared" si="27"/>
        <v>1384.1368060969323</v>
      </c>
      <c r="AE52" s="28">
        <f t="shared" si="28"/>
        <v>627.20000000000005</v>
      </c>
      <c r="AF52" s="28">
        <f>INDEX(圣火属性!$I$3:$I$53,MATCH(T52,圣火属性!$B$3:$B$53,0),1)+INDEX(圣火属性!$J$3:$J$53,MATCH(U52,圣火属性!$B$3:$B$53,0),1)+INDEX(圣火属性!$K$3:$K$53,MATCH(V52,圣火属性!$B$3:$B$53,0),1)+INDEX(圣火属性!$L$3:$L$53,MATCH(W52,圣火属性!$B$3:$B$53,0),1)+INDEX(圣火属性!$M$3:$M$53,MATCH(X52,圣火属性!$B$3:$B$53,0),1)</f>
        <v>744.375</v>
      </c>
      <c r="AG52" s="28">
        <f>AA52*VLOOKUP(Z52,神器属性!$B$4:$D$13,3,FALSE)</f>
        <v>508.8</v>
      </c>
      <c r="AH52" s="36">
        <f t="shared" si="20"/>
        <v>5316</v>
      </c>
      <c r="AI52" s="36">
        <f>AH52*10*(1+VLOOKUP(Y52,技能效果!$B$2:$D$101,3,FALSE))</f>
        <v>62516.160000000011</v>
      </c>
      <c r="AJ52" s="36">
        <f t="shared" si="29"/>
        <v>2243.2894999999999</v>
      </c>
      <c r="AK52" s="2">
        <v>1</v>
      </c>
      <c r="AL52" s="28">
        <f t="shared" si="13"/>
        <v>2243</v>
      </c>
      <c r="AM52" s="28">
        <f>$AH52/5*[1]战斗预期!C$4</f>
        <v>106320</v>
      </c>
      <c r="AN52" s="28">
        <f>$AH52/5*[1]战斗预期!D$4</f>
        <v>10632</v>
      </c>
      <c r="AO52" s="28">
        <f>$AH52/5*[1]战斗预期!E$4</f>
        <v>5316</v>
      </c>
      <c r="AP52" s="28">
        <f>$AH52/5*[1]战斗预期!F$4</f>
        <v>4252.8</v>
      </c>
      <c r="AQ52" s="28">
        <f>$AH52/5*[1]战斗预期!G$4</f>
        <v>4252.8</v>
      </c>
      <c r="AR52" s="28">
        <f>$AL52*怪物属性规划!A$18*怪物属性等级系数!A46</f>
        <v>23255.517679393834</v>
      </c>
      <c r="AS52" s="28">
        <f>$AL52*怪物属性规划!B$18</f>
        <v>2243</v>
      </c>
      <c r="AT52" s="28">
        <f>$AL52*怪物属性规划!C$18</f>
        <v>2243</v>
      </c>
      <c r="AU52" s="28">
        <f>$AL52*怪物属性规划!D$18</f>
        <v>1794.4</v>
      </c>
      <c r="AV52" s="28">
        <f>$AL52*怪物属性规划!E$18</f>
        <v>1794.4</v>
      </c>
      <c r="AW52" s="28">
        <v>0</v>
      </c>
      <c r="AX52" s="28">
        <v>0</v>
      </c>
      <c r="AY52" s="28">
        <v>0</v>
      </c>
      <c r="AZ52" s="28">
        <v>0</v>
      </c>
      <c r="BA52" s="28">
        <v>0</v>
      </c>
      <c r="BB52" s="48">
        <f>[2]技能伤害!$C47</f>
        <v>1.4400000000000004</v>
      </c>
      <c r="BC52" s="2">
        <f>[2]技能伤害!$N47</f>
        <v>3981</v>
      </c>
      <c r="BD52" s="2">
        <f>[2]技能伤害!$L47</f>
        <v>1388</v>
      </c>
      <c r="BE52" s="48">
        <f t="shared" si="30"/>
        <v>0.56772607609149317</v>
      </c>
      <c r="BF52" s="48">
        <f t="shared" si="31"/>
        <v>0.89927144803002712</v>
      </c>
      <c r="BG52" s="28">
        <f t="shared" si="14"/>
        <v>20316.48871390631</v>
      </c>
      <c r="BH52" s="28">
        <f t="shared" si="15"/>
        <v>451.86828413729836</v>
      </c>
      <c r="BI52" s="28">
        <f t="shared" si="16"/>
        <v>3084.3243778888855</v>
      </c>
      <c r="BJ52" s="49">
        <f t="shared" si="32"/>
        <v>0.63592347211377798</v>
      </c>
      <c r="BK52" s="49">
        <f t="shared" si="33"/>
        <v>235.28980398123073</v>
      </c>
      <c r="BL52" s="49">
        <f t="shared" si="17"/>
        <v>19.150601373223843</v>
      </c>
    </row>
    <row r="53" spans="9:64" x14ac:dyDescent="0.15">
      <c r="I53" s="29">
        <v>46</v>
      </c>
      <c r="J53" s="29">
        <f>[1]属性成长!$D53</f>
        <v>230</v>
      </c>
      <c r="K53" s="27">
        <v>46</v>
      </c>
      <c r="L53" s="27">
        <v>46</v>
      </c>
      <c r="M53" s="27">
        <f t="shared" si="24"/>
        <v>45</v>
      </c>
      <c r="N53" s="27">
        <v>2</v>
      </c>
      <c r="O53" s="27">
        <v>46</v>
      </c>
      <c r="P53" s="27">
        <f t="shared" si="21"/>
        <v>45</v>
      </c>
      <c r="Q53" s="27">
        <f t="shared" si="22"/>
        <v>2</v>
      </c>
      <c r="R53" s="27">
        <f t="shared" ref="R53:R96" si="37">R48+1</f>
        <v>2</v>
      </c>
      <c r="S53" s="27">
        <v>28</v>
      </c>
      <c r="T53" s="27">
        <v>46</v>
      </c>
      <c r="U53" s="27">
        <f t="shared" si="23"/>
        <v>36</v>
      </c>
      <c r="V53" s="27">
        <f t="shared" si="34"/>
        <v>22</v>
      </c>
      <c r="W53" s="27">
        <v>0</v>
      </c>
      <c r="X53" s="27">
        <v>0</v>
      </c>
      <c r="Y53" s="27">
        <v>46</v>
      </c>
      <c r="Z53" s="27">
        <f t="shared" si="36"/>
        <v>3</v>
      </c>
      <c r="AA53" s="27">
        <f t="shared" si="35"/>
        <v>4</v>
      </c>
      <c r="AB53" s="2">
        <f t="shared" si="25"/>
        <v>260</v>
      </c>
      <c r="AC53" s="28">
        <f t="shared" si="26"/>
        <v>1813.2935192403543</v>
      </c>
      <c r="AD53" s="28">
        <f t="shared" si="27"/>
        <v>1397.4701394302656</v>
      </c>
      <c r="AE53" s="28">
        <f t="shared" si="28"/>
        <v>627.20000000000005</v>
      </c>
      <c r="AF53" s="28">
        <f>INDEX(圣火属性!$I$3:$I$53,MATCH(T53,圣火属性!$B$3:$B$53,0),1)+INDEX(圣火属性!$J$3:$J$53,MATCH(U53,圣火属性!$B$3:$B$53,0),1)+INDEX(圣火属性!$K$3:$K$53,MATCH(V53,圣火属性!$B$3:$B$53,0),1)+INDEX(圣火属性!$L$3:$L$53,MATCH(W53,圣火属性!$B$3:$B$53,0),1)+INDEX(圣火属性!$M$3:$M$53,MATCH(X53,圣火属性!$B$3:$B$53,0),1)</f>
        <v>786</v>
      </c>
      <c r="AG53" s="28">
        <f>AA53*VLOOKUP(Z53,神器属性!$B$4:$D$13,3,FALSE)</f>
        <v>508.8</v>
      </c>
      <c r="AH53" s="36">
        <f t="shared" si="20"/>
        <v>5393</v>
      </c>
      <c r="AI53" s="36">
        <f>AH53*10*(1+VLOOKUP(Y53,技能效果!$B$2:$D$101,3,FALSE))</f>
        <v>63637.400000000009</v>
      </c>
      <c r="AJ53" s="36">
        <f t="shared" si="29"/>
        <v>2367.0717999999997</v>
      </c>
      <c r="AK53" s="2">
        <v>1</v>
      </c>
      <c r="AL53" s="28">
        <f t="shared" si="13"/>
        <v>2367</v>
      </c>
      <c r="AM53" s="28">
        <f>$AH53/5*[1]战斗预期!C$4</f>
        <v>107859.99999999999</v>
      </c>
      <c r="AN53" s="28">
        <f>$AH53/5*[1]战斗预期!D$4</f>
        <v>10786</v>
      </c>
      <c r="AO53" s="28">
        <f>$AH53/5*[1]战斗预期!E$4</f>
        <v>5393</v>
      </c>
      <c r="AP53" s="28">
        <f>$AH53/5*[1]战斗预期!F$4</f>
        <v>4314.3999999999996</v>
      </c>
      <c r="AQ53" s="28">
        <f>$AH53/5*[1]战斗预期!G$4</f>
        <v>4314.3999999999996</v>
      </c>
      <c r="AR53" s="28">
        <f>$AL53*怪物属性规划!A$18*怪物属性等级系数!A47</f>
        <v>24877.010681562013</v>
      </c>
      <c r="AS53" s="28">
        <f>$AL53*怪物属性规划!B$18</f>
        <v>2367</v>
      </c>
      <c r="AT53" s="28">
        <f>$AL53*怪物属性规划!C$18</f>
        <v>2367</v>
      </c>
      <c r="AU53" s="28">
        <f>$AL53*怪物属性规划!D$18</f>
        <v>1893.6000000000001</v>
      </c>
      <c r="AV53" s="28">
        <f>$AL53*怪物属性规划!E$18</f>
        <v>1893.6000000000001</v>
      </c>
      <c r="AW53" s="28">
        <v>0</v>
      </c>
      <c r="AX53" s="28">
        <v>0</v>
      </c>
      <c r="AY53" s="28">
        <v>0</v>
      </c>
      <c r="AZ53" s="28">
        <v>0</v>
      </c>
      <c r="BA53" s="28">
        <v>0</v>
      </c>
      <c r="BB53" s="48">
        <f>[2]技能伤害!$C48</f>
        <v>1.4500000000000004</v>
      </c>
      <c r="BC53" s="2">
        <f>[2]技能伤害!$N48</f>
        <v>4253</v>
      </c>
      <c r="BD53" s="2">
        <f>[2]技能伤害!$L48</f>
        <v>1411</v>
      </c>
      <c r="BE53" s="48">
        <f t="shared" si="30"/>
        <v>0.56470931784689005</v>
      </c>
      <c r="BF53" s="48">
        <f t="shared" si="31"/>
        <v>0.89908522704444371</v>
      </c>
      <c r="BG53" s="28">
        <f t="shared" si="14"/>
        <v>20635.951363339991</v>
      </c>
      <c r="BH53" s="28">
        <f t="shared" si="15"/>
        <v>477.73053517160344</v>
      </c>
      <c r="BI53" s="28">
        <f t="shared" si="16"/>
        <v>3156.5535491860282</v>
      </c>
      <c r="BJ53" s="49">
        <f t="shared" si="32"/>
        <v>0.66973221861285559</v>
      </c>
      <c r="BK53" s="49">
        <f t="shared" si="33"/>
        <v>225.77581305590206</v>
      </c>
      <c r="BL53" s="49">
        <f t="shared" si="17"/>
        <v>18.98343281319406</v>
      </c>
    </row>
    <row r="54" spans="9:64" x14ac:dyDescent="0.15">
      <c r="I54" s="29">
        <v>47</v>
      </c>
      <c r="J54" s="29">
        <f>[1]属性成长!$D54</f>
        <v>235</v>
      </c>
      <c r="K54" s="27">
        <v>47</v>
      </c>
      <c r="L54" s="27">
        <v>47</v>
      </c>
      <c r="M54" s="27">
        <f t="shared" si="24"/>
        <v>45</v>
      </c>
      <c r="N54" s="27">
        <v>2</v>
      </c>
      <c r="O54" s="27">
        <v>47</v>
      </c>
      <c r="P54" s="27">
        <f t="shared" si="21"/>
        <v>45</v>
      </c>
      <c r="Q54" s="27">
        <f t="shared" si="22"/>
        <v>2</v>
      </c>
      <c r="R54" s="27">
        <f t="shared" si="37"/>
        <v>2</v>
      </c>
      <c r="S54" s="27">
        <v>28</v>
      </c>
      <c r="T54" s="27">
        <v>47</v>
      </c>
      <c r="U54" s="27">
        <f t="shared" si="23"/>
        <v>37</v>
      </c>
      <c r="V54" s="27">
        <f t="shared" si="34"/>
        <v>25</v>
      </c>
      <c r="W54" s="27">
        <v>0</v>
      </c>
      <c r="X54" s="27">
        <v>0</v>
      </c>
      <c r="Y54" s="27">
        <v>47</v>
      </c>
      <c r="Z54" s="27">
        <f t="shared" si="36"/>
        <v>3</v>
      </c>
      <c r="AA54" s="27">
        <f t="shared" si="35"/>
        <v>4</v>
      </c>
      <c r="AB54" s="2">
        <f t="shared" si="25"/>
        <v>265</v>
      </c>
      <c r="AC54" s="28">
        <f t="shared" si="26"/>
        <v>1829.960185907021</v>
      </c>
      <c r="AD54" s="28">
        <f t="shared" si="27"/>
        <v>1410.8034727635991</v>
      </c>
      <c r="AE54" s="28">
        <f t="shared" si="28"/>
        <v>627.20000000000005</v>
      </c>
      <c r="AF54" s="28">
        <f>INDEX(圣火属性!$I$3:$I$53,MATCH(T54,圣火属性!$B$3:$B$53,0),1)+INDEX(圣火属性!$J$3:$J$53,MATCH(U54,圣火属性!$B$3:$B$53,0),1)+INDEX(圣火属性!$K$3:$K$53,MATCH(V54,圣火属性!$B$3:$B$53,0),1)+INDEX(圣火属性!$L$3:$L$53,MATCH(W54,圣火属性!$B$3:$B$53,0),1)+INDEX(圣火属性!$M$3:$M$53,MATCH(X54,圣火属性!$B$3:$B$53,0),1)</f>
        <v>839.625</v>
      </c>
      <c r="AG54" s="28">
        <f>AA54*VLOOKUP(Z54,神器属性!$B$4:$D$13,3,FALSE)</f>
        <v>508.8</v>
      </c>
      <c r="AH54" s="36">
        <f t="shared" si="20"/>
        <v>5481</v>
      </c>
      <c r="AI54" s="36">
        <f>AH54*10*(1+VLOOKUP(Y54,技能效果!$B$2:$D$101,3,FALSE))</f>
        <v>64895.040000000008</v>
      </c>
      <c r="AJ54" s="36">
        <f t="shared" si="29"/>
        <v>2495.6528999999996</v>
      </c>
      <c r="AK54" s="2">
        <v>1</v>
      </c>
      <c r="AL54" s="28">
        <f t="shared" si="13"/>
        <v>2496</v>
      </c>
      <c r="AM54" s="28">
        <f>$AH54/5*[1]战斗预期!C$4</f>
        <v>109620</v>
      </c>
      <c r="AN54" s="28">
        <f>$AH54/5*[1]战斗预期!D$4</f>
        <v>10962</v>
      </c>
      <c r="AO54" s="28">
        <f>$AH54/5*[1]战斗预期!E$4</f>
        <v>5481</v>
      </c>
      <c r="AP54" s="28">
        <f>$AH54/5*[1]战斗预期!F$4</f>
        <v>4384.8</v>
      </c>
      <c r="AQ54" s="28">
        <f>$AH54/5*[1]战斗预期!G$4</f>
        <v>4384.8</v>
      </c>
      <c r="AR54" s="28">
        <f>$AL54*怪物属性规划!A$18*怪物属性等级系数!A48</f>
        <v>26602.414327244289</v>
      </c>
      <c r="AS54" s="28">
        <f>$AL54*怪物属性规划!B$18</f>
        <v>2496</v>
      </c>
      <c r="AT54" s="28">
        <f>$AL54*怪物属性规划!C$18</f>
        <v>2496</v>
      </c>
      <c r="AU54" s="28">
        <f>$AL54*怪物属性规划!D$18</f>
        <v>1996.8000000000002</v>
      </c>
      <c r="AV54" s="28">
        <f>$AL54*怪物属性规划!E$18</f>
        <v>1996.8000000000002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48">
        <f>[2]技能伤害!$C49</f>
        <v>1.4600000000000004</v>
      </c>
      <c r="BC54" s="2">
        <f>[2]技能伤害!$N49</f>
        <v>4540</v>
      </c>
      <c r="BD54" s="2">
        <f>[2]技能伤害!$L49</f>
        <v>1442</v>
      </c>
      <c r="BE54" s="48">
        <f t="shared" si="30"/>
        <v>0.56169913989819209</v>
      </c>
      <c r="BF54" s="48">
        <f t="shared" si="31"/>
        <v>0.89858086194905973</v>
      </c>
      <c r="BG54" s="28">
        <f t="shared" si="14"/>
        <v>21002.549763033177</v>
      </c>
      <c r="BH54" s="28">
        <f t="shared" si="15"/>
        <v>506.28433715029382</v>
      </c>
      <c r="BI54" s="28">
        <f t="shared" si="16"/>
        <v>3246.3292466380699</v>
      </c>
      <c r="BJ54" s="49">
        <f t="shared" si="32"/>
        <v>0.70368213561879822</v>
      </c>
      <c r="BK54" s="49">
        <f t="shared" si="33"/>
        <v>216.51864763783632</v>
      </c>
      <c r="BL54" s="49">
        <f t="shared" si="17"/>
        <v>18.759649860860119</v>
      </c>
    </row>
    <row r="55" spans="9:64" x14ac:dyDescent="0.15">
      <c r="I55" s="29">
        <v>48</v>
      </c>
      <c r="J55" s="29">
        <f>[1]属性成长!$D55</f>
        <v>240</v>
      </c>
      <c r="K55" s="27">
        <v>48</v>
      </c>
      <c r="L55" s="27">
        <v>48</v>
      </c>
      <c r="M55" s="27">
        <f t="shared" si="24"/>
        <v>45</v>
      </c>
      <c r="N55" s="27">
        <v>2</v>
      </c>
      <c r="O55" s="27">
        <v>48</v>
      </c>
      <c r="P55" s="27">
        <f t="shared" si="21"/>
        <v>45</v>
      </c>
      <c r="Q55" s="27">
        <f t="shared" si="22"/>
        <v>2</v>
      </c>
      <c r="R55" s="27">
        <f t="shared" si="37"/>
        <v>2</v>
      </c>
      <c r="S55" s="27">
        <v>28</v>
      </c>
      <c r="T55" s="27">
        <v>48</v>
      </c>
      <c r="U55" s="27">
        <f t="shared" si="23"/>
        <v>38</v>
      </c>
      <c r="V55" s="27">
        <f t="shared" si="34"/>
        <v>27</v>
      </c>
      <c r="W55" s="27">
        <v>0</v>
      </c>
      <c r="X55" s="27">
        <v>0</v>
      </c>
      <c r="Y55" s="27">
        <v>48</v>
      </c>
      <c r="Z55" s="27">
        <f t="shared" si="36"/>
        <v>3</v>
      </c>
      <c r="AA55" s="27">
        <f t="shared" si="35"/>
        <v>4</v>
      </c>
      <c r="AB55" s="2">
        <f t="shared" si="25"/>
        <v>270</v>
      </c>
      <c r="AC55" s="28">
        <f t="shared" si="26"/>
        <v>1846.6268525736878</v>
      </c>
      <c r="AD55" s="28">
        <f t="shared" si="27"/>
        <v>1424.1368060969321</v>
      </c>
      <c r="AE55" s="28">
        <f t="shared" si="28"/>
        <v>627.20000000000005</v>
      </c>
      <c r="AF55" s="28">
        <f>INDEX(圣火属性!$I$3:$I$53,MATCH(T55,圣火属性!$B$3:$B$53,0),1)+INDEX(圣火属性!$J$3:$J$53,MATCH(U55,圣火属性!$B$3:$B$53,0),1)+INDEX(圣火属性!$K$3:$K$53,MATCH(V55,圣火属性!$B$3:$B$53,0),1)+INDEX(圣火属性!$L$3:$L$53,MATCH(W55,圣火属性!$B$3:$B$53,0),1)+INDEX(圣火属性!$M$3:$M$53,MATCH(X55,圣火属性!$B$3:$B$53,0),1)</f>
        <v>881.25</v>
      </c>
      <c r="AG55" s="28">
        <f>AA55*VLOOKUP(Z55,神器属性!$B$4:$D$13,3,FALSE)</f>
        <v>508.8</v>
      </c>
      <c r="AH55" s="36">
        <f t="shared" si="20"/>
        <v>5558</v>
      </c>
      <c r="AI55" s="36">
        <f>AH55*10*(1+VLOOKUP(Y55,技能效果!$B$2:$D$101,3,FALSE))</f>
        <v>66029.040000000008</v>
      </c>
      <c r="AJ55" s="36">
        <f t="shared" si="29"/>
        <v>2629.1305999999995</v>
      </c>
      <c r="AK55" s="2">
        <v>1</v>
      </c>
      <c r="AL55" s="28">
        <f t="shared" si="13"/>
        <v>2629</v>
      </c>
      <c r="AM55" s="28">
        <f>$AH55/5*[1]战斗预期!C$4</f>
        <v>111159.99999999999</v>
      </c>
      <c r="AN55" s="28">
        <f>$AH55/5*[1]战斗预期!D$4</f>
        <v>11116</v>
      </c>
      <c r="AO55" s="28">
        <f>$AH55/5*[1]战斗预期!E$4</f>
        <v>5558</v>
      </c>
      <c r="AP55" s="28">
        <f>$AH55/5*[1]战斗预期!F$4</f>
        <v>4446.3999999999996</v>
      </c>
      <c r="AQ55" s="28">
        <f>$AH55/5*[1]战斗预期!G$4</f>
        <v>4446.3999999999996</v>
      </c>
      <c r="AR55" s="28">
        <f>$AL55*怪物属性规划!A$18*怪物属性等级系数!A49</f>
        <v>28402.102066608397</v>
      </c>
      <c r="AS55" s="28">
        <f>$AL55*怪物属性规划!B$18</f>
        <v>2629</v>
      </c>
      <c r="AT55" s="28">
        <f>$AL55*怪物属性规划!C$18</f>
        <v>2629</v>
      </c>
      <c r="AU55" s="28">
        <f>$AL55*怪物属性规划!D$18</f>
        <v>2103.2000000000003</v>
      </c>
      <c r="AV55" s="28">
        <f>$AL55*怪物属性规划!E$18</f>
        <v>2103.2000000000003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48">
        <f>[2]技能伤害!$C50</f>
        <v>1.4700000000000004</v>
      </c>
      <c r="BC55" s="2">
        <f>[2]技能伤害!$N50</f>
        <v>4841</v>
      </c>
      <c r="BD55" s="2">
        <f>[2]技能伤害!$L50</f>
        <v>1465</v>
      </c>
      <c r="BE55" s="48">
        <f t="shared" si="30"/>
        <v>0.55867358268719658</v>
      </c>
      <c r="BF55" s="48">
        <f t="shared" si="31"/>
        <v>0.89841000180231589</v>
      </c>
      <c r="BG55" s="28">
        <f t="shared" si="14"/>
        <v>21312.014297256424</v>
      </c>
      <c r="BH55" s="28">
        <f t="shared" si="15"/>
        <v>534.16021052342307</v>
      </c>
      <c r="BI55" s="28">
        <f t="shared" si="16"/>
        <v>3320.0667946984431</v>
      </c>
      <c r="BJ55" s="49">
        <f t="shared" si="32"/>
        <v>0.74037795641829607</v>
      </c>
      <c r="BK55" s="49">
        <f t="shared" si="33"/>
        <v>208.1023591987026</v>
      </c>
      <c r="BL55" s="49">
        <f t="shared" si="17"/>
        <v>18.60069672518884</v>
      </c>
    </row>
    <row r="56" spans="9:64" x14ac:dyDescent="0.15">
      <c r="I56" s="29">
        <v>49</v>
      </c>
      <c r="J56" s="29">
        <f>[1]属性成长!$D56</f>
        <v>245</v>
      </c>
      <c r="K56" s="27">
        <v>49</v>
      </c>
      <c r="L56" s="27">
        <v>49</v>
      </c>
      <c r="M56" s="27">
        <f t="shared" si="24"/>
        <v>45</v>
      </c>
      <c r="N56" s="27">
        <v>2</v>
      </c>
      <c r="O56" s="27">
        <v>49</v>
      </c>
      <c r="P56" s="27">
        <f t="shared" si="21"/>
        <v>45</v>
      </c>
      <c r="Q56" s="27">
        <f t="shared" si="22"/>
        <v>2</v>
      </c>
      <c r="R56" s="27">
        <f t="shared" si="37"/>
        <v>2</v>
      </c>
      <c r="S56" s="27">
        <v>28</v>
      </c>
      <c r="T56" s="27">
        <v>49</v>
      </c>
      <c r="U56" s="27">
        <f t="shared" si="23"/>
        <v>39</v>
      </c>
      <c r="V56" s="27">
        <f t="shared" si="34"/>
        <v>29</v>
      </c>
      <c r="W56" s="27">
        <v>0</v>
      </c>
      <c r="X56" s="27">
        <v>0</v>
      </c>
      <c r="Y56" s="27">
        <v>49</v>
      </c>
      <c r="Z56" s="27">
        <f t="shared" si="36"/>
        <v>3</v>
      </c>
      <c r="AA56" s="27">
        <f t="shared" si="35"/>
        <v>4</v>
      </c>
      <c r="AB56" s="2">
        <f t="shared" si="25"/>
        <v>275</v>
      </c>
      <c r="AC56" s="28">
        <f t="shared" si="26"/>
        <v>1863.2935192403543</v>
      </c>
      <c r="AD56" s="28">
        <f t="shared" si="27"/>
        <v>1437.4701394302656</v>
      </c>
      <c r="AE56" s="28">
        <f t="shared" si="28"/>
        <v>627.20000000000005</v>
      </c>
      <c r="AF56" s="28">
        <f>INDEX(圣火属性!$I$3:$I$53,MATCH(T56,圣火属性!$B$3:$B$53,0),1)+INDEX(圣火属性!$J$3:$J$53,MATCH(U56,圣火属性!$B$3:$B$53,0),1)+INDEX(圣火属性!$K$3:$K$53,MATCH(V56,圣火属性!$B$3:$B$53,0),1)+INDEX(圣火属性!$L$3:$L$53,MATCH(W56,圣火属性!$B$3:$B$53,0),1)+INDEX(圣火属性!$M$3:$M$53,MATCH(X56,圣火属性!$B$3:$B$53,0),1)</f>
        <v>922.875</v>
      </c>
      <c r="AG56" s="28">
        <f>AA56*VLOOKUP(Z56,神器属性!$B$4:$D$13,3,FALSE)</f>
        <v>508.8</v>
      </c>
      <c r="AH56" s="36">
        <f t="shared" si="20"/>
        <v>5635</v>
      </c>
      <c r="AI56" s="36">
        <f>AH56*10*(1+VLOOKUP(Y56,技能效果!$B$2:$D$101,3,FALSE))</f>
        <v>67169.200000000012</v>
      </c>
      <c r="AJ56" s="36">
        <f t="shared" si="29"/>
        <v>2767.6026999999999</v>
      </c>
      <c r="AK56" s="2">
        <v>1</v>
      </c>
      <c r="AL56" s="28">
        <f t="shared" si="13"/>
        <v>2768</v>
      </c>
      <c r="AM56" s="28">
        <f>$AH56/5*[1]战斗预期!C$4</f>
        <v>112700</v>
      </c>
      <c r="AN56" s="28">
        <f>$AH56/5*[1]战斗预期!D$4</f>
        <v>11270</v>
      </c>
      <c r="AO56" s="28">
        <f>$AH56/5*[1]战斗预期!E$4</f>
        <v>5635</v>
      </c>
      <c r="AP56" s="28">
        <f>$AH56/5*[1]战斗预期!F$4</f>
        <v>4508</v>
      </c>
      <c r="AQ56" s="28">
        <f>$AH56/5*[1]战斗预期!G$4</f>
        <v>4508</v>
      </c>
      <c r="AR56" s="28">
        <f>$AL56*怪物属性规划!A$18*怪物属性等级系数!A50</f>
        <v>30312.763108038063</v>
      </c>
      <c r="AS56" s="28">
        <f>$AL56*怪物属性规划!B$18</f>
        <v>2768</v>
      </c>
      <c r="AT56" s="28">
        <f>$AL56*怪物属性规划!C$18</f>
        <v>2768</v>
      </c>
      <c r="AU56" s="28">
        <f>$AL56*怪物属性规划!D$18</f>
        <v>2214.4</v>
      </c>
      <c r="AV56" s="28">
        <f>$AL56*怪物属性规划!E$18</f>
        <v>2214.4</v>
      </c>
      <c r="AW56" s="28">
        <v>0</v>
      </c>
      <c r="AX56" s="28">
        <v>0</v>
      </c>
      <c r="AY56" s="28">
        <v>0</v>
      </c>
      <c r="AZ56" s="28">
        <v>0</v>
      </c>
      <c r="BA56" s="28">
        <v>0</v>
      </c>
      <c r="BB56" s="48">
        <f>[2]技能伤害!$C51</f>
        <v>1.4800000000000004</v>
      </c>
      <c r="BC56" s="2">
        <f>[2]技能伤害!$N51</f>
        <v>5159</v>
      </c>
      <c r="BD56" s="2">
        <f>[2]技能伤害!$L51</f>
        <v>1488</v>
      </c>
      <c r="BE56" s="48">
        <f t="shared" si="30"/>
        <v>0.55568816498638596</v>
      </c>
      <c r="BF56" s="48">
        <f t="shared" si="31"/>
        <v>0.89824387345074852</v>
      </c>
      <c r="BG56" s="28">
        <f t="shared" si="14"/>
        <v>21610.943366586158</v>
      </c>
      <c r="BH56" s="28">
        <f t="shared" si="15"/>
        <v>563.32191657665624</v>
      </c>
      <c r="BI56" s="28">
        <f t="shared" si="16"/>
        <v>3394.5029767817905</v>
      </c>
      <c r="BJ56" s="49">
        <f t="shared" si="32"/>
        <v>0.77925445748693778</v>
      </c>
      <c r="BK56" s="49">
        <f t="shared" si="33"/>
        <v>200.06322616539615</v>
      </c>
      <c r="BL56" s="49">
        <f t="shared" si="17"/>
        <v>18.44485379431616</v>
      </c>
    </row>
    <row r="57" spans="9:64" x14ac:dyDescent="0.15">
      <c r="I57" s="29">
        <v>50</v>
      </c>
      <c r="J57" s="29">
        <f>[1]属性成长!$D57</f>
        <v>250</v>
      </c>
      <c r="K57" s="27">
        <v>50</v>
      </c>
      <c r="L57" s="27">
        <v>50</v>
      </c>
      <c r="M57" s="27">
        <f t="shared" si="24"/>
        <v>50</v>
      </c>
      <c r="N57" s="27">
        <f>N47+1</f>
        <v>3</v>
      </c>
      <c r="O57" s="27">
        <v>50</v>
      </c>
      <c r="P57" s="27">
        <f t="shared" si="21"/>
        <v>50</v>
      </c>
      <c r="Q57" s="27">
        <f t="shared" si="22"/>
        <v>3</v>
      </c>
      <c r="R57" s="27">
        <f t="shared" si="37"/>
        <v>3</v>
      </c>
      <c r="S57" s="27">
        <v>28</v>
      </c>
      <c r="T57" s="27">
        <v>50</v>
      </c>
      <c r="U57" s="27">
        <f t="shared" si="23"/>
        <v>40</v>
      </c>
      <c r="V57" s="27">
        <f t="shared" si="34"/>
        <v>30</v>
      </c>
      <c r="W57" s="27">
        <f>V47</f>
        <v>0</v>
      </c>
      <c r="X57" s="27">
        <v>0</v>
      </c>
      <c r="Y57" s="27">
        <v>50</v>
      </c>
      <c r="Z57" s="27">
        <f t="shared" si="36"/>
        <v>4</v>
      </c>
      <c r="AA57" s="27">
        <f t="shared" si="35"/>
        <v>5</v>
      </c>
      <c r="AB57" s="2">
        <f t="shared" si="25"/>
        <v>280</v>
      </c>
      <c r="AC57" s="28">
        <f t="shared" si="26"/>
        <v>2389.1982811451162</v>
      </c>
      <c r="AD57" s="28">
        <f t="shared" si="27"/>
        <v>1840.8987108588371</v>
      </c>
      <c r="AE57" s="28">
        <f t="shared" si="28"/>
        <v>1184.711111111111</v>
      </c>
      <c r="AF57" s="28">
        <f>INDEX(圣火属性!$I$3:$I$53,MATCH(T57,圣火属性!$B$3:$B$53,0),1)+INDEX(圣火属性!$J$3:$J$53,MATCH(U57,圣火属性!$B$3:$B$53,0),1)+INDEX(圣火属性!$K$3:$K$53,MATCH(V57,圣火属性!$B$3:$B$53,0),1)+INDEX(圣火属性!$L$3:$L$53,MATCH(W57,圣火属性!$B$3:$B$53,0),1)+INDEX(圣火属性!$M$3:$M$53,MATCH(X57,圣火属性!$B$3:$B$53,0),1)</f>
        <v>952.5</v>
      </c>
      <c r="AG57" s="28">
        <f>AA57*VLOOKUP(Z57,神器属性!$B$4:$D$13,3,FALSE)</f>
        <v>848</v>
      </c>
      <c r="AH57" s="36">
        <f t="shared" si="20"/>
        <v>7495</v>
      </c>
      <c r="AI57" s="36">
        <f>AH57*10*(1+VLOOKUP(Y57,技能效果!$B$2:$D$101,3,FALSE))</f>
        <v>89640.200000000012</v>
      </c>
      <c r="AJ57" s="36">
        <f t="shared" si="29"/>
        <v>2911.1669999999999</v>
      </c>
      <c r="AK57" s="2">
        <v>1</v>
      </c>
      <c r="AL57" s="28">
        <f t="shared" si="13"/>
        <v>2911</v>
      </c>
      <c r="AM57" s="28">
        <f>$AH57/5*[1]战斗预期!C$4</f>
        <v>149900</v>
      </c>
      <c r="AN57" s="28">
        <f>$AH57/5*[1]战斗预期!D$4</f>
        <v>14990</v>
      </c>
      <c r="AO57" s="28">
        <f>$AH57/5*[1]战斗预期!E$4</f>
        <v>7495</v>
      </c>
      <c r="AP57" s="28">
        <f>$AH57/5*[1]战斗预期!F$4</f>
        <v>5996</v>
      </c>
      <c r="AQ57" s="28">
        <f>$AH57/5*[1]战斗预期!G$4</f>
        <v>5996</v>
      </c>
      <c r="AR57" s="28">
        <f>$AL57*怪物属性规划!A$18*怪物属性等级系数!A51</f>
        <v>32316.250087202036</v>
      </c>
      <c r="AS57" s="28">
        <f>$AL57*怪物属性规划!B$18</f>
        <v>2911</v>
      </c>
      <c r="AT57" s="28">
        <f>$AL57*怪物属性规划!C$18</f>
        <v>2911</v>
      </c>
      <c r="AU57" s="28">
        <f>$AL57*怪物属性规划!D$18</f>
        <v>2328.8000000000002</v>
      </c>
      <c r="AV57" s="28">
        <f>$AL57*怪物属性规划!E$18</f>
        <v>2328.8000000000002</v>
      </c>
      <c r="AW57" s="28">
        <v>0</v>
      </c>
      <c r="AX57" s="28">
        <v>0</v>
      </c>
      <c r="AY57" s="28">
        <v>0</v>
      </c>
      <c r="AZ57" s="28">
        <v>0</v>
      </c>
      <c r="BA57" s="28">
        <v>0</v>
      </c>
      <c r="BB57" s="48">
        <f>[2]技能伤害!$C52</f>
        <v>1.4900000000000004</v>
      </c>
      <c r="BC57" s="2">
        <f>[2]技能伤害!$N52</f>
        <v>5492</v>
      </c>
      <c r="BD57" s="2">
        <f>[2]技能伤害!$L52</f>
        <v>1639</v>
      </c>
      <c r="BE57" s="48">
        <f t="shared" si="30"/>
        <v>0.55267940341761301</v>
      </c>
      <c r="BF57" s="48">
        <f t="shared" si="31"/>
        <v>0.91423276842002166</v>
      </c>
      <c r="BG57" s="28">
        <f t="shared" si="14"/>
        <v>30910.156513454556</v>
      </c>
      <c r="BH57" s="28">
        <f t="shared" si="15"/>
        <v>499.3368222586339</v>
      </c>
      <c r="BI57" s="28">
        <f t="shared" si="16"/>
        <v>3831.23938812395</v>
      </c>
      <c r="BJ57" s="49">
        <f t="shared" si="32"/>
        <v>0.5808276080016942</v>
      </c>
      <c r="BK57" s="49">
        <f t="shared" si="33"/>
        <v>300.19816948800661</v>
      </c>
      <c r="BL57" s="49">
        <f t="shared" si="17"/>
        <v>21.736511175971323</v>
      </c>
    </row>
    <row r="58" spans="9:64" x14ac:dyDescent="0.15">
      <c r="I58" s="29">
        <v>51</v>
      </c>
      <c r="J58" s="29">
        <f>[1]属性成长!$D58</f>
        <v>255</v>
      </c>
      <c r="K58" s="27">
        <v>51</v>
      </c>
      <c r="L58" s="27">
        <v>51</v>
      </c>
      <c r="M58" s="27">
        <f t="shared" si="24"/>
        <v>50</v>
      </c>
      <c r="N58" s="27">
        <f t="shared" ref="N58:N107" si="38">N48+1</f>
        <v>3</v>
      </c>
      <c r="O58" s="27">
        <v>51</v>
      </c>
      <c r="P58" s="27">
        <f t="shared" si="21"/>
        <v>50</v>
      </c>
      <c r="Q58" s="27">
        <f t="shared" si="22"/>
        <v>3</v>
      </c>
      <c r="R58" s="27">
        <f t="shared" si="37"/>
        <v>3</v>
      </c>
      <c r="S58" s="27">
        <v>28</v>
      </c>
      <c r="T58" s="27">
        <v>50</v>
      </c>
      <c r="U58" s="27">
        <f t="shared" si="23"/>
        <v>41</v>
      </c>
      <c r="V58" s="27">
        <f t="shared" si="34"/>
        <v>31</v>
      </c>
      <c r="W58" s="27">
        <f t="shared" ref="W58:X107" si="39">V48</f>
        <v>8</v>
      </c>
      <c r="X58" s="27">
        <v>0</v>
      </c>
      <c r="Y58" s="27">
        <v>51</v>
      </c>
      <c r="Z58" s="27">
        <f t="shared" si="36"/>
        <v>4</v>
      </c>
      <c r="AA58" s="27">
        <f t="shared" si="35"/>
        <v>5</v>
      </c>
      <c r="AB58" s="2">
        <f t="shared" si="25"/>
        <v>285</v>
      </c>
      <c r="AC58" s="28">
        <f t="shared" si="26"/>
        <v>2409.1982811451162</v>
      </c>
      <c r="AD58" s="28">
        <f t="shared" si="27"/>
        <v>1856.8987108588371</v>
      </c>
      <c r="AE58" s="28">
        <f t="shared" si="28"/>
        <v>1184.711111111111</v>
      </c>
      <c r="AF58" s="28">
        <f>INDEX(圣火属性!$I$3:$I$53,MATCH(T58,圣火属性!$B$3:$B$53,0),1)+INDEX(圣火属性!$J$3:$J$53,MATCH(U58,圣火属性!$B$3:$B$53,0),1)+INDEX(圣火属性!$K$3:$K$53,MATCH(V58,圣火属性!$B$3:$B$53,0),1)+INDEX(圣火属性!$L$3:$L$53,MATCH(W58,圣火属性!$B$3:$B$53,0),1)+INDEX(圣火属性!$M$3:$M$53,MATCH(X58,圣火属性!$B$3:$B$53,0),1)</f>
        <v>1067.25</v>
      </c>
      <c r="AG58" s="28">
        <f>AA58*VLOOKUP(Z58,神器属性!$B$4:$D$13,3,FALSE)</f>
        <v>848</v>
      </c>
      <c r="AH58" s="36">
        <f t="shared" si="20"/>
        <v>7651</v>
      </c>
      <c r="AI58" s="36">
        <f>AH58*10*(1+VLOOKUP(Y58,技能效果!$B$2:$D$101,3,FALSE))</f>
        <v>91812.000000000015</v>
      </c>
      <c r="AJ58" s="36">
        <f t="shared" si="29"/>
        <v>3059.9213</v>
      </c>
      <c r="AK58" s="2">
        <v>1</v>
      </c>
      <c r="AL58" s="28">
        <f t="shared" si="13"/>
        <v>3060</v>
      </c>
      <c r="AM58" s="28">
        <f>$AH58/5*[1]战斗预期!C$4</f>
        <v>153020</v>
      </c>
      <c r="AN58" s="28">
        <f>$AH58/5*[1]战斗预期!D$4</f>
        <v>15302</v>
      </c>
      <c r="AO58" s="28">
        <f>$AH58/5*[1]战斗预期!E$4</f>
        <v>7651</v>
      </c>
      <c r="AP58" s="28">
        <f>$AH58/5*[1]战斗预期!F$4</f>
        <v>6120.8</v>
      </c>
      <c r="AQ58" s="28">
        <f>$AH58/5*[1]战斗预期!G$4</f>
        <v>6120.8</v>
      </c>
      <c r="AR58" s="28">
        <f>$AL58*怪物属性规划!A$18*怪物属性等级系数!A52</f>
        <v>34420.224949982083</v>
      </c>
      <c r="AS58" s="28">
        <f>$AL58*怪物属性规划!B$18</f>
        <v>3060</v>
      </c>
      <c r="AT58" s="28">
        <f>$AL58*怪物属性规划!C$18</f>
        <v>3060</v>
      </c>
      <c r="AU58" s="28">
        <f>$AL58*怪物属性规划!D$18</f>
        <v>2448</v>
      </c>
      <c r="AV58" s="28">
        <f>$AL58*怪物属性规划!E$18</f>
        <v>2448</v>
      </c>
      <c r="AW58" s="28">
        <v>0</v>
      </c>
      <c r="AX58" s="28">
        <v>0</v>
      </c>
      <c r="AY58" s="28">
        <v>0</v>
      </c>
      <c r="AZ58" s="28">
        <v>0</v>
      </c>
      <c r="BA58" s="28">
        <v>0</v>
      </c>
      <c r="BB58" s="48">
        <f>[2]技能伤害!$C53</f>
        <v>1.5000000000000004</v>
      </c>
      <c r="BC58" s="2">
        <f>[2]技能伤害!$N53</f>
        <v>5843</v>
      </c>
      <c r="BD58" s="2">
        <f>[2]技能伤害!$L53</f>
        <v>1670</v>
      </c>
      <c r="BE58" s="48">
        <f t="shared" si="30"/>
        <v>0.54970254086526416</v>
      </c>
      <c r="BF58" s="48">
        <f t="shared" si="31"/>
        <v>0.91437872799652942</v>
      </c>
      <c r="BG58" s="28">
        <f t="shared" si="14"/>
        <v>31689.755159039192</v>
      </c>
      <c r="BH58" s="28">
        <f t="shared" si="15"/>
        <v>524.00218466123999</v>
      </c>
      <c r="BI58" s="28">
        <f t="shared" si="16"/>
        <v>3930.5301125913215</v>
      </c>
      <c r="BJ58" s="49">
        <f t="shared" si="32"/>
        <v>0.6034236332362457</v>
      </c>
      <c r="BK58" s="49">
        <f t="shared" si="33"/>
        <v>292.0216832663117</v>
      </c>
      <c r="BL58" s="49">
        <f t="shared" si="17"/>
        <v>21.628408554556259</v>
      </c>
    </row>
    <row r="59" spans="9:64" x14ac:dyDescent="0.15">
      <c r="I59" s="29">
        <v>52</v>
      </c>
      <c r="J59" s="29">
        <f>[1]属性成长!$D59</f>
        <v>260</v>
      </c>
      <c r="K59" s="27">
        <v>52</v>
      </c>
      <c r="L59" s="27">
        <v>52</v>
      </c>
      <c r="M59" s="27">
        <f t="shared" si="24"/>
        <v>50</v>
      </c>
      <c r="N59" s="27">
        <f t="shared" si="38"/>
        <v>3</v>
      </c>
      <c r="O59" s="27">
        <v>52</v>
      </c>
      <c r="P59" s="27">
        <f t="shared" si="21"/>
        <v>50</v>
      </c>
      <c r="Q59" s="27">
        <f t="shared" si="22"/>
        <v>3</v>
      </c>
      <c r="R59" s="27">
        <f t="shared" si="37"/>
        <v>3</v>
      </c>
      <c r="S59" s="27">
        <v>28</v>
      </c>
      <c r="T59" s="27">
        <v>50</v>
      </c>
      <c r="U59" s="27">
        <f t="shared" si="23"/>
        <v>42</v>
      </c>
      <c r="V59" s="27">
        <f t="shared" si="34"/>
        <v>32</v>
      </c>
      <c r="W59" s="27">
        <f t="shared" si="39"/>
        <v>10</v>
      </c>
      <c r="X59" s="27">
        <v>0</v>
      </c>
      <c r="Y59" s="27">
        <v>52</v>
      </c>
      <c r="Z59" s="27">
        <f t="shared" si="36"/>
        <v>4</v>
      </c>
      <c r="AA59" s="27">
        <f t="shared" si="35"/>
        <v>5</v>
      </c>
      <c r="AB59" s="2">
        <f t="shared" si="25"/>
        <v>290</v>
      </c>
      <c r="AC59" s="28">
        <f t="shared" si="26"/>
        <v>2429.1982811451162</v>
      </c>
      <c r="AD59" s="28">
        <f t="shared" si="27"/>
        <v>1872.8987108588371</v>
      </c>
      <c r="AE59" s="28">
        <f t="shared" si="28"/>
        <v>1184.711111111111</v>
      </c>
      <c r="AF59" s="28">
        <f>INDEX(圣火属性!$I$3:$I$53,MATCH(T59,圣火属性!$B$3:$B$53,0),1)+INDEX(圣火属性!$J$3:$J$53,MATCH(U59,圣火属性!$B$3:$B$53,0),1)+INDEX(圣火属性!$K$3:$K$53,MATCH(V59,圣火属性!$B$3:$B$53,0),1)+INDEX(圣火属性!$L$3:$L$53,MATCH(W59,圣火属性!$B$3:$B$53,0),1)+INDEX(圣火属性!$M$3:$M$53,MATCH(X59,圣火属性!$B$3:$B$53,0),1)</f>
        <v>1114.5</v>
      </c>
      <c r="AG59" s="28">
        <f>AA59*VLOOKUP(Z59,神器属性!$B$4:$D$13,3,FALSE)</f>
        <v>848</v>
      </c>
      <c r="AH59" s="36">
        <f t="shared" si="20"/>
        <v>7739</v>
      </c>
      <c r="AI59" s="36">
        <f>AH59*10*(1+VLOOKUP(Y59,技能效果!$B$2:$D$101,3,FALSE))</f>
        <v>93177.560000000012</v>
      </c>
      <c r="AJ59" s="36">
        <f t="shared" si="29"/>
        <v>3213.9633999999996</v>
      </c>
      <c r="AK59" s="2">
        <v>1</v>
      </c>
      <c r="AL59" s="28">
        <f t="shared" si="13"/>
        <v>3214</v>
      </c>
      <c r="AM59" s="28">
        <f>$AH59/5*[1]战斗预期!C$4</f>
        <v>154780</v>
      </c>
      <c r="AN59" s="28">
        <f>$AH59/5*[1]战斗预期!D$4</f>
        <v>15478</v>
      </c>
      <c r="AO59" s="28">
        <f>$AH59/5*[1]战斗预期!E$4</f>
        <v>7739</v>
      </c>
      <c r="AP59" s="28">
        <f>$AH59/5*[1]战斗预期!F$4</f>
        <v>6191.2</v>
      </c>
      <c r="AQ59" s="28">
        <f>$AH59/5*[1]战斗预期!G$4</f>
        <v>6191.2</v>
      </c>
      <c r="AR59" s="28">
        <f>$AL59*怪物属性规划!A$18*怪物属性等级系数!A53</f>
        <v>36641.758046798968</v>
      </c>
      <c r="AS59" s="28">
        <f>$AL59*怪物属性规划!B$18</f>
        <v>3214</v>
      </c>
      <c r="AT59" s="28">
        <f>$AL59*怪物属性规划!C$18</f>
        <v>3214</v>
      </c>
      <c r="AU59" s="28">
        <f>$AL59*怪物属性规划!D$18</f>
        <v>2571.2000000000003</v>
      </c>
      <c r="AV59" s="28">
        <f>$AL59*怪物属性规划!E$18</f>
        <v>2571.2000000000003</v>
      </c>
      <c r="AW59" s="28">
        <v>0</v>
      </c>
      <c r="AX59" s="28">
        <v>0</v>
      </c>
      <c r="AY59" s="28">
        <v>0</v>
      </c>
      <c r="AZ59" s="28">
        <v>0</v>
      </c>
      <c r="BA59" s="28">
        <v>0</v>
      </c>
      <c r="BB59" s="48">
        <f>[2]技能伤害!$C54</f>
        <v>1.5100000000000005</v>
      </c>
      <c r="BC59" s="2">
        <f>[2]技能伤害!$N54</f>
        <v>6212</v>
      </c>
      <c r="BD59" s="2">
        <f>[2]技能伤害!$L54</f>
        <v>1695</v>
      </c>
      <c r="BE59" s="48">
        <f t="shared" si="30"/>
        <v>0.54669644977298659</v>
      </c>
      <c r="BF59" s="48">
        <f t="shared" si="31"/>
        <v>0.91411036060643813</v>
      </c>
      <c r="BG59" s="28">
        <f t="shared" si="14"/>
        <v>32121.421698249422</v>
      </c>
      <c r="BH59" s="28">
        <f t="shared" si="15"/>
        <v>552.09860202181574</v>
      </c>
      <c r="BI59" s="28">
        <f t="shared" si="16"/>
        <v>4014.7875123713238</v>
      </c>
      <c r="BJ59" s="49">
        <f t="shared" si="32"/>
        <v>0.63373696343369057</v>
      </c>
      <c r="BK59" s="49">
        <f t="shared" si="33"/>
        <v>280.34847295969786</v>
      </c>
      <c r="BL59" s="49">
        <f t="shared" si="17"/>
        <v>21.418042330738388</v>
      </c>
    </row>
    <row r="60" spans="9:64" x14ac:dyDescent="0.15">
      <c r="I60" s="29">
        <v>53</v>
      </c>
      <c r="J60" s="29">
        <f>[1]属性成长!$D60</f>
        <v>265</v>
      </c>
      <c r="K60" s="27">
        <v>53</v>
      </c>
      <c r="L60" s="27">
        <v>53</v>
      </c>
      <c r="M60" s="27">
        <f t="shared" si="24"/>
        <v>50</v>
      </c>
      <c r="N60" s="27">
        <f t="shared" si="38"/>
        <v>3</v>
      </c>
      <c r="O60" s="27">
        <v>53</v>
      </c>
      <c r="P60" s="27">
        <f t="shared" si="21"/>
        <v>50</v>
      </c>
      <c r="Q60" s="27">
        <f t="shared" si="22"/>
        <v>3</v>
      </c>
      <c r="R60" s="27">
        <f t="shared" si="37"/>
        <v>3</v>
      </c>
      <c r="S60" s="27">
        <v>28</v>
      </c>
      <c r="T60" s="27">
        <v>50</v>
      </c>
      <c r="U60" s="27">
        <f t="shared" si="23"/>
        <v>43</v>
      </c>
      <c r="V60" s="27">
        <f t="shared" si="34"/>
        <v>33</v>
      </c>
      <c r="W60" s="27">
        <f t="shared" si="39"/>
        <v>12</v>
      </c>
      <c r="X60" s="27">
        <v>0</v>
      </c>
      <c r="Y60" s="27">
        <v>53</v>
      </c>
      <c r="Z60" s="27">
        <f t="shared" si="36"/>
        <v>4</v>
      </c>
      <c r="AA60" s="27">
        <f t="shared" si="35"/>
        <v>5</v>
      </c>
      <c r="AB60" s="2">
        <f t="shared" si="25"/>
        <v>295</v>
      </c>
      <c r="AC60" s="28">
        <f t="shared" si="26"/>
        <v>2449.1982811451162</v>
      </c>
      <c r="AD60" s="28">
        <f t="shared" si="27"/>
        <v>1888.8987108588371</v>
      </c>
      <c r="AE60" s="28">
        <f t="shared" si="28"/>
        <v>1184.711111111111</v>
      </c>
      <c r="AF60" s="28">
        <f>INDEX(圣火属性!$I$3:$I$53,MATCH(T60,圣火属性!$B$3:$B$53,0),1)+INDEX(圣火属性!$J$3:$J$53,MATCH(U60,圣火属性!$B$3:$B$53,0),1)+INDEX(圣火属性!$K$3:$K$53,MATCH(V60,圣火属性!$B$3:$B$53,0),1)+INDEX(圣火属性!$L$3:$L$53,MATCH(W60,圣火属性!$B$3:$B$53,0),1)+INDEX(圣火属性!$M$3:$M$53,MATCH(X60,圣火属性!$B$3:$B$53,0),1)</f>
        <v>1165.5</v>
      </c>
      <c r="AG60" s="28">
        <f>AA60*VLOOKUP(Z60,神器属性!$B$4:$D$13,3,FALSE)</f>
        <v>848</v>
      </c>
      <c r="AH60" s="36">
        <f t="shared" si="20"/>
        <v>7831</v>
      </c>
      <c r="AI60" s="36">
        <f>AH60*10*(1+VLOOKUP(Y60,技能效果!$B$2:$D$101,3,FALSE))</f>
        <v>94598.48000000001</v>
      </c>
      <c r="AJ60" s="36">
        <f t="shared" si="29"/>
        <v>3373.3910999999998</v>
      </c>
      <c r="AK60" s="2">
        <v>1</v>
      </c>
      <c r="AL60" s="28">
        <f t="shared" si="13"/>
        <v>3373</v>
      </c>
      <c r="AM60" s="28">
        <f>$AH60/5*[1]战斗预期!C$4</f>
        <v>156620</v>
      </c>
      <c r="AN60" s="28">
        <f>$AH60/5*[1]战斗预期!D$4</f>
        <v>15662</v>
      </c>
      <c r="AO60" s="28">
        <f>$AH60/5*[1]战斗预期!E$4</f>
        <v>7831</v>
      </c>
      <c r="AP60" s="28">
        <f>$AH60/5*[1]战斗预期!F$4</f>
        <v>6264.8</v>
      </c>
      <c r="AQ60" s="28">
        <f>$AH60/5*[1]战斗预期!G$4</f>
        <v>6264.8</v>
      </c>
      <c r="AR60" s="28">
        <f>$AL60*怪物属性规划!A$18*怪物属性等级系数!A54</f>
        <v>38965.927506430548</v>
      </c>
      <c r="AS60" s="28">
        <f>$AL60*怪物属性规划!B$18</f>
        <v>3373</v>
      </c>
      <c r="AT60" s="28">
        <f>$AL60*怪物属性规划!C$18</f>
        <v>3373</v>
      </c>
      <c r="AU60" s="28">
        <f>$AL60*怪物属性规划!D$18</f>
        <v>2698.4</v>
      </c>
      <c r="AV60" s="28">
        <f>$AL60*怪物属性规划!E$18</f>
        <v>2698.4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48">
        <f>[2]技能伤害!$C55</f>
        <v>1.5200000000000005</v>
      </c>
      <c r="BC60" s="2">
        <f>[2]技能伤害!$N55</f>
        <v>6599</v>
      </c>
      <c r="BD60" s="2">
        <f>[2]技能伤害!$L55</f>
        <v>1721</v>
      </c>
      <c r="BE60" s="48">
        <f t="shared" si="30"/>
        <v>0.54368403720778191</v>
      </c>
      <c r="BF60" s="48">
        <f t="shared" si="31"/>
        <v>0.91384264472199572</v>
      </c>
      <c r="BG60" s="28">
        <f t="shared" si="14"/>
        <v>32568.190652125235</v>
      </c>
      <c r="BH60" s="28">
        <f t="shared" si="15"/>
        <v>581.21751870541686</v>
      </c>
      <c r="BI60" s="28">
        <f t="shared" si="16"/>
        <v>4102.1653550268747</v>
      </c>
      <c r="BJ60" s="49">
        <f t="shared" si="32"/>
        <v>0.66468959650848469</v>
      </c>
      <c r="BK60" s="49">
        <f t="shared" si="33"/>
        <v>269.46882184289592</v>
      </c>
      <c r="BL60" s="49">
        <f t="shared" si="17"/>
        <v>21.211019932311107</v>
      </c>
    </row>
    <row r="61" spans="9:64" x14ac:dyDescent="0.15">
      <c r="I61" s="29">
        <v>54</v>
      </c>
      <c r="J61" s="29">
        <f>[1]属性成长!$D61</f>
        <v>270</v>
      </c>
      <c r="K61" s="27">
        <v>54</v>
      </c>
      <c r="L61" s="27">
        <v>54</v>
      </c>
      <c r="M61" s="27">
        <f t="shared" si="24"/>
        <v>50</v>
      </c>
      <c r="N61" s="27">
        <f t="shared" si="38"/>
        <v>3</v>
      </c>
      <c r="O61" s="27">
        <v>54</v>
      </c>
      <c r="P61" s="27">
        <f t="shared" si="21"/>
        <v>50</v>
      </c>
      <c r="Q61" s="27">
        <f t="shared" si="22"/>
        <v>3</v>
      </c>
      <c r="R61" s="27">
        <f t="shared" si="37"/>
        <v>3</v>
      </c>
      <c r="S61" s="27">
        <v>28</v>
      </c>
      <c r="T61" s="27">
        <v>50</v>
      </c>
      <c r="U61" s="27">
        <f t="shared" si="23"/>
        <v>44</v>
      </c>
      <c r="V61" s="27">
        <f t="shared" si="34"/>
        <v>34</v>
      </c>
      <c r="W61" s="27">
        <f t="shared" si="39"/>
        <v>15</v>
      </c>
      <c r="X61" s="27">
        <v>0</v>
      </c>
      <c r="Y61" s="27">
        <v>54</v>
      </c>
      <c r="Z61" s="27">
        <f t="shared" si="36"/>
        <v>4</v>
      </c>
      <c r="AA61" s="27">
        <f t="shared" si="35"/>
        <v>5</v>
      </c>
      <c r="AB61" s="2">
        <f t="shared" si="25"/>
        <v>300</v>
      </c>
      <c r="AC61" s="28">
        <f t="shared" si="26"/>
        <v>2469.1982811451162</v>
      </c>
      <c r="AD61" s="28">
        <f t="shared" si="27"/>
        <v>1904.8987108588371</v>
      </c>
      <c r="AE61" s="28">
        <f t="shared" si="28"/>
        <v>1184.711111111111</v>
      </c>
      <c r="AF61" s="28">
        <f>INDEX(圣火属性!$I$3:$I$53,MATCH(T61,圣火属性!$B$3:$B$53,0),1)+INDEX(圣火属性!$J$3:$J$53,MATCH(U61,圣火属性!$B$3:$B$53,0),1)+INDEX(圣火属性!$K$3:$K$53,MATCH(V61,圣火属性!$B$3:$B$53,0),1)+INDEX(圣火属性!$L$3:$L$53,MATCH(W61,圣火属性!$B$3:$B$53,0),1)+INDEX(圣火属性!$M$3:$M$53,MATCH(X61,圣火属性!$B$3:$B$53,0),1)</f>
        <v>1229.625</v>
      </c>
      <c r="AG61" s="28">
        <f>AA61*VLOOKUP(Z61,神器属性!$B$4:$D$13,3,FALSE)</f>
        <v>848</v>
      </c>
      <c r="AH61" s="36">
        <f t="shared" si="20"/>
        <v>7936</v>
      </c>
      <c r="AI61" s="36">
        <f>AH61*10*(1+VLOOKUP(Y61,技能效果!$B$2:$D$101,3,FALSE))</f>
        <v>96184.320000000022</v>
      </c>
      <c r="AJ61" s="36">
        <f t="shared" si="29"/>
        <v>3538.3022000000001</v>
      </c>
      <c r="AK61" s="2">
        <v>1</v>
      </c>
      <c r="AL61" s="28">
        <f t="shared" si="13"/>
        <v>3538</v>
      </c>
      <c r="AM61" s="28">
        <f>$AH61/5*[1]战斗预期!C$4</f>
        <v>158720</v>
      </c>
      <c r="AN61" s="28">
        <f>$AH61/5*[1]战斗预期!D$4</f>
        <v>15872</v>
      </c>
      <c r="AO61" s="28">
        <f>$AH61/5*[1]战斗预期!E$4</f>
        <v>7936</v>
      </c>
      <c r="AP61" s="28">
        <f>$AH61/5*[1]战斗预期!F$4</f>
        <v>6348.8</v>
      </c>
      <c r="AQ61" s="28">
        <f>$AH61/5*[1]战斗预期!G$4</f>
        <v>6348.8</v>
      </c>
      <c r="AR61" s="28">
        <f>$AL61*怪物属性规划!A$18*怪物属性等级系数!A55</f>
        <v>41414.028359962795</v>
      </c>
      <c r="AS61" s="28">
        <f>$AL61*怪物属性规划!B$18</f>
        <v>3538</v>
      </c>
      <c r="AT61" s="28">
        <f>$AL61*怪物属性规划!C$18</f>
        <v>3538</v>
      </c>
      <c r="AU61" s="28">
        <f>$AL61*怪物属性规划!D$18</f>
        <v>2830.4</v>
      </c>
      <c r="AV61" s="28">
        <f>$AL61*怪物属性规划!E$18</f>
        <v>2830.4</v>
      </c>
      <c r="AW61" s="28">
        <v>0</v>
      </c>
      <c r="AX61" s="28">
        <v>0</v>
      </c>
      <c r="AY61" s="28">
        <v>0</v>
      </c>
      <c r="AZ61" s="28">
        <v>0</v>
      </c>
      <c r="BA61" s="28">
        <v>0</v>
      </c>
      <c r="BB61" s="48">
        <f>[2]技能伤害!$C56</f>
        <v>1.5300000000000005</v>
      </c>
      <c r="BC61" s="2">
        <f>[2]技能伤害!$N56</f>
        <v>7006</v>
      </c>
      <c r="BD61" s="2">
        <f>[2]技能伤害!$L56</f>
        <v>1753</v>
      </c>
      <c r="BE61" s="48">
        <f t="shared" si="30"/>
        <v>0.54068311904167354</v>
      </c>
      <c r="BF61" s="48">
        <f t="shared" si="31"/>
        <v>0.91343994046065868</v>
      </c>
      <c r="BG61" s="28">
        <f t="shared" si="14"/>
        <v>33074.553255785919</v>
      </c>
      <c r="BH61" s="28">
        <f t="shared" si="15"/>
        <v>612.49898130037911</v>
      </c>
      <c r="BI61" s="28">
        <f t="shared" si="16"/>
        <v>4204.0766709257823</v>
      </c>
      <c r="BJ61" s="49">
        <f t="shared" si="32"/>
        <v>0.69563429490276729</v>
      </c>
      <c r="BK61" s="49">
        <f t="shared" si="33"/>
        <v>259.13512486669953</v>
      </c>
      <c r="BL61" s="49">
        <f t="shared" si="17"/>
        <v>20.974350536371187</v>
      </c>
    </row>
    <row r="62" spans="9:64" x14ac:dyDescent="0.15">
      <c r="I62" s="29">
        <v>55</v>
      </c>
      <c r="J62" s="29">
        <f>[1]属性成长!$D62</f>
        <v>275</v>
      </c>
      <c r="K62" s="27">
        <v>55</v>
      </c>
      <c r="L62" s="27">
        <v>55</v>
      </c>
      <c r="M62" s="27">
        <f t="shared" si="24"/>
        <v>55</v>
      </c>
      <c r="N62" s="27">
        <f t="shared" si="38"/>
        <v>3</v>
      </c>
      <c r="O62" s="27">
        <v>55</v>
      </c>
      <c r="P62" s="27">
        <f t="shared" si="21"/>
        <v>55</v>
      </c>
      <c r="Q62" s="27">
        <f t="shared" si="22"/>
        <v>3</v>
      </c>
      <c r="R62" s="27">
        <f t="shared" si="37"/>
        <v>4</v>
      </c>
      <c r="S62" s="27">
        <v>28</v>
      </c>
      <c r="T62" s="27">
        <v>50</v>
      </c>
      <c r="U62" s="27">
        <f t="shared" si="23"/>
        <v>45</v>
      </c>
      <c r="V62" s="27">
        <f t="shared" si="34"/>
        <v>35</v>
      </c>
      <c r="W62" s="27">
        <f t="shared" si="39"/>
        <v>20</v>
      </c>
      <c r="X62" s="27">
        <v>0</v>
      </c>
      <c r="Y62" s="27">
        <v>55</v>
      </c>
      <c r="Z62" s="27">
        <f t="shared" si="36"/>
        <v>5</v>
      </c>
      <c r="AA62" s="27">
        <f t="shared" si="35"/>
        <v>6</v>
      </c>
      <c r="AB62" s="2">
        <f t="shared" si="25"/>
        <v>305</v>
      </c>
      <c r="AC62" s="28">
        <f t="shared" si="26"/>
        <v>2671.6472607369533</v>
      </c>
      <c r="AD62" s="28">
        <f t="shared" si="27"/>
        <v>2060.7354455527147</v>
      </c>
      <c r="AE62" s="28">
        <f t="shared" si="28"/>
        <v>1916.4444444444443</v>
      </c>
      <c r="AF62" s="28">
        <f>INDEX(圣火属性!$I$3:$I$53,MATCH(T62,圣火属性!$B$3:$B$53,0),1)+INDEX(圣火属性!$J$3:$J$53,MATCH(U62,圣火属性!$B$3:$B$53,0),1)+INDEX(圣火属性!$K$3:$K$53,MATCH(V62,圣火属性!$B$3:$B$53,0),1)+INDEX(圣火属性!$L$3:$L$53,MATCH(W62,圣火属性!$B$3:$B$53,0),1)+INDEX(圣火属性!$M$3:$M$53,MATCH(X62,圣火属性!$B$3:$B$53,0),1)</f>
        <v>1320</v>
      </c>
      <c r="AG62" s="28">
        <f>AA62*VLOOKUP(Z62,神器属性!$B$4:$D$13,3,FALSE)</f>
        <v>1272</v>
      </c>
      <c r="AH62" s="36">
        <f t="shared" si="20"/>
        <v>9546</v>
      </c>
      <c r="AI62" s="36">
        <f>AH62*10*(1+VLOOKUP(Y62,技能效果!$B$2:$D$101,3,FALSE))</f>
        <v>116079.36000000002</v>
      </c>
      <c r="AJ62" s="36">
        <f t="shared" si="29"/>
        <v>3708.7945</v>
      </c>
      <c r="AK62" s="2">
        <v>1</v>
      </c>
      <c r="AL62" s="28">
        <f t="shared" si="13"/>
        <v>3709</v>
      </c>
      <c r="AM62" s="28">
        <f>$AH62/5*[1]战斗预期!C$4</f>
        <v>190920</v>
      </c>
      <c r="AN62" s="28">
        <f>$AH62/5*[1]战斗预期!D$4</f>
        <v>19092</v>
      </c>
      <c r="AO62" s="28">
        <f>$AH62/5*[1]战斗预期!E$4</f>
        <v>9546</v>
      </c>
      <c r="AP62" s="28">
        <f>$AH62/5*[1]战斗预期!F$4</f>
        <v>7636.8</v>
      </c>
      <c r="AQ62" s="28">
        <f>$AH62/5*[1]战斗预期!G$4</f>
        <v>7636.8</v>
      </c>
      <c r="AR62" s="28">
        <f>$AL62*怪物属性规划!A$18*怪物属性等级系数!A56</f>
        <v>43973.067191290153</v>
      </c>
      <c r="AS62" s="28">
        <f>$AL62*怪物属性规划!B$18</f>
        <v>3709</v>
      </c>
      <c r="AT62" s="28">
        <f>$AL62*怪物属性规划!C$18</f>
        <v>3709</v>
      </c>
      <c r="AU62" s="28">
        <f>$AL62*怪物属性规划!D$18</f>
        <v>2967.2000000000003</v>
      </c>
      <c r="AV62" s="28">
        <f>$AL62*怪物属性规划!E$18</f>
        <v>2967.2000000000003</v>
      </c>
      <c r="AW62" s="28">
        <v>0</v>
      </c>
      <c r="AX62" s="28">
        <v>0</v>
      </c>
      <c r="AY62" s="28">
        <v>0</v>
      </c>
      <c r="AZ62" s="28">
        <v>0</v>
      </c>
      <c r="BA62" s="28">
        <v>0</v>
      </c>
      <c r="BB62" s="48">
        <f>[2]技能伤害!$C57</f>
        <v>1.5400000000000005</v>
      </c>
      <c r="BC62" s="2">
        <f>[2]技能伤害!$N57</f>
        <v>7434</v>
      </c>
      <c r="BD62" s="2">
        <f>[2]技能伤害!$L57</f>
        <v>1904</v>
      </c>
      <c r="BE62" s="48">
        <f t="shared" si="30"/>
        <v>0.53767758654231712</v>
      </c>
      <c r="BF62" s="48">
        <f t="shared" si="31"/>
        <v>0.92117818168343424</v>
      </c>
      <c r="BG62" s="28">
        <f t="shared" si="14"/>
        <v>41568.479314620985</v>
      </c>
      <c r="BH62" s="28">
        <f t="shared" si="15"/>
        <v>584.70024827228485</v>
      </c>
      <c r="BI62" s="28">
        <f t="shared" si="16"/>
        <v>4634.9877583236121</v>
      </c>
      <c r="BJ62" s="49">
        <f t="shared" si="32"/>
        <v>0.58769245774036127</v>
      </c>
      <c r="BK62" s="49">
        <f t="shared" si="33"/>
        <v>326.52628515918099</v>
      </c>
      <c r="BL62" s="49">
        <f t="shared" si="17"/>
        <v>22.883915168101542</v>
      </c>
    </row>
    <row r="63" spans="9:64" x14ac:dyDescent="0.15">
      <c r="I63" s="29">
        <v>56</v>
      </c>
      <c r="J63" s="29">
        <f>[1]属性成长!$D63</f>
        <v>280</v>
      </c>
      <c r="K63" s="27">
        <v>56</v>
      </c>
      <c r="L63" s="27">
        <v>56</v>
      </c>
      <c r="M63" s="27">
        <f t="shared" si="24"/>
        <v>55</v>
      </c>
      <c r="N63" s="27">
        <f t="shared" si="38"/>
        <v>3</v>
      </c>
      <c r="O63" s="27">
        <v>56</v>
      </c>
      <c r="P63" s="27">
        <f t="shared" si="21"/>
        <v>55</v>
      </c>
      <c r="Q63" s="27">
        <f t="shared" si="22"/>
        <v>3</v>
      </c>
      <c r="R63" s="27">
        <f t="shared" si="37"/>
        <v>4</v>
      </c>
      <c r="S63" s="27">
        <v>28</v>
      </c>
      <c r="T63" s="27">
        <v>50</v>
      </c>
      <c r="U63" s="27">
        <f t="shared" si="23"/>
        <v>46</v>
      </c>
      <c r="V63" s="27">
        <f t="shared" si="34"/>
        <v>36</v>
      </c>
      <c r="W63" s="27">
        <f t="shared" si="39"/>
        <v>22</v>
      </c>
      <c r="X63" s="27">
        <v>0</v>
      </c>
      <c r="Y63" s="27">
        <v>56</v>
      </c>
      <c r="Z63" s="27">
        <f t="shared" si="36"/>
        <v>5</v>
      </c>
      <c r="AA63" s="27">
        <f t="shared" si="35"/>
        <v>6</v>
      </c>
      <c r="AB63" s="2">
        <f t="shared" si="25"/>
        <v>310</v>
      </c>
      <c r="AC63" s="28">
        <f t="shared" si="26"/>
        <v>2692.7583718480637</v>
      </c>
      <c r="AD63" s="28">
        <f t="shared" si="27"/>
        <v>2077.6243344416034</v>
      </c>
      <c r="AE63" s="28">
        <f t="shared" si="28"/>
        <v>1916.4444444444443</v>
      </c>
      <c r="AF63" s="28">
        <f>INDEX(圣火属性!$I$3:$I$53,MATCH(T63,圣火属性!$B$3:$B$53,0),1)+INDEX(圣火属性!$J$3:$J$53,MATCH(U63,圣火属性!$B$3:$B$53,0),1)+INDEX(圣火属性!$K$3:$K$53,MATCH(V63,圣火属性!$B$3:$B$53,0),1)+INDEX(圣火属性!$L$3:$L$53,MATCH(W63,圣火属性!$B$3:$B$53,0),1)+INDEX(圣火属性!$M$3:$M$53,MATCH(X63,圣火属性!$B$3:$B$53,0),1)</f>
        <v>1374.75</v>
      </c>
      <c r="AG63" s="28">
        <f>AA63*VLOOKUP(Z63,神器属性!$B$4:$D$13,3,FALSE)</f>
        <v>1272</v>
      </c>
      <c r="AH63" s="36">
        <f t="shared" si="20"/>
        <v>9644</v>
      </c>
      <c r="AI63" s="36">
        <f>AH63*10*(1+VLOOKUP(Y63,技能效果!$B$2:$D$101,3,FALSE))</f>
        <v>117656.80000000002</v>
      </c>
      <c r="AJ63" s="36">
        <f t="shared" si="29"/>
        <v>3884.9657999999999</v>
      </c>
      <c r="AK63" s="2">
        <v>1</v>
      </c>
      <c r="AL63" s="28">
        <f t="shared" si="13"/>
        <v>3885</v>
      </c>
      <c r="AM63" s="28">
        <f>$AH63/5*[1]战斗预期!C$4</f>
        <v>192880</v>
      </c>
      <c r="AN63" s="28">
        <f>$AH63/5*[1]战斗预期!D$4</f>
        <v>19288</v>
      </c>
      <c r="AO63" s="28">
        <f>$AH63/5*[1]战斗预期!E$4</f>
        <v>9644</v>
      </c>
      <c r="AP63" s="28">
        <f>$AH63/5*[1]战斗预期!F$4</f>
        <v>7715.2</v>
      </c>
      <c r="AQ63" s="28">
        <f>$AH63/5*[1]战斗预期!G$4</f>
        <v>7715.2</v>
      </c>
      <c r="AR63" s="28">
        <f>$AL63*怪物属性规划!A$18*怪物属性等级系数!A57</f>
        <v>46672.848218758678</v>
      </c>
      <c r="AS63" s="28">
        <f>$AL63*怪物属性规划!B$18</f>
        <v>3885</v>
      </c>
      <c r="AT63" s="28">
        <f>$AL63*怪物属性规划!C$18</f>
        <v>3885</v>
      </c>
      <c r="AU63" s="28">
        <f>$AL63*怪物属性规划!D$18</f>
        <v>3108</v>
      </c>
      <c r="AV63" s="28">
        <f>$AL63*怪物属性规划!E$18</f>
        <v>3108</v>
      </c>
      <c r="AW63" s="28">
        <v>0</v>
      </c>
      <c r="AX63" s="28">
        <v>0</v>
      </c>
      <c r="AY63" s="28">
        <v>0</v>
      </c>
      <c r="AZ63" s="28">
        <v>0</v>
      </c>
      <c r="BA63" s="28">
        <v>0</v>
      </c>
      <c r="BB63" s="48">
        <f>[2]技能伤害!$C58</f>
        <v>1.5500000000000005</v>
      </c>
      <c r="BC63" s="2">
        <f>[2]技能伤害!$N58</f>
        <v>7881</v>
      </c>
      <c r="BD63" s="2">
        <f>[2]技能伤害!$L58</f>
        <v>1930</v>
      </c>
      <c r="BE63" s="48">
        <f t="shared" si="30"/>
        <v>0.53468583388074975</v>
      </c>
      <c r="BF63" s="48">
        <f t="shared" si="31"/>
        <v>0.92093464744455922</v>
      </c>
      <c r="BG63" s="28">
        <f t="shared" si="14"/>
        <v>42104.756871935126</v>
      </c>
      <c r="BH63" s="28">
        <f t="shared" si="15"/>
        <v>614.33778935577493</v>
      </c>
      <c r="BI63" s="28">
        <f t="shared" si="16"/>
        <v>4727.5388122769609</v>
      </c>
      <c r="BJ63" s="49">
        <f t="shared" si="32"/>
        <v>0.61582970780234525</v>
      </c>
      <c r="BK63" s="49">
        <f t="shared" si="33"/>
        <v>313.96408188118062</v>
      </c>
      <c r="BL63" s="49">
        <f t="shared" si="17"/>
        <v>22.666245547743141</v>
      </c>
    </row>
    <row r="64" spans="9:64" x14ac:dyDescent="0.15">
      <c r="I64" s="29">
        <v>57</v>
      </c>
      <c r="J64" s="29">
        <f>[1]属性成长!$D64</f>
        <v>285</v>
      </c>
      <c r="K64" s="27">
        <v>57</v>
      </c>
      <c r="L64" s="27">
        <v>57</v>
      </c>
      <c r="M64" s="27">
        <f t="shared" si="24"/>
        <v>55</v>
      </c>
      <c r="N64" s="27">
        <f t="shared" si="38"/>
        <v>3</v>
      </c>
      <c r="O64" s="27">
        <v>57</v>
      </c>
      <c r="P64" s="27">
        <f t="shared" si="21"/>
        <v>55</v>
      </c>
      <c r="Q64" s="27">
        <f t="shared" si="22"/>
        <v>3</v>
      </c>
      <c r="R64" s="27">
        <f t="shared" si="37"/>
        <v>4</v>
      </c>
      <c r="S64" s="27">
        <v>28</v>
      </c>
      <c r="T64" s="27">
        <v>50</v>
      </c>
      <c r="U64" s="27">
        <f t="shared" si="23"/>
        <v>47</v>
      </c>
      <c r="V64" s="27">
        <f t="shared" si="34"/>
        <v>37</v>
      </c>
      <c r="W64" s="27">
        <f t="shared" si="39"/>
        <v>25</v>
      </c>
      <c r="X64" s="27">
        <v>0</v>
      </c>
      <c r="Y64" s="27">
        <v>57</v>
      </c>
      <c r="Z64" s="27">
        <f t="shared" si="36"/>
        <v>5</v>
      </c>
      <c r="AA64" s="27">
        <f t="shared" si="35"/>
        <v>6</v>
      </c>
      <c r="AB64" s="2">
        <f t="shared" si="25"/>
        <v>315</v>
      </c>
      <c r="AC64" s="28">
        <f t="shared" si="26"/>
        <v>2713.869482959175</v>
      </c>
      <c r="AD64" s="28">
        <f t="shared" si="27"/>
        <v>2094.5132233304921</v>
      </c>
      <c r="AE64" s="28">
        <f t="shared" si="28"/>
        <v>1916.4444444444443</v>
      </c>
      <c r="AF64" s="28">
        <f>INDEX(圣火属性!$I$3:$I$53,MATCH(T64,圣火属性!$B$3:$B$53,0),1)+INDEX(圣火属性!$J$3:$J$53,MATCH(U64,圣火属性!$B$3:$B$53,0),1)+INDEX(圣火属性!$K$3:$K$53,MATCH(V64,圣火属性!$B$3:$B$53,0),1)+INDEX(圣火属性!$L$3:$L$53,MATCH(W64,圣火属性!$B$3:$B$53,0),1)+INDEX(圣火属性!$M$3:$M$53,MATCH(X64,圣火属性!$B$3:$B$53,0),1)</f>
        <v>1444.5</v>
      </c>
      <c r="AG64" s="28">
        <f>AA64*VLOOKUP(Z64,神器属性!$B$4:$D$13,3,FALSE)</f>
        <v>1272</v>
      </c>
      <c r="AH64" s="36">
        <f t="shared" si="20"/>
        <v>9756</v>
      </c>
      <c r="AI64" s="36">
        <f>AH64*10*(1+VLOOKUP(Y64,技能效果!$B$2:$D$101,3,FALSE))</f>
        <v>119413.44000000002</v>
      </c>
      <c r="AJ64" s="36">
        <f t="shared" si="29"/>
        <v>4066.9138999999996</v>
      </c>
      <c r="AK64" s="2">
        <v>1</v>
      </c>
      <c r="AL64" s="28">
        <f t="shared" si="13"/>
        <v>4067</v>
      </c>
      <c r="AM64" s="28">
        <f>$AH64/5*[1]战斗预期!C$4</f>
        <v>195120</v>
      </c>
      <c r="AN64" s="28">
        <f>$AH64/5*[1]战斗预期!D$4</f>
        <v>19512</v>
      </c>
      <c r="AO64" s="28">
        <f>$AH64/5*[1]战斗预期!E$4</f>
        <v>9756</v>
      </c>
      <c r="AP64" s="28">
        <f>$AH64/5*[1]战斗预期!F$4</f>
        <v>7804.8</v>
      </c>
      <c r="AQ64" s="28">
        <f>$AH64/5*[1]战斗预期!G$4</f>
        <v>7804.8</v>
      </c>
      <c r="AR64" s="28">
        <f>$AL64*怪物属性规划!A$18*怪物属性等级系数!A58</f>
        <v>49490.767530429985</v>
      </c>
      <c r="AS64" s="28">
        <f>$AL64*怪物属性规划!B$18</f>
        <v>4067</v>
      </c>
      <c r="AT64" s="28">
        <f>$AL64*怪物属性规划!C$18</f>
        <v>4067</v>
      </c>
      <c r="AU64" s="28">
        <f>$AL64*怪物属性规划!D$18</f>
        <v>3253.6000000000004</v>
      </c>
      <c r="AV64" s="28">
        <f>$AL64*怪物属性规划!E$18</f>
        <v>3253.6000000000004</v>
      </c>
      <c r="AW64" s="28">
        <v>0</v>
      </c>
      <c r="AX64" s="28">
        <v>0</v>
      </c>
      <c r="AY64" s="28">
        <v>0</v>
      </c>
      <c r="AZ64" s="28">
        <v>0</v>
      </c>
      <c r="BA64" s="28">
        <v>0</v>
      </c>
      <c r="BB64" s="48">
        <f>[2]技能伤害!$C59</f>
        <v>1.5600000000000005</v>
      </c>
      <c r="BC64" s="2">
        <f>[2]技能伤害!$N59</f>
        <v>8351</v>
      </c>
      <c r="BD64" s="2">
        <f>[2]技能伤害!$L59</f>
        <v>1964</v>
      </c>
      <c r="BE64" s="48">
        <f t="shared" si="30"/>
        <v>0.53166324578123847</v>
      </c>
      <c r="BF64" s="48">
        <f t="shared" si="31"/>
        <v>0.92050275528100234</v>
      </c>
      <c r="BG64" s="28">
        <f t="shared" si="14"/>
        <v>42710.886654747417</v>
      </c>
      <c r="BH64" s="28">
        <f t="shared" si="15"/>
        <v>646.630588544327</v>
      </c>
      <c r="BI64" s="28">
        <f t="shared" si="16"/>
        <v>4839.5887455460988</v>
      </c>
      <c r="BJ64" s="49">
        <f t="shared" si="32"/>
        <v>0.64374385557698921</v>
      </c>
      <c r="BK64" s="49">
        <f t="shared" si="33"/>
        <v>301.74879360292493</v>
      </c>
      <c r="BL64" s="49">
        <f t="shared" si="17"/>
        <v>22.398597422097311</v>
      </c>
    </row>
    <row r="65" spans="9:64" x14ac:dyDescent="0.15">
      <c r="I65" s="29">
        <v>58</v>
      </c>
      <c r="J65" s="29">
        <f>[1]属性成长!$D65</f>
        <v>290</v>
      </c>
      <c r="K65" s="27">
        <v>58</v>
      </c>
      <c r="L65" s="27">
        <v>58</v>
      </c>
      <c r="M65" s="27">
        <f t="shared" si="24"/>
        <v>55</v>
      </c>
      <c r="N65" s="27">
        <f t="shared" si="38"/>
        <v>3</v>
      </c>
      <c r="O65" s="27">
        <v>58</v>
      </c>
      <c r="P65" s="27">
        <f t="shared" si="21"/>
        <v>55</v>
      </c>
      <c r="Q65" s="27">
        <f t="shared" si="22"/>
        <v>3</v>
      </c>
      <c r="R65" s="27">
        <f t="shared" si="37"/>
        <v>4</v>
      </c>
      <c r="S65" s="27">
        <v>28</v>
      </c>
      <c r="T65" s="27">
        <v>50</v>
      </c>
      <c r="U65" s="27">
        <f t="shared" si="23"/>
        <v>48</v>
      </c>
      <c r="V65" s="27">
        <f t="shared" si="34"/>
        <v>38</v>
      </c>
      <c r="W65" s="27">
        <f t="shared" si="39"/>
        <v>27</v>
      </c>
      <c r="X65" s="27">
        <v>0</v>
      </c>
      <c r="Y65" s="27">
        <v>58</v>
      </c>
      <c r="Z65" s="27">
        <f t="shared" si="36"/>
        <v>5</v>
      </c>
      <c r="AA65" s="27">
        <f t="shared" si="35"/>
        <v>6</v>
      </c>
      <c r="AB65" s="2">
        <f t="shared" si="25"/>
        <v>320</v>
      </c>
      <c r="AC65" s="28">
        <f t="shared" si="26"/>
        <v>2734.9805940702863</v>
      </c>
      <c r="AD65" s="28">
        <f t="shared" si="27"/>
        <v>2111.4021122193813</v>
      </c>
      <c r="AE65" s="28">
        <f t="shared" si="28"/>
        <v>1916.4444444444443</v>
      </c>
      <c r="AF65" s="28">
        <f>INDEX(圣火属性!$I$3:$I$53,MATCH(T65,圣火属性!$B$3:$B$53,0),1)+INDEX(圣火属性!$J$3:$J$53,MATCH(U65,圣火属性!$B$3:$B$53,0),1)+INDEX(圣火属性!$K$3:$K$53,MATCH(V65,圣火属性!$B$3:$B$53,0),1)+INDEX(圣火属性!$L$3:$L$53,MATCH(W65,圣火属性!$B$3:$B$53,0),1)+INDEX(圣火属性!$M$3:$M$53,MATCH(X65,圣火属性!$B$3:$B$53,0),1)</f>
        <v>1499.25</v>
      </c>
      <c r="AG65" s="28">
        <f>AA65*VLOOKUP(Z65,神器属性!$B$4:$D$13,3,FALSE)</f>
        <v>1272</v>
      </c>
      <c r="AH65" s="36">
        <f t="shared" si="20"/>
        <v>9854</v>
      </c>
      <c r="AI65" s="36">
        <f>AH65*10*(1+VLOOKUP(Y65,技能效果!$B$2:$D$101,3,FALSE))</f>
        <v>121007.12000000002</v>
      </c>
      <c r="AJ65" s="36">
        <f t="shared" si="29"/>
        <v>4254.7365999999993</v>
      </c>
      <c r="AK65" s="2">
        <v>1</v>
      </c>
      <c r="AL65" s="28">
        <f t="shared" si="13"/>
        <v>4255</v>
      </c>
      <c r="AM65" s="28">
        <f>$AH65/5*[1]战斗预期!C$4</f>
        <v>197080</v>
      </c>
      <c r="AN65" s="28">
        <f>$AH65/5*[1]战斗预期!D$4</f>
        <v>19708</v>
      </c>
      <c r="AO65" s="28">
        <f>$AH65/5*[1]战斗预期!E$4</f>
        <v>9854</v>
      </c>
      <c r="AP65" s="28">
        <f>$AH65/5*[1]战斗预期!F$4</f>
        <v>7883.2</v>
      </c>
      <c r="AQ65" s="28">
        <f>$AH65/5*[1]战斗预期!G$4</f>
        <v>7883.2</v>
      </c>
      <c r="AR65" s="28">
        <f>$AL65*怪物属性规划!A$18*怪物属性等级系数!A59</f>
        <v>52441.146855778861</v>
      </c>
      <c r="AS65" s="28">
        <f>$AL65*怪物属性规划!B$18</f>
        <v>4255</v>
      </c>
      <c r="AT65" s="28">
        <f>$AL65*怪物属性规划!C$18</f>
        <v>4255</v>
      </c>
      <c r="AU65" s="28">
        <f>$AL65*怪物属性规划!D$18</f>
        <v>3404</v>
      </c>
      <c r="AV65" s="28">
        <f>$AL65*怪物属性规划!E$18</f>
        <v>3404</v>
      </c>
      <c r="AW65" s="28">
        <v>0</v>
      </c>
      <c r="AX65" s="28">
        <v>0</v>
      </c>
      <c r="AY65" s="28">
        <v>0</v>
      </c>
      <c r="AZ65" s="28">
        <v>0</v>
      </c>
      <c r="BA65" s="28">
        <v>0</v>
      </c>
      <c r="BB65" s="48">
        <f>[2]技能伤害!$C60</f>
        <v>1.5700000000000005</v>
      </c>
      <c r="BC65" s="2">
        <f>[2]技能伤害!$N60</f>
        <v>8843</v>
      </c>
      <c r="BD65" s="2">
        <f>[2]技能伤害!$L60</f>
        <v>1989</v>
      </c>
      <c r="BE65" s="48">
        <f t="shared" si="30"/>
        <v>0.52866028290220701</v>
      </c>
      <c r="BF65" s="48">
        <f t="shared" si="31"/>
        <v>0.92030833971761838</v>
      </c>
      <c r="BG65" s="28">
        <f t="shared" si="14"/>
        <v>43232.660273928785</v>
      </c>
      <c r="BH65" s="28">
        <f t="shared" si="15"/>
        <v>678.17602900306758</v>
      </c>
      <c r="BI65" s="28">
        <f t="shared" si="16"/>
        <v>4931.5685762538569</v>
      </c>
      <c r="BJ65" s="49">
        <f t="shared" si="32"/>
        <v>0.67388798863718735</v>
      </c>
      <c r="BK65" s="49">
        <f t="shared" si="33"/>
        <v>290.60301687411686</v>
      </c>
      <c r="BL65" s="49">
        <f t="shared" si="17"/>
        <v>22.201635685670499</v>
      </c>
    </row>
    <row r="66" spans="9:64" x14ac:dyDescent="0.15">
      <c r="I66" s="29">
        <v>59</v>
      </c>
      <c r="J66" s="29">
        <f>[1]属性成长!$D66</f>
        <v>295</v>
      </c>
      <c r="K66" s="27">
        <v>59</v>
      </c>
      <c r="L66" s="27">
        <v>59</v>
      </c>
      <c r="M66" s="27">
        <f t="shared" si="24"/>
        <v>55</v>
      </c>
      <c r="N66" s="27">
        <f t="shared" si="38"/>
        <v>3</v>
      </c>
      <c r="O66" s="27">
        <v>59</v>
      </c>
      <c r="P66" s="27">
        <f t="shared" si="21"/>
        <v>55</v>
      </c>
      <c r="Q66" s="27">
        <f t="shared" si="22"/>
        <v>3</v>
      </c>
      <c r="R66" s="27">
        <f t="shared" si="37"/>
        <v>4</v>
      </c>
      <c r="S66" s="27">
        <v>28</v>
      </c>
      <c r="T66" s="27">
        <v>50</v>
      </c>
      <c r="U66" s="27">
        <f t="shared" si="23"/>
        <v>49</v>
      </c>
      <c r="V66" s="27">
        <f t="shared" si="34"/>
        <v>39</v>
      </c>
      <c r="W66" s="27">
        <f t="shared" si="39"/>
        <v>29</v>
      </c>
      <c r="X66" s="27">
        <v>0</v>
      </c>
      <c r="Y66" s="27">
        <v>59</v>
      </c>
      <c r="Z66" s="27">
        <f t="shared" si="36"/>
        <v>5</v>
      </c>
      <c r="AA66" s="27">
        <f t="shared" si="35"/>
        <v>6</v>
      </c>
      <c r="AB66" s="2">
        <f t="shared" si="25"/>
        <v>325</v>
      </c>
      <c r="AC66" s="28">
        <f t="shared" si="26"/>
        <v>2756.0917051813972</v>
      </c>
      <c r="AD66" s="28">
        <f t="shared" si="27"/>
        <v>2128.2910011082704</v>
      </c>
      <c r="AE66" s="28">
        <f t="shared" si="28"/>
        <v>1916.4444444444443</v>
      </c>
      <c r="AF66" s="28">
        <f>INDEX(圣火属性!$I$3:$I$53,MATCH(T66,圣火属性!$B$3:$B$53,0),1)+INDEX(圣火属性!$J$3:$J$53,MATCH(U66,圣火属性!$B$3:$B$53,0),1)+INDEX(圣火属性!$K$3:$K$53,MATCH(V66,圣火属性!$B$3:$B$53,0),1)+INDEX(圣火属性!$L$3:$L$53,MATCH(W66,圣火属性!$B$3:$B$53,0),1)+INDEX(圣火属性!$M$3:$M$53,MATCH(X66,圣火属性!$B$3:$B$53,0),1)</f>
        <v>1554</v>
      </c>
      <c r="AG66" s="28">
        <f>AA66*VLOOKUP(Z66,神器属性!$B$4:$D$13,3,FALSE)</f>
        <v>1272</v>
      </c>
      <c r="AH66" s="36">
        <f t="shared" si="20"/>
        <v>9952</v>
      </c>
      <c r="AI66" s="36">
        <f>AH66*10*(1+VLOOKUP(Y66,技能效果!$B$2:$D$101,3,FALSE))</f>
        <v>122608.64000000001</v>
      </c>
      <c r="AJ66" s="36">
        <f t="shared" si="29"/>
        <v>4448.5316999999995</v>
      </c>
      <c r="AK66" s="2">
        <v>1</v>
      </c>
      <c r="AL66" s="28">
        <f t="shared" si="13"/>
        <v>4449</v>
      </c>
      <c r="AM66" s="28">
        <f>$AH66/5*[1]战斗预期!C$4</f>
        <v>199040</v>
      </c>
      <c r="AN66" s="28">
        <f>$AH66/5*[1]战斗预期!D$4</f>
        <v>19904</v>
      </c>
      <c r="AO66" s="28">
        <f>$AH66/5*[1]战斗预期!E$4</f>
        <v>9952</v>
      </c>
      <c r="AP66" s="28">
        <f>$AH66/5*[1]战斗预期!F$4</f>
        <v>7961.6</v>
      </c>
      <c r="AQ66" s="28">
        <f>$AH66/5*[1]战斗预期!G$4</f>
        <v>7961.6</v>
      </c>
      <c r="AR66" s="28">
        <f>$AL66*怪物属性规划!A$18*怪物属性等级系数!A60</f>
        <v>55527.679152419187</v>
      </c>
      <c r="AS66" s="28">
        <f>$AL66*怪物属性规划!B$18</f>
        <v>4449</v>
      </c>
      <c r="AT66" s="28">
        <f>$AL66*怪物属性规划!C$18</f>
        <v>4449</v>
      </c>
      <c r="AU66" s="28">
        <f>$AL66*怪物属性规划!D$18</f>
        <v>3559.2000000000003</v>
      </c>
      <c r="AV66" s="28">
        <f>$AL66*怪物属性规划!E$18</f>
        <v>3559.2000000000003</v>
      </c>
      <c r="AW66" s="28">
        <v>0</v>
      </c>
      <c r="AX66" s="28">
        <v>0</v>
      </c>
      <c r="AY66" s="28">
        <v>0</v>
      </c>
      <c r="AZ66" s="28">
        <v>0</v>
      </c>
      <c r="BA66" s="28">
        <v>0</v>
      </c>
      <c r="BB66" s="48">
        <f>[2]技能伤害!$C61</f>
        <v>1.5800000000000005</v>
      </c>
      <c r="BC66" s="2">
        <f>[2]技能伤害!$N61</f>
        <v>9358</v>
      </c>
      <c r="BD66" s="2">
        <f>[2]技能伤害!$L61</f>
        <v>2014</v>
      </c>
      <c r="BE66" s="48">
        <f t="shared" si="30"/>
        <v>0.52566395646665909</v>
      </c>
      <c r="BF66" s="48">
        <f t="shared" si="31"/>
        <v>0.92011783277487091</v>
      </c>
      <c r="BG66" s="28">
        <f t="shared" si="14"/>
        <v>43745.727369140885</v>
      </c>
      <c r="BH66" s="28">
        <f t="shared" si="15"/>
        <v>710.79152396919858</v>
      </c>
      <c r="BI66" s="28">
        <f t="shared" si="16"/>
        <v>5024.3199143787451</v>
      </c>
      <c r="BJ66" s="49">
        <f t="shared" si="32"/>
        <v>0.70518225425585634</v>
      </c>
      <c r="BK66" s="49">
        <f t="shared" si="33"/>
        <v>280.02584905419496</v>
      </c>
      <c r="BL66" s="49">
        <f t="shared" si="17"/>
        <v>22.008506556543718</v>
      </c>
    </row>
    <row r="67" spans="9:64" x14ac:dyDescent="0.15">
      <c r="I67" s="29">
        <v>60</v>
      </c>
      <c r="J67" s="29">
        <f>[1]属性成长!$D67</f>
        <v>300</v>
      </c>
      <c r="K67" s="27">
        <v>60</v>
      </c>
      <c r="L67" s="27">
        <v>60</v>
      </c>
      <c r="M67" s="27">
        <f t="shared" si="24"/>
        <v>60</v>
      </c>
      <c r="N67" s="27">
        <f t="shared" si="38"/>
        <v>4</v>
      </c>
      <c r="O67" s="27">
        <v>60</v>
      </c>
      <c r="P67" s="27">
        <f t="shared" si="21"/>
        <v>60</v>
      </c>
      <c r="Q67" s="27">
        <f t="shared" si="22"/>
        <v>4</v>
      </c>
      <c r="R67" s="27">
        <f t="shared" si="37"/>
        <v>5</v>
      </c>
      <c r="S67" s="27">
        <v>28</v>
      </c>
      <c r="T67" s="27">
        <v>50</v>
      </c>
      <c r="U67" s="27">
        <f t="shared" si="23"/>
        <v>50</v>
      </c>
      <c r="V67" s="27">
        <f t="shared" si="34"/>
        <v>40</v>
      </c>
      <c r="W67" s="27">
        <f t="shared" si="39"/>
        <v>30</v>
      </c>
      <c r="X67" s="27">
        <f>W57</f>
        <v>0</v>
      </c>
      <c r="Y67" s="27">
        <v>60</v>
      </c>
      <c r="Z67" s="27">
        <f t="shared" si="36"/>
        <v>6</v>
      </c>
      <c r="AA67" s="27">
        <f t="shared" si="35"/>
        <v>7</v>
      </c>
      <c r="AB67" s="2">
        <f t="shared" si="25"/>
        <v>330</v>
      </c>
      <c r="AC67" s="28">
        <f t="shared" si="26"/>
        <v>3336.9464060360979</v>
      </c>
      <c r="AD67" s="28">
        <f t="shared" si="27"/>
        <v>2574.8209156381845</v>
      </c>
      <c r="AE67" s="28">
        <f t="shared" si="28"/>
        <v>2892.0888888888894</v>
      </c>
      <c r="AF67" s="28">
        <f>INDEX(圣火属性!$I$3:$I$53,MATCH(T67,圣火属性!$B$3:$B$53,0),1)+INDEX(圣火属性!$J$3:$J$53,MATCH(U67,圣火属性!$B$3:$B$53,0),1)+INDEX(圣火属性!$K$3:$K$53,MATCH(V67,圣火属性!$B$3:$B$53,0),1)+INDEX(圣火属性!$L$3:$L$53,MATCH(W67,圣火属性!$B$3:$B$53,0),1)+INDEX(圣火属性!$M$3:$M$53,MATCH(X67,圣火属性!$B$3:$B$53,0),1)</f>
        <v>1593.75</v>
      </c>
      <c r="AG67" s="28">
        <f>AA67*VLOOKUP(Z67,神器属性!$B$4:$D$13,3,FALSE)</f>
        <v>1780.8</v>
      </c>
      <c r="AH67" s="36">
        <f t="shared" si="20"/>
        <v>12508</v>
      </c>
      <c r="AI67" s="36">
        <f>AH67*10*(1+VLOOKUP(Y67,技能效果!$B$2:$D$101,3,FALSE))</f>
        <v>154598.88000000003</v>
      </c>
      <c r="AJ67" s="36">
        <f t="shared" si="29"/>
        <v>4648.3969999999999</v>
      </c>
      <c r="AK67" s="2">
        <v>1</v>
      </c>
      <c r="AL67" s="28">
        <f t="shared" si="13"/>
        <v>4648</v>
      </c>
      <c r="AM67" s="28">
        <f>$AH67/5*[1]战斗预期!C$4</f>
        <v>250160</v>
      </c>
      <c r="AN67" s="28">
        <f>$AH67/5*[1]战斗预期!D$4</f>
        <v>25016</v>
      </c>
      <c r="AO67" s="28">
        <f>$AH67/5*[1]战斗预期!E$4</f>
        <v>12508</v>
      </c>
      <c r="AP67" s="28">
        <f>$AH67/5*[1]战斗预期!F$4</f>
        <v>10006.4</v>
      </c>
      <c r="AQ67" s="28">
        <f>$AH67/5*[1]战斗预期!G$4</f>
        <v>10006.4</v>
      </c>
      <c r="AR67" s="28">
        <f>$AL67*怪物属性规划!A$18*怪物属性等级系数!A61</f>
        <v>58750.37838940604</v>
      </c>
      <c r="AS67" s="28">
        <f>$AL67*怪物属性规划!B$18</f>
        <v>4648</v>
      </c>
      <c r="AT67" s="28">
        <f>$AL67*怪物属性规划!C$18</f>
        <v>4648</v>
      </c>
      <c r="AU67" s="28">
        <f>$AL67*怪物属性规划!D$18</f>
        <v>3718.4</v>
      </c>
      <c r="AV67" s="28">
        <f>$AL67*怪物属性规划!E$18</f>
        <v>3718.4</v>
      </c>
      <c r="AW67" s="28">
        <v>0</v>
      </c>
      <c r="AX67" s="28">
        <v>0</v>
      </c>
      <c r="AY67" s="28">
        <v>0</v>
      </c>
      <c r="AZ67" s="28">
        <v>0</v>
      </c>
      <c r="BA67" s="28">
        <v>0</v>
      </c>
      <c r="BB67" s="48">
        <f>[2]技能伤害!$C62</f>
        <v>1.5900000000000005</v>
      </c>
      <c r="BC67" s="2">
        <f>[2]技能伤害!$N62</f>
        <v>9895</v>
      </c>
      <c r="BD67" s="2">
        <f>[2]技能伤害!$L62</f>
        <v>2170</v>
      </c>
      <c r="BE67" s="48">
        <f t="shared" si="30"/>
        <v>0.52266091529755854</v>
      </c>
      <c r="BF67" s="48">
        <f t="shared" si="31"/>
        <v>0.93072886011014266</v>
      </c>
      <c r="BG67" s="28">
        <f t="shared" si="14"/>
        <v>57968.584246473773</v>
      </c>
      <c r="BH67" s="28">
        <f t="shared" si="15"/>
        <v>643.94451641611374</v>
      </c>
      <c r="BI67" s="28">
        <f t="shared" si="16"/>
        <v>5510.5801368412558</v>
      </c>
      <c r="BJ67" s="49">
        <f t="shared" si="32"/>
        <v>0.56304806352435655</v>
      </c>
      <c r="BK67" s="49">
        <f t="shared" si="33"/>
        <v>388.48067437901415</v>
      </c>
      <c r="BL67" s="49">
        <f t="shared" si="17"/>
        <v>25.220171801628467</v>
      </c>
    </row>
    <row r="68" spans="9:64" x14ac:dyDescent="0.15">
      <c r="I68" s="29">
        <v>61</v>
      </c>
      <c r="J68" s="29">
        <f>[1]属性成长!$D68</f>
        <v>305</v>
      </c>
      <c r="K68" s="27">
        <v>61</v>
      </c>
      <c r="L68" s="27">
        <v>61</v>
      </c>
      <c r="M68" s="27">
        <f t="shared" si="24"/>
        <v>60</v>
      </c>
      <c r="N68" s="27">
        <f t="shared" si="38"/>
        <v>4</v>
      </c>
      <c r="O68" s="27">
        <v>61</v>
      </c>
      <c r="P68" s="27">
        <f t="shared" si="21"/>
        <v>60</v>
      </c>
      <c r="Q68" s="27">
        <f t="shared" si="22"/>
        <v>4</v>
      </c>
      <c r="R68" s="27">
        <f t="shared" si="37"/>
        <v>5</v>
      </c>
      <c r="S68" s="27">
        <v>28</v>
      </c>
      <c r="T68" s="27">
        <v>50</v>
      </c>
      <c r="U68" s="27">
        <f t="shared" si="23"/>
        <v>50</v>
      </c>
      <c r="V68" s="27">
        <f t="shared" si="34"/>
        <v>41</v>
      </c>
      <c r="W68" s="27">
        <f t="shared" si="39"/>
        <v>31</v>
      </c>
      <c r="X68" s="27">
        <f t="shared" si="39"/>
        <v>8</v>
      </c>
      <c r="Y68" s="27">
        <v>61</v>
      </c>
      <c r="Z68" s="27">
        <f t="shared" si="36"/>
        <v>6</v>
      </c>
      <c r="AA68" s="27">
        <f t="shared" si="35"/>
        <v>7</v>
      </c>
      <c r="AB68" s="2">
        <f t="shared" si="25"/>
        <v>335</v>
      </c>
      <c r="AC68" s="28">
        <f t="shared" si="26"/>
        <v>3361.3908504805427</v>
      </c>
      <c r="AD68" s="28">
        <f t="shared" si="27"/>
        <v>2594.3764711937401</v>
      </c>
      <c r="AE68" s="28">
        <f t="shared" si="28"/>
        <v>2892.0888888888894</v>
      </c>
      <c r="AF68" s="28">
        <f>INDEX(圣火属性!$I$3:$I$53,MATCH(T68,圣火属性!$B$3:$B$53,0),1)+INDEX(圣火属性!$J$3:$J$53,MATCH(U68,圣火属性!$B$3:$B$53,0),1)+INDEX(圣火属性!$K$3:$K$53,MATCH(V68,圣火属性!$B$3:$B$53,0),1)+INDEX(圣火属性!$L$3:$L$53,MATCH(W68,圣火属性!$B$3:$B$53,0),1)+INDEX(圣火属性!$M$3:$M$53,MATCH(X68,圣火属性!$B$3:$B$53,0),1)</f>
        <v>1733.625</v>
      </c>
      <c r="AG68" s="28">
        <f>AA68*VLOOKUP(Z68,神器属性!$B$4:$D$13,3,FALSE)</f>
        <v>1780.8</v>
      </c>
      <c r="AH68" s="36">
        <f t="shared" si="20"/>
        <v>12697</v>
      </c>
      <c r="AI68" s="36">
        <f>AH68*10*(1+VLOOKUP(Y68,技能效果!$B$2:$D$101,3,FALSE))</f>
        <v>157442.80000000002</v>
      </c>
      <c r="AJ68" s="36">
        <f t="shared" si="29"/>
        <v>4854.4302999999991</v>
      </c>
      <c r="AK68" s="2">
        <v>1</v>
      </c>
      <c r="AL68" s="28">
        <f t="shared" si="13"/>
        <v>4854</v>
      </c>
      <c r="AM68" s="28">
        <f>$AH68/5*[1]战斗预期!C$4</f>
        <v>253940</v>
      </c>
      <c r="AN68" s="28">
        <f>$AH68/5*[1]战斗预期!D$4</f>
        <v>25394</v>
      </c>
      <c r="AO68" s="28">
        <f>$AH68/5*[1]战斗预期!E$4</f>
        <v>12697</v>
      </c>
      <c r="AP68" s="28">
        <f>$AH68/5*[1]战斗预期!F$4</f>
        <v>10157.6</v>
      </c>
      <c r="AQ68" s="28">
        <f>$AH68/5*[1]战斗预期!G$4</f>
        <v>10157.6</v>
      </c>
      <c r="AR68" s="28">
        <f>$AL68*怪物属性规划!A$18*怪物属性等级系数!A62</f>
        <v>62136.380856415017</v>
      </c>
      <c r="AS68" s="28">
        <f>$AL68*怪物属性规划!B$18</f>
        <v>4854</v>
      </c>
      <c r="AT68" s="28">
        <f>$AL68*怪物属性规划!C$18</f>
        <v>4854</v>
      </c>
      <c r="AU68" s="28">
        <f>$AL68*怪物属性规划!D$18</f>
        <v>3883.2000000000003</v>
      </c>
      <c r="AV68" s="28">
        <f>$AL68*怪物属性规划!E$18</f>
        <v>3883.2000000000003</v>
      </c>
      <c r="AW68" s="28">
        <v>0</v>
      </c>
      <c r="AX68" s="28">
        <v>0</v>
      </c>
      <c r="AY68" s="28">
        <v>0</v>
      </c>
      <c r="AZ68" s="28">
        <v>0</v>
      </c>
      <c r="BA68" s="28">
        <v>0</v>
      </c>
      <c r="BB68" s="48">
        <f>[2]技能伤害!$C63</f>
        <v>1.6000000000000005</v>
      </c>
      <c r="BC68" s="2">
        <f>[2]技能伤害!$N63</f>
        <v>10458</v>
      </c>
      <c r="BD68" s="2">
        <f>[2]技能伤害!$L63</f>
        <v>2204</v>
      </c>
      <c r="BE68" s="48">
        <f t="shared" si="30"/>
        <v>0.51967339586972061</v>
      </c>
      <c r="BF68" s="48">
        <f t="shared" si="31"/>
        <v>0.9306934292765352</v>
      </c>
      <c r="BG68" s="28">
        <f t="shared" si="14"/>
        <v>59109.804112909827</v>
      </c>
      <c r="BH68" s="28">
        <f t="shared" si="15"/>
        <v>672.82818858339624</v>
      </c>
      <c r="BI68" s="28">
        <f t="shared" si="16"/>
        <v>5631.9073822453302</v>
      </c>
      <c r="BJ68" s="49">
        <f t="shared" si="32"/>
        <v>0.58400145466491027</v>
      </c>
      <c r="BK68" s="49">
        <f t="shared" si="33"/>
        <v>377.42176131867643</v>
      </c>
      <c r="BL68" s="49">
        <f t="shared" si="17"/>
        <v>25.049733279088983</v>
      </c>
    </row>
    <row r="69" spans="9:64" x14ac:dyDescent="0.15">
      <c r="I69" s="29">
        <v>62</v>
      </c>
      <c r="J69" s="29">
        <f>[1]属性成长!$D69</f>
        <v>310</v>
      </c>
      <c r="K69" s="27">
        <v>62</v>
      </c>
      <c r="L69" s="27">
        <v>62</v>
      </c>
      <c r="M69" s="27">
        <f t="shared" si="24"/>
        <v>60</v>
      </c>
      <c r="N69" s="27">
        <f t="shared" si="38"/>
        <v>4</v>
      </c>
      <c r="O69" s="27">
        <v>62</v>
      </c>
      <c r="P69" s="27">
        <f t="shared" si="21"/>
        <v>60</v>
      </c>
      <c r="Q69" s="27">
        <f t="shared" si="22"/>
        <v>4</v>
      </c>
      <c r="R69" s="27">
        <f t="shared" si="37"/>
        <v>5</v>
      </c>
      <c r="S69" s="27">
        <v>28</v>
      </c>
      <c r="T69" s="27">
        <v>50</v>
      </c>
      <c r="U69" s="27">
        <f t="shared" si="23"/>
        <v>50</v>
      </c>
      <c r="V69" s="27">
        <f t="shared" si="34"/>
        <v>42</v>
      </c>
      <c r="W69" s="27">
        <f t="shared" si="39"/>
        <v>32</v>
      </c>
      <c r="X69" s="27">
        <f t="shared" si="39"/>
        <v>10</v>
      </c>
      <c r="Y69" s="27">
        <v>62</v>
      </c>
      <c r="Z69" s="27">
        <f t="shared" si="36"/>
        <v>6</v>
      </c>
      <c r="AA69" s="27">
        <f t="shared" si="35"/>
        <v>7</v>
      </c>
      <c r="AB69" s="2">
        <f t="shared" si="25"/>
        <v>340</v>
      </c>
      <c r="AC69" s="28">
        <f t="shared" si="26"/>
        <v>3385.8352949249875</v>
      </c>
      <c r="AD69" s="28">
        <f t="shared" si="27"/>
        <v>2613.9320267492958</v>
      </c>
      <c r="AE69" s="28">
        <f t="shared" si="28"/>
        <v>2892.0888888888894</v>
      </c>
      <c r="AF69" s="28">
        <f>INDEX(圣火属性!$I$3:$I$53,MATCH(T69,圣火属性!$B$3:$B$53,0),1)+INDEX(圣火属性!$J$3:$J$53,MATCH(U69,圣火属性!$B$3:$B$53,0),1)+INDEX(圣火属性!$K$3:$K$53,MATCH(V69,圣火属性!$B$3:$B$53,0),1)+INDEX(圣火属性!$L$3:$L$53,MATCH(W69,圣火属性!$B$3:$B$53,0),1)+INDEX(圣火属性!$M$3:$M$53,MATCH(X69,圣火属性!$B$3:$B$53,0),1)</f>
        <v>1792.5</v>
      </c>
      <c r="AG69" s="28">
        <f>AA69*VLOOKUP(Z69,神器属性!$B$4:$D$13,3,FALSE)</f>
        <v>1780.8</v>
      </c>
      <c r="AH69" s="36">
        <f t="shared" si="20"/>
        <v>12805</v>
      </c>
      <c r="AI69" s="36">
        <f>AH69*10*(1+VLOOKUP(Y69,技能效果!$B$2:$D$101,3,FALSE))</f>
        <v>159294.20000000004</v>
      </c>
      <c r="AJ69" s="36">
        <f t="shared" si="29"/>
        <v>5066.7293999999993</v>
      </c>
      <c r="AK69" s="2">
        <v>1</v>
      </c>
      <c r="AL69" s="28">
        <f t="shared" si="13"/>
        <v>5067</v>
      </c>
      <c r="AM69" s="28">
        <f>$AH69/5*[1]战斗预期!C$4</f>
        <v>256100</v>
      </c>
      <c r="AN69" s="28">
        <f>$AH69/5*[1]战斗预期!D$4</f>
        <v>25610</v>
      </c>
      <c r="AO69" s="28">
        <f>$AH69/5*[1]战斗预期!E$4</f>
        <v>12805</v>
      </c>
      <c r="AP69" s="28">
        <f>$AH69/5*[1]战斗预期!F$4</f>
        <v>10244</v>
      </c>
      <c r="AQ69" s="28">
        <f>$AH69/5*[1]战斗预期!G$4</f>
        <v>10244</v>
      </c>
      <c r="AR69" s="28">
        <f>$AL69*怪物属性规划!A$18*怪物属性等级系数!A63</f>
        <v>65673.211376262931</v>
      </c>
      <c r="AS69" s="28">
        <f>$AL69*怪物属性规划!B$18</f>
        <v>5067</v>
      </c>
      <c r="AT69" s="28">
        <f>$AL69*怪物属性规划!C$18</f>
        <v>5067</v>
      </c>
      <c r="AU69" s="28">
        <f>$AL69*怪物属性规划!D$18</f>
        <v>4053.6000000000004</v>
      </c>
      <c r="AV69" s="28">
        <f>$AL69*怪物属性规划!E$18</f>
        <v>4053.6000000000004</v>
      </c>
      <c r="AW69" s="28">
        <v>0</v>
      </c>
      <c r="AX69" s="28">
        <v>0</v>
      </c>
      <c r="AY69" s="28">
        <v>0</v>
      </c>
      <c r="AZ69" s="28">
        <v>0</v>
      </c>
      <c r="BA69" s="28">
        <v>0</v>
      </c>
      <c r="BB69" s="48">
        <f>[2]技能伤害!$C64</f>
        <v>1.6100000000000005</v>
      </c>
      <c r="BC69" s="2">
        <f>[2]技能伤害!$N64</f>
        <v>11049</v>
      </c>
      <c r="BD69" s="2">
        <f>[2]技能伤害!$L64</f>
        <v>2229</v>
      </c>
      <c r="BE69" s="48">
        <f t="shared" si="30"/>
        <v>0.51667065870461582</v>
      </c>
      <c r="BF69" s="48">
        <f t="shared" si="31"/>
        <v>0.9305120083283186</v>
      </c>
      <c r="BG69" s="28">
        <f t="shared" si="14"/>
        <v>59790.455466450832</v>
      </c>
      <c r="BH69" s="28">
        <f t="shared" si="15"/>
        <v>704.1913076008193</v>
      </c>
      <c r="BI69" s="28">
        <f t="shared" si="16"/>
        <v>5730.2716428118711</v>
      </c>
      <c r="BJ69" s="49">
        <f t="shared" si="32"/>
        <v>0.61021641575768615</v>
      </c>
      <c r="BK69" s="49">
        <f t="shared" si="33"/>
        <v>363.67958143722768</v>
      </c>
      <c r="BL69" s="49">
        <f t="shared" si="17"/>
        <v>24.829150631323543</v>
      </c>
    </row>
    <row r="70" spans="9:64" x14ac:dyDescent="0.15">
      <c r="I70" s="29">
        <v>63</v>
      </c>
      <c r="J70" s="29">
        <f>[1]属性成长!$D70</f>
        <v>315</v>
      </c>
      <c r="K70" s="27">
        <v>63</v>
      </c>
      <c r="L70" s="27">
        <v>63</v>
      </c>
      <c r="M70" s="27">
        <f t="shared" si="24"/>
        <v>60</v>
      </c>
      <c r="N70" s="27">
        <f t="shared" si="38"/>
        <v>4</v>
      </c>
      <c r="O70" s="27">
        <v>63</v>
      </c>
      <c r="P70" s="27">
        <f t="shared" si="21"/>
        <v>60</v>
      </c>
      <c r="Q70" s="27">
        <f t="shared" si="22"/>
        <v>4</v>
      </c>
      <c r="R70" s="27">
        <f t="shared" si="37"/>
        <v>5</v>
      </c>
      <c r="S70" s="27">
        <v>28</v>
      </c>
      <c r="T70" s="27">
        <v>50</v>
      </c>
      <c r="U70" s="27">
        <f t="shared" si="23"/>
        <v>50</v>
      </c>
      <c r="V70" s="27">
        <f t="shared" si="34"/>
        <v>43</v>
      </c>
      <c r="W70" s="27">
        <f t="shared" si="39"/>
        <v>33</v>
      </c>
      <c r="X70" s="27">
        <f t="shared" si="39"/>
        <v>12</v>
      </c>
      <c r="Y70" s="27">
        <v>63</v>
      </c>
      <c r="Z70" s="27">
        <f t="shared" si="36"/>
        <v>6</v>
      </c>
      <c r="AA70" s="27">
        <f t="shared" si="35"/>
        <v>7</v>
      </c>
      <c r="AB70" s="2">
        <f t="shared" si="25"/>
        <v>345</v>
      </c>
      <c r="AC70" s="28">
        <f t="shared" si="26"/>
        <v>3410.2797393694318</v>
      </c>
      <c r="AD70" s="28">
        <f t="shared" si="27"/>
        <v>2633.4875823048515</v>
      </c>
      <c r="AE70" s="28">
        <f t="shared" si="28"/>
        <v>2892.0888888888894</v>
      </c>
      <c r="AF70" s="28">
        <f>INDEX(圣火属性!$I$3:$I$53,MATCH(T70,圣火属性!$B$3:$B$53,0),1)+INDEX(圣火属性!$J$3:$J$53,MATCH(U70,圣火属性!$B$3:$B$53,0),1)+INDEX(圣火属性!$K$3:$K$53,MATCH(V70,圣火属性!$B$3:$B$53,0),1)+INDEX(圣火属性!$L$3:$L$53,MATCH(W70,圣火属性!$B$3:$B$53,0),1)+INDEX(圣火属性!$M$3:$M$53,MATCH(X70,圣火属性!$B$3:$B$53,0),1)</f>
        <v>1855.875</v>
      </c>
      <c r="AG70" s="28">
        <f>AA70*VLOOKUP(Z70,神器属性!$B$4:$D$13,3,FALSE)</f>
        <v>1780.8</v>
      </c>
      <c r="AH70" s="36">
        <f t="shared" si="20"/>
        <v>12918</v>
      </c>
      <c r="AI70" s="36">
        <f>AH70*10*(1+VLOOKUP(Y70,技能效果!$B$2:$D$101,3,FALSE))</f>
        <v>161216.64000000001</v>
      </c>
      <c r="AJ70" s="36">
        <f t="shared" si="29"/>
        <v>5285.3921</v>
      </c>
      <c r="AK70" s="2">
        <v>1</v>
      </c>
      <c r="AL70" s="28">
        <f t="shared" si="13"/>
        <v>5285</v>
      </c>
      <c r="AM70" s="28">
        <f>$AH70/5*[1]战斗预期!C$4</f>
        <v>258360</v>
      </c>
      <c r="AN70" s="28">
        <f>$AH70/5*[1]战斗预期!D$4</f>
        <v>25836</v>
      </c>
      <c r="AO70" s="28">
        <f>$AH70/5*[1]战斗预期!E$4</f>
        <v>12918</v>
      </c>
      <c r="AP70" s="28">
        <f>$AH70/5*[1]战斗预期!F$4</f>
        <v>10334.4</v>
      </c>
      <c r="AQ70" s="28">
        <f>$AH70/5*[1]战斗预期!G$4</f>
        <v>10334.4</v>
      </c>
      <c r="AR70" s="28">
        <f>$AL70*怪物属性规划!A$18*怪物属性等级系数!A64</f>
        <v>69354.56752269619</v>
      </c>
      <c r="AS70" s="28">
        <f>$AL70*怪物属性规划!B$18</f>
        <v>5285</v>
      </c>
      <c r="AT70" s="28">
        <f>$AL70*怪物属性规划!C$18</f>
        <v>5285</v>
      </c>
      <c r="AU70" s="28">
        <f>$AL70*怪物属性规划!D$18</f>
        <v>4228</v>
      </c>
      <c r="AV70" s="28">
        <f>$AL70*怪物属性规划!E$18</f>
        <v>4228</v>
      </c>
      <c r="AW70" s="28">
        <v>0</v>
      </c>
      <c r="AX70" s="28">
        <v>0</v>
      </c>
      <c r="AY70" s="28">
        <v>0</v>
      </c>
      <c r="AZ70" s="28">
        <v>0</v>
      </c>
      <c r="BA70" s="28">
        <v>0</v>
      </c>
      <c r="BB70" s="48">
        <f>[2]技能伤害!$C65</f>
        <v>1.6200000000000006</v>
      </c>
      <c r="BC70" s="2">
        <f>[2]技能伤害!$N65</f>
        <v>11664</v>
      </c>
      <c r="BD70" s="2">
        <f>[2]技能伤害!$L65</f>
        <v>2257</v>
      </c>
      <c r="BE70" s="48">
        <f t="shared" si="30"/>
        <v>0.51366254907251108</v>
      </c>
      <c r="BF70" s="48">
        <f t="shared" si="31"/>
        <v>0.93027255084578964</v>
      </c>
      <c r="BG70" s="28">
        <f t="shared" si="14"/>
        <v>60495.382598206867</v>
      </c>
      <c r="BH70" s="28">
        <f t="shared" si="15"/>
        <v>737.01913756000351</v>
      </c>
      <c r="BI70" s="28">
        <f t="shared" si="16"/>
        <v>5836.7899393681018</v>
      </c>
      <c r="BJ70" s="49">
        <f t="shared" si="32"/>
        <v>0.63691332520853983</v>
      </c>
      <c r="BK70" s="49">
        <f t="shared" si="33"/>
        <v>350.54720675956116</v>
      </c>
      <c r="BL70" s="49">
        <f t="shared" si="17"/>
        <v>24.5911425328547</v>
      </c>
    </row>
    <row r="71" spans="9:64" x14ac:dyDescent="0.15">
      <c r="I71" s="29">
        <v>64</v>
      </c>
      <c r="J71" s="29">
        <f>[1]属性成长!$D71</f>
        <v>320</v>
      </c>
      <c r="K71" s="27">
        <v>64</v>
      </c>
      <c r="L71" s="27">
        <v>64</v>
      </c>
      <c r="M71" s="27">
        <f t="shared" si="24"/>
        <v>60</v>
      </c>
      <c r="N71" s="27">
        <f t="shared" si="38"/>
        <v>4</v>
      </c>
      <c r="O71" s="27">
        <v>64</v>
      </c>
      <c r="P71" s="27">
        <f t="shared" si="21"/>
        <v>60</v>
      </c>
      <c r="Q71" s="27">
        <f t="shared" si="22"/>
        <v>4</v>
      </c>
      <c r="R71" s="27">
        <f t="shared" si="37"/>
        <v>5</v>
      </c>
      <c r="S71" s="27">
        <v>28</v>
      </c>
      <c r="T71" s="27">
        <v>50</v>
      </c>
      <c r="U71" s="27">
        <f t="shared" si="23"/>
        <v>50</v>
      </c>
      <c r="V71" s="27">
        <f t="shared" si="34"/>
        <v>44</v>
      </c>
      <c r="W71" s="27">
        <f t="shared" si="39"/>
        <v>34</v>
      </c>
      <c r="X71" s="27">
        <f t="shared" si="39"/>
        <v>15</v>
      </c>
      <c r="Y71" s="27">
        <v>64</v>
      </c>
      <c r="Z71" s="27">
        <f t="shared" si="36"/>
        <v>6</v>
      </c>
      <c r="AA71" s="27">
        <f t="shared" si="35"/>
        <v>7</v>
      </c>
      <c r="AB71" s="2">
        <f t="shared" si="25"/>
        <v>350</v>
      </c>
      <c r="AC71" s="28">
        <f t="shared" si="26"/>
        <v>3434.7241838138762</v>
      </c>
      <c r="AD71" s="28">
        <f t="shared" si="27"/>
        <v>2653.0431378604067</v>
      </c>
      <c r="AE71" s="28">
        <f t="shared" si="28"/>
        <v>2892.0888888888894</v>
      </c>
      <c r="AF71" s="28">
        <f>INDEX(圣火属性!$I$3:$I$53,MATCH(T71,圣火属性!$B$3:$B$53,0),1)+INDEX(圣火属性!$J$3:$J$53,MATCH(U71,圣火属性!$B$3:$B$53,0),1)+INDEX(圣火属性!$K$3:$K$53,MATCH(V71,圣火属性!$B$3:$B$53,0),1)+INDEX(圣火属性!$L$3:$L$53,MATCH(W71,圣火属性!$B$3:$B$53,0),1)+INDEX(圣火属性!$M$3:$M$53,MATCH(X71,圣火属性!$B$3:$B$53,0),1)</f>
        <v>1935</v>
      </c>
      <c r="AG71" s="28">
        <f>AA71*VLOOKUP(Z71,神器属性!$B$4:$D$13,3,FALSE)</f>
        <v>1780.8</v>
      </c>
      <c r="AH71" s="36">
        <f t="shared" si="20"/>
        <v>13046</v>
      </c>
      <c r="AI71" s="36">
        <f>AH71*10*(1+VLOOKUP(Y71,技能效果!$B$2:$D$101,3,FALSE))</f>
        <v>163335.92000000004</v>
      </c>
      <c r="AJ71" s="36">
        <f t="shared" si="29"/>
        <v>5510.5161999999991</v>
      </c>
      <c r="AK71" s="2">
        <v>1</v>
      </c>
      <c r="AL71" s="28">
        <f t="shared" si="13"/>
        <v>5511</v>
      </c>
      <c r="AM71" s="28">
        <f>$AH71/5*[1]战斗预期!C$4</f>
        <v>260919.99999999997</v>
      </c>
      <c r="AN71" s="28">
        <f>$AH71/5*[1]战斗预期!D$4</f>
        <v>26092</v>
      </c>
      <c r="AO71" s="28">
        <f>$AH71/5*[1]战斗预期!E$4</f>
        <v>13046</v>
      </c>
      <c r="AP71" s="28">
        <f>$AH71/5*[1]战斗预期!F$4</f>
        <v>10436.799999999999</v>
      </c>
      <c r="AQ71" s="28">
        <f>$AH71/5*[1]战斗预期!G$4</f>
        <v>10436.799999999999</v>
      </c>
      <c r="AR71" s="28">
        <f>$AL71*怪物属性规划!A$18*怪物属性等级系数!A65</f>
        <v>73213.424092696296</v>
      </c>
      <c r="AS71" s="28">
        <f>$AL71*怪物属性规划!B$18</f>
        <v>5511</v>
      </c>
      <c r="AT71" s="28">
        <f>$AL71*怪物属性规划!C$18</f>
        <v>5511</v>
      </c>
      <c r="AU71" s="28">
        <f>$AL71*怪物属性规划!D$18</f>
        <v>4408.8</v>
      </c>
      <c r="AV71" s="28">
        <f>$AL71*怪物属性规划!E$18</f>
        <v>4408.8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48">
        <f>[2]技能伤害!$C66</f>
        <v>1.6300000000000006</v>
      </c>
      <c r="BC71" s="2">
        <f>[2]技能伤害!$N66</f>
        <v>12310</v>
      </c>
      <c r="BD71" s="2">
        <f>[2]技能伤害!$L66</f>
        <v>2292</v>
      </c>
      <c r="BE71" s="48">
        <f t="shared" si="30"/>
        <v>0.51065651469284168</v>
      </c>
      <c r="BF71" s="48">
        <f t="shared" si="31"/>
        <v>0.92991309311362502</v>
      </c>
      <c r="BG71" s="28">
        <f t="shared" si="14"/>
        <v>61274.797712748084</v>
      </c>
      <c r="BH71" s="28">
        <f t="shared" si="15"/>
        <v>772.49788770162502</v>
      </c>
      <c r="BI71" s="28">
        <f t="shared" si="16"/>
        <v>5961.5866928025071</v>
      </c>
      <c r="BJ71" s="49">
        <f t="shared" si="32"/>
        <v>0.66379859280188569</v>
      </c>
      <c r="BK71" s="49">
        <f t="shared" si="33"/>
        <v>337.7614413630339</v>
      </c>
      <c r="BL71" s="49">
        <f t="shared" si="17"/>
        <v>24.314928730393547</v>
      </c>
    </row>
    <row r="72" spans="9:64" x14ac:dyDescent="0.15">
      <c r="I72" s="29">
        <v>65</v>
      </c>
      <c r="J72" s="29">
        <f>[1]属性成长!$D72</f>
        <v>325</v>
      </c>
      <c r="K72" s="27">
        <v>65</v>
      </c>
      <c r="L72" s="27">
        <v>65</v>
      </c>
      <c r="M72" s="27">
        <f t="shared" ref="M72:M103" si="40">INDEX($A$5:$A$25,MATCH(L72,$A$5:$A$25,1),1)</f>
        <v>65</v>
      </c>
      <c r="N72" s="27">
        <f t="shared" si="38"/>
        <v>4</v>
      </c>
      <c r="O72" s="27">
        <v>65</v>
      </c>
      <c r="P72" s="27">
        <f t="shared" si="21"/>
        <v>65</v>
      </c>
      <c r="Q72" s="27">
        <f t="shared" si="22"/>
        <v>4</v>
      </c>
      <c r="R72" s="27">
        <f t="shared" si="37"/>
        <v>6</v>
      </c>
      <c r="S72" s="27">
        <v>28</v>
      </c>
      <c r="T72" s="27">
        <v>50</v>
      </c>
      <c r="U72" s="27">
        <f t="shared" si="23"/>
        <v>50</v>
      </c>
      <c r="V72" s="27">
        <f t="shared" si="34"/>
        <v>45</v>
      </c>
      <c r="W72" s="27">
        <f t="shared" si="39"/>
        <v>35</v>
      </c>
      <c r="X72" s="27">
        <f t="shared" si="39"/>
        <v>20</v>
      </c>
      <c r="Y72" s="27">
        <v>65</v>
      </c>
      <c r="Z72" s="27">
        <f t="shared" si="36"/>
        <v>7</v>
      </c>
      <c r="AA72" s="27">
        <f t="shared" si="35"/>
        <v>8</v>
      </c>
      <c r="AB72" s="2">
        <f t="shared" ref="AB72:AB107" si="41">VLOOKUP(K72,$I$8:$J$107,2,FALSE)+$B$2</f>
        <v>355</v>
      </c>
      <c r="AC72" s="28">
        <f t="shared" ref="AC72:AC107" si="42">ROUND(5/9*($D$2+D$3/B$1*J$8),0)*(1+VLOOKUP(M72,$A$5:$F$25,4,FALSE)+VLOOKUP(N72,$A$28:$E$34,3,FALSE))+5/9*$D$3/$B$1*(VLOOKUP(L72,$I$8:$J$107,2,FALSE)-J$8)*(1+VLOOKUP(M72,$A$5:$F$25,3,FALSE)+VLOOKUP(N72,$A$28:$E$34,2,FALSE))</f>
        <v>3653.7018992572293</v>
      </c>
      <c r="AD72" s="28">
        <f t="shared" ref="AD72:AD107" si="43">ROUND(4/9*($D$2+D$3/B$1*J$8),0)*(1+VLOOKUP(P72,$A$5:$F$25,4,FALSE)+VLOOKUP(Q72,$A$28:$E$34,3,FALSE))+4/9*$D$3/$B$1*(VLOOKUP(O72,$I$8:$J$107,2,FALSE)-J$8)*(1+VLOOKUP(P72,$A$5:$F$25,3,FALSE)+VLOOKUP(Q72,$A$28:$E$34,2,FALSE))</f>
        <v>2822.0542022207001</v>
      </c>
      <c r="AE72" s="28">
        <f t="shared" ref="AE72:AE107" si="44">VLOOKUP(R72,$A$37:$C$46,3,FALSE)*S72</f>
        <v>4355.5555555555557</v>
      </c>
      <c r="AF72" s="28">
        <f>INDEX(圣火属性!$I$3:$I$53,MATCH(T72,圣火属性!$B$3:$B$53,0),1)+INDEX(圣火属性!$J$3:$J$53,MATCH(U72,圣火属性!$B$3:$B$53,0),1)+INDEX(圣火属性!$K$3:$K$53,MATCH(V72,圣火属性!$B$3:$B$53,0),1)+INDEX(圣火属性!$L$3:$L$53,MATCH(W72,圣火属性!$B$3:$B$53,0),1)+INDEX(圣火属性!$M$3:$M$53,MATCH(X72,圣火属性!$B$3:$B$53,0),1)</f>
        <v>2045.625</v>
      </c>
      <c r="AG72" s="28">
        <f>AA72*VLOOKUP(Z72,神器属性!$B$4:$D$13,3,FALSE)</f>
        <v>2374.4</v>
      </c>
      <c r="AH72" s="36">
        <f t="shared" si="20"/>
        <v>15606</v>
      </c>
      <c r="AI72" s="36">
        <f>AH72*10*(1+VLOOKUP(Y72,技能效果!$B$2:$D$101,3,FALSE))</f>
        <v>196011.36000000004</v>
      </c>
      <c r="AJ72" s="36">
        <f t="shared" ref="AJ72:AJ107" si="45">0.0163*I72^3 + 0.15*I72^2 + 8.893*I72^1 + 54.017</f>
        <v>5742.1994999999997</v>
      </c>
      <c r="AK72" s="2">
        <v>1</v>
      </c>
      <c r="AL72" s="28">
        <f t="shared" si="13"/>
        <v>5742</v>
      </c>
      <c r="AM72" s="28">
        <f>$AH72/5*[1]战斗预期!C$4</f>
        <v>312120</v>
      </c>
      <c r="AN72" s="28">
        <f>$AH72/5*[1]战斗预期!D$4</f>
        <v>31212</v>
      </c>
      <c r="AO72" s="28">
        <f>$AH72/5*[1]战斗预期!E$4</f>
        <v>15606</v>
      </c>
      <c r="AP72" s="28">
        <f>$AH72/5*[1]战斗预期!F$4</f>
        <v>12484.8</v>
      </c>
      <c r="AQ72" s="28">
        <f>$AH72/5*[1]战斗预期!G$4</f>
        <v>12484.8</v>
      </c>
      <c r="AR72" s="28">
        <f>$AL72*怪物属性规划!A$18*怪物属性等级系数!A66</f>
        <v>77221.2288336075</v>
      </c>
      <c r="AS72" s="28">
        <f>$AL72*怪物属性规划!B$18</f>
        <v>5742</v>
      </c>
      <c r="AT72" s="28">
        <f>$AL72*怪物属性规划!C$18</f>
        <v>5742</v>
      </c>
      <c r="AU72" s="28">
        <f>$AL72*怪物属性规划!D$18</f>
        <v>4593.6000000000004</v>
      </c>
      <c r="AV72" s="28">
        <f>$AL72*怪物属性规划!E$18</f>
        <v>4593.6000000000004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48">
        <f>[2]技能伤害!$C67</f>
        <v>1.6400000000000006</v>
      </c>
      <c r="BC72" s="2">
        <f>[2]技能伤害!$N67</f>
        <v>12981</v>
      </c>
      <c r="BD72" s="2">
        <f>[2]技能伤害!$L67</f>
        <v>2445</v>
      </c>
      <c r="BE72" s="48">
        <f t="shared" ref="BE72:BE107" si="46">1*(AT72+AY72)/((AT72+AY72)+0+0.429*BC72)</f>
        <v>0.50765419996323879</v>
      </c>
      <c r="BF72" s="48">
        <f t="shared" ref="BF72:BF107" si="47">1*AO72/(AO72+0+0.429*BD72)</f>
        <v>0.93702125590028895</v>
      </c>
      <c r="BG72" s="28">
        <f t="shared" si="14"/>
        <v>76287.214523251459</v>
      </c>
      <c r="BH72" s="28">
        <f t="shared" si="15"/>
        <v>723.24789724108166</v>
      </c>
      <c r="BI72" s="28">
        <f t="shared" si="16"/>
        <v>6447.4715995557963</v>
      </c>
      <c r="BJ72" s="49">
        <f t="shared" ref="BJ72:BJ107" si="48">AR72/(BG72*1.8)</f>
        <v>0.56235744027935208</v>
      </c>
      <c r="BK72" s="49">
        <f t="shared" ref="BK72:BK107" si="49">AM72/MAX(BH72*1,1)</f>
        <v>431.55327680954241</v>
      </c>
      <c r="BL72" s="49">
        <f t="shared" si="17"/>
        <v>26.894263483370214</v>
      </c>
    </row>
    <row r="73" spans="9:64" x14ac:dyDescent="0.15">
      <c r="I73" s="29">
        <v>66</v>
      </c>
      <c r="J73" s="29">
        <f>[1]属性成长!$D73</f>
        <v>330</v>
      </c>
      <c r="K73" s="27">
        <v>66</v>
      </c>
      <c r="L73" s="27">
        <v>66</v>
      </c>
      <c r="M73" s="27">
        <f t="shared" si="40"/>
        <v>65</v>
      </c>
      <c r="N73" s="27">
        <f t="shared" si="38"/>
        <v>4</v>
      </c>
      <c r="O73" s="27">
        <v>66</v>
      </c>
      <c r="P73" s="27">
        <f t="shared" si="21"/>
        <v>65</v>
      </c>
      <c r="Q73" s="27">
        <f t="shared" si="22"/>
        <v>4</v>
      </c>
      <c r="R73" s="27">
        <f t="shared" si="37"/>
        <v>6</v>
      </c>
      <c r="S73" s="27">
        <v>28</v>
      </c>
      <c r="T73" s="27">
        <v>50</v>
      </c>
      <c r="U73" s="27">
        <f t="shared" si="23"/>
        <v>50</v>
      </c>
      <c r="V73" s="27">
        <f t="shared" si="34"/>
        <v>46</v>
      </c>
      <c r="W73" s="27">
        <f t="shared" si="39"/>
        <v>36</v>
      </c>
      <c r="X73" s="27">
        <f t="shared" si="39"/>
        <v>22</v>
      </c>
      <c r="Y73" s="27">
        <v>66</v>
      </c>
      <c r="Z73" s="27">
        <f t="shared" si="36"/>
        <v>7</v>
      </c>
      <c r="AA73" s="27">
        <f t="shared" si="35"/>
        <v>8</v>
      </c>
      <c r="AB73" s="2">
        <f t="shared" si="41"/>
        <v>360</v>
      </c>
      <c r="AC73" s="28">
        <f t="shared" si="42"/>
        <v>3679.257454812785</v>
      </c>
      <c r="AD73" s="28">
        <f t="shared" si="43"/>
        <v>2842.4986466651444</v>
      </c>
      <c r="AE73" s="28">
        <f t="shared" si="44"/>
        <v>4355.5555555555557</v>
      </c>
      <c r="AF73" s="28">
        <f>INDEX(圣火属性!$I$3:$I$53,MATCH(T73,圣火属性!$B$3:$B$53,0),1)+INDEX(圣火属性!$J$3:$J$53,MATCH(U73,圣火属性!$B$3:$B$53,0),1)+INDEX(圣火属性!$K$3:$K$53,MATCH(V73,圣火属性!$B$3:$B$53,0),1)+INDEX(圣火属性!$L$3:$L$53,MATCH(W73,圣火属性!$B$3:$B$53,0),1)+INDEX(圣火属性!$M$3:$M$53,MATCH(X73,圣火属性!$B$3:$B$53,0),1)</f>
        <v>2113.5</v>
      </c>
      <c r="AG73" s="28">
        <f>AA73*VLOOKUP(Z73,神器属性!$B$4:$D$13,3,FALSE)</f>
        <v>2374.4</v>
      </c>
      <c r="AH73" s="36">
        <f t="shared" si="20"/>
        <v>15725</v>
      </c>
      <c r="AI73" s="36">
        <f>AH73*10*(1+VLOOKUP(Y73,技能效果!$B$2:$D$101,3,FALSE))</f>
        <v>198135.00000000003</v>
      </c>
      <c r="AJ73" s="36">
        <f t="shared" si="45"/>
        <v>5980.5397999999996</v>
      </c>
      <c r="AK73" s="2">
        <v>1</v>
      </c>
      <c r="AL73" s="28">
        <f t="shared" ref="AL73:AL107" si="50">ROUND(AJ73*AK73,0)</f>
        <v>5981</v>
      </c>
      <c r="AM73" s="28">
        <f>$AH73/5*[1]战斗预期!C$4</f>
        <v>314500</v>
      </c>
      <c r="AN73" s="28">
        <f>$AH73/5*[1]战斗预期!D$4</f>
        <v>31450</v>
      </c>
      <c r="AO73" s="28">
        <f>$AH73/5*[1]战斗预期!E$4</f>
        <v>15725</v>
      </c>
      <c r="AP73" s="28">
        <f>$AH73/5*[1]战斗预期!F$4</f>
        <v>12580</v>
      </c>
      <c r="AQ73" s="28">
        <f>$AH73/5*[1]战斗预期!G$4</f>
        <v>12580</v>
      </c>
      <c r="AR73" s="28">
        <f>$AL73*怪物属性规划!A$18*怪物属性等级系数!A67</f>
        <v>81413.508936472514</v>
      </c>
      <c r="AS73" s="28">
        <f>$AL73*怪物属性规划!B$18</f>
        <v>5981</v>
      </c>
      <c r="AT73" s="28">
        <f>$AL73*怪物属性规划!C$18</f>
        <v>5981</v>
      </c>
      <c r="AU73" s="28">
        <f>$AL73*怪物属性规划!D$18</f>
        <v>4784.8</v>
      </c>
      <c r="AV73" s="28">
        <f>$AL73*怪物属性规划!E$18</f>
        <v>4784.8</v>
      </c>
      <c r="AW73" s="28">
        <v>0</v>
      </c>
      <c r="AX73" s="28">
        <v>0</v>
      </c>
      <c r="AY73" s="28">
        <v>0</v>
      </c>
      <c r="AZ73" s="28">
        <v>0</v>
      </c>
      <c r="BA73" s="28">
        <v>0</v>
      </c>
      <c r="BB73" s="48">
        <f>[2]技能伤害!$C68</f>
        <v>1.6500000000000006</v>
      </c>
      <c r="BC73" s="2">
        <f>[2]技能伤害!$N68</f>
        <v>13685</v>
      </c>
      <c r="BD73" s="2">
        <f>[2]技能伤害!$L68</f>
        <v>2473</v>
      </c>
      <c r="BE73" s="48">
        <f t="shared" si="46"/>
        <v>0.50464631515799419</v>
      </c>
      <c r="BF73" s="48">
        <f t="shared" si="47"/>
        <v>0.93679719731725108</v>
      </c>
      <c r="BG73" s="28">
        <f t="shared" ref="BG73:BG107" si="51">BB73*$BA$1*(AN73*(1-BE73)+MAX(AQ73-(AU73+AZ73),0))</f>
        <v>77134.442181327599</v>
      </c>
      <c r="BH73" s="28">
        <f t="shared" ref="BH73:BH107" si="52">$BA$1*(AS73*(1-BF73)+MAX((AV73+BA73)-AP73,0))</f>
        <v>756.03192569104249</v>
      </c>
      <c r="BI73" s="28">
        <f t="shared" ref="BI73:BI107" si="53">BB73*$BA$1*(AN73*(1-BF73)+MAX(AQ73-(AP73),0))</f>
        <v>6559.5028764290992</v>
      </c>
      <c r="BJ73" s="49">
        <f t="shared" si="48"/>
        <v>0.5863752418226239</v>
      </c>
      <c r="BK73" s="49">
        <f t="shared" si="49"/>
        <v>415.98772394768224</v>
      </c>
      <c r="BL73" s="49">
        <f t="shared" ref="BL73:BL107" si="54">AM73/(BI73*1.8)</f>
        <v>26.636503636589381</v>
      </c>
    </row>
    <row r="74" spans="9:64" x14ac:dyDescent="0.15">
      <c r="I74" s="29">
        <v>67</v>
      </c>
      <c r="J74" s="29">
        <f>[1]属性成长!$D74</f>
        <v>335</v>
      </c>
      <c r="K74" s="27">
        <v>67</v>
      </c>
      <c r="L74" s="27">
        <v>67</v>
      </c>
      <c r="M74" s="27">
        <f t="shared" si="40"/>
        <v>65</v>
      </c>
      <c r="N74" s="27">
        <f t="shared" si="38"/>
        <v>4</v>
      </c>
      <c r="O74" s="27">
        <v>67</v>
      </c>
      <c r="P74" s="27">
        <f t="shared" si="21"/>
        <v>65</v>
      </c>
      <c r="Q74" s="27">
        <f t="shared" si="22"/>
        <v>4</v>
      </c>
      <c r="R74" s="27">
        <f t="shared" si="37"/>
        <v>6</v>
      </c>
      <c r="S74" s="27">
        <v>28</v>
      </c>
      <c r="T74" s="27">
        <v>50</v>
      </c>
      <c r="U74" s="27">
        <f t="shared" si="23"/>
        <v>50</v>
      </c>
      <c r="V74" s="27">
        <f t="shared" si="34"/>
        <v>47</v>
      </c>
      <c r="W74" s="27">
        <f t="shared" si="39"/>
        <v>37</v>
      </c>
      <c r="X74" s="27">
        <f t="shared" si="39"/>
        <v>25</v>
      </c>
      <c r="Y74" s="27">
        <v>67</v>
      </c>
      <c r="Z74" s="27">
        <f t="shared" si="36"/>
        <v>7</v>
      </c>
      <c r="AA74" s="27">
        <f t="shared" si="35"/>
        <v>8</v>
      </c>
      <c r="AB74" s="2">
        <f t="shared" si="41"/>
        <v>365</v>
      </c>
      <c r="AC74" s="28">
        <f t="shared" si="42"/>
        <v>3704.8130103683407</v>
      </c>
      <c r="AD74" s="28">
        <f t="shared" si="43"/>
        <v>2862.9430911095887</v>
      </c>
      <c r="AE74" s="28">
        <f t="shared" si="44"/>
        <v>4355.5555555555557</v>
      </c>
      <c r="AF74" s="28">
        <f>INDEX(圣火属性!$I$3:$I$53,MATCH(T74,圣火属性!$B$3:$B$53,0),1)+INDEX(圣火属性!$J$3:$J$53,MATCH(U74,圣火属性!$B$3:$B$53,0),1)+INDEX(圣火属性!$K$3:$K$53,MATCH(V74,圣火属性!$B$3:$B$53,0),1)+INDEX(圣火属性!$L$3:$L$53,MATCH(W74,圣火属性!$B$3:$B$53,0),1)+INDEX(圣火属性!$M$3:$M$53,MATCH(X74,圣火属性!$B$3:$B$53,0),1)</f>
        <v>2199.375</v>
      </c>
      <c r="AG74" s="28">
        <f>AA74*VLOOKUP(Z74,神器属性!$B$4:$D$13,3,FALSE)</f>
        <v>2374.4</v>
      </c>
      <c r="AH74" s="36">
        <f t="shared" si="20"/>
        <v>15862</v>
      </c>
      <c r="AI74" s="36">
        <f>AH74*10*(1+VLOOKUP(Y74,技能效果!$B$2:$D$101,3,FALSE))</f>
        <v>200495.68000000005</v>
      </c>
      <c r="AJ74" s="36">
        <f t="shared" si="45"/>
        <v>6225.6349</v>
      </c>
      <c r="AK74" s="2">
        <v>1</v>
      </c>
      <c r="AL74" s="28">
        <f t="shared" si="50"/>
        <v>6226</v>
      </c>
      <c r="AM74" s="28">
        <f>$AH74/5*[1]战斗预期!C$4</f>
        <v>317240</v>
      </c>
      <c r="AN74" s="28">
        <f>$AH74/5*[1]战斗预期!D$4</f>
        <v>31724</v>
      </c>
      <c r="AO74" s="28">
        <f>$AH74/5*[1]战斗预期!E$4</f>
        <v>15862</v>
      </c>
      <c r="AP74" s="28">
        <f>$AH74/5*[1]战斗预期!F$4</f>
        <v>12689.6</v>
      </c>
      <c r="AQ74" s="28">
        <f>$AH74/5*[1]战斗预期!G$4</f>
        <v>12689.6</v>
      </c>
      <c r="AR74" s="28">
        <f>$AL74*怪物属性规划!A$18*怪物属性等级系数!A68</f>
        <v>85783.064715678775</v>
      </c>
      <c r="AS74" s="28">
        <f>$AL74*怪物属性规划!B$18</f>
        <v>6226</v>
      </c>
      <c r="AT74" s="28">
        <f>$AL74*怪物属性规划!C$18</f>
        <v>6226</v>
      </c>
      <c r="AU74" s="28">
        <f>$AL74*怪物属性规划!D$18</f>
        <v>4980.8</v>
      </c>
      <c r="AV74" s="28">
        <f>$AL74*怪物属性规划!E$18</f>
        <v>4980.8</v>
      </c>
      <c r="AW74" s="28">
        <v>0</v>
      </c>
      <c r="AX74" s="28">
        <v>0</v>
      </c>
      <c r="AY74" s="28">
        <v>0</v>
      </c>
      <c r="AZ74" s="28">
        <v>0</v>
      </c>
      <c r="BA74" s="28">
        <v>0</v>
      </c>
      <c r="BB74" s="48">
        <f>[2]技能伤害!$C69</f>
        <v>1.6600000000000006</v>
      </c>
      <c r="BC74" s="2">
        <f>[2]技能伤害!$N69</f>
        <v>14417</v>
      </c>
      <c r="BD74" s="2">
        <f>[2]技能伤害!$L69</f>
        <v>2511</v>
      </c>
      <c r="BE74" s="48">
        <f t="shared" si="46"/>
        <v>0.50165608550488672</v>
      </c>
      <c r="BF74" s="48">
        <f t="shared" si="47"/>
        <v>0.93640680836584023</v>
      </c>
      <c r="BG74" s="28">
        <f t="shared" si="51"/>
        <v>78080.630980230693</v>
      </c>
      <c r="BH74" s="28">
        <f t="shared" si="52"/>
        <v>791.86242222855753</v>
      </c>
      <c r="BI74" s="28">
        <f t="shared" si="53"/>
        <v>6697.8689658549238</v>
      </c>
      <c r="BJ74" s="49">
        <f t="shared" si="48"/>
        <v>0.61035954214360122</v>
      </c>
      <c r="BK74" s="49">
        <f t="shared" si="49"/>
        <v>400.62514787251024</v>
      </c>
      <c r="BL74" s="49">
        <f t="shared" si="54"/>
        <v>26.31351036320974</v>
      </c>
    </row>
    <row r="75" spans="9:64" x14ac:dyDescent="0.15">
      <c r="I75" s="29">
        <v>68</v>
      </c>
      <c r="J75" s="29">
        <f>[1]属性成长!$D75</f>
        <v>340</v>
      </c>
      <c r="K75" s="27">
        <v>68</v>
      </c>
      <c r="L75" s="27">
        <v>68</v>
      </c>
      <c r="M75" s="27">
        <f t="shared" si="40"/>
        <v>65</v>
      </c>
      <c r="N75" s="27">
        <f t="shared" si="38"/>
        <v>4</v>
      </c>
      <c r="O75" s="27">
        <v>68</v>
      </c>
      <c r="P75" s="27">
        <f t="shared" si="21"/>
        <v>65</v>
      </c>
      <c r="Q75" s="27">
        <f t="shared" si="22"/>
        <v>4</v>
      </c>
      <c r="R75" s="27">
        <f t="shared" si="37"/>
        <v>6</v>
      </c>
      <c r="S75" s="27">
        <v>28</v>
      </c>
      <c r="T75" s="27">
        <v>50</v>
      </c>
      <c r="U75" s="27">
        <f t="shared" si="23"/>
        <v>50</v>
      </c>
      <c r="V75" s="27">
        <f t="shared" si="34"/>
        <v>48</v>
      </c>
      <c r="W75" s="27">
        <f t="shared" si="39"/>
        <v>38</v>
      </c>
      <c r="X75" s="27">
        <f t="shared" si="39"/>
        <v>27</v>
      </c>
      <c r="Y75" s="27">
        <v>68</v>
      </c>
      <c r="Z75" s="27">
        <f t="shared" si="36"/>
        <v>7</v>
      </c>
      <c r="AA75" s="27">
        <f t="shared" si="35"/>
        <v>8</v>
      </c>
      <c r="AB75" s="2">
        <f t="shared" si="41"/>
        <v>370</v>
      </c>
      <c r="AC75" s="28">
        <f t="shared" si="42"/>
        <v>3730.3685659238963</v>
      </c>
      <c r="AD75" s="28">
        <f t="shared" si="43"/>
        <v>2883.3875355540331</v>
      </c>
      <c r="AE75" s="28">
        <f t="shared" si="44"/>
        <v>4355.5555555555557</v>
      </c>
      <c r="AF75" s="28">
        <f>INDEX(圣火属性!$I$3:$I$53,MATCH(T75,圣火属性!$B$3:$B$53,0),1)+INDEX(圣火属性!$J$3:$J$53,MATCH(U75,圣火属性!$B$3:$B$53,0),1)+INDEX(圣火属性!$K$3:$K$53,MATCH(V75,圣火属性!$B$3:$B$53,0),1)+INDEX(圣火属性!$L$3:$L$53,MATCH(W75,圣火属性!$B$3:$B$53,0),1)+INDEX(圣火属性!$M$3:$M$53,MATCH(X75,圣火属性!$B$3:$B$53,0),1)</f>
        <v>2267.25</v>
      </c>
      <c r="AG75" s="28">
        <f>AA75*VLOOKUP(Z75,神器属性!$B$4:$D$13,3,FALSE)</f>
        <v>2374.4</v>
      </c>
      <c r="AH75" s="36">
        <f t="shared" si="20"/>
        <v>15981</v>
      </c>
      <c r="AI75" s="36">
        <f>AH75*10*(1+VLOOKUP(Y75,技能效果!$B$2:$D$101,3,FALSE))</f>
        <v>202639.08000000005</v>
      </c>
      <c r="AJ75" s="36">
        <f t="shared" si="45"/>
        <v>6477.5825999999997</v>
      </c>
      <c r="AK75" s="2">
        <v>1</v>
      </c>
      <c r="AL75" s="28">
        <f t="shared" si="50"/>
        <v>6478</v>
      </c>
      <c r="AM75" s="28">
        <f>$AH75/5*[1]战斗预期!C$4</f>
        <v>319620</v>
      </c>
      <c r="AN75" s="28">
        <f>$AH75/5*[1]战斗预期!D$4</f>
        <v>31962</v>
      </c>
      <c r="AO75" s="28">
        <f>$AH75/5*[1]战斗预期!E$4</f>
        <v>15981</v>
      </c>
      <c r="AP75" s="28">
        <f>$AH75/5*[1]战斗预期!F$4</f>
        <v>12784.8</v>
      </c>
      <c r="AQ75" s="28">
        <f>$AH75/5*[1]战斗预期!G$4</f>
        <v>12784.8</v>
      </c>
      <c r="AR75" s="28">
        <f>$AL75*怪物属性规划!A$18*怪物属性等级系数!A69</f>
        <v>90342.263324243671</v>
      </c>
      <c r="AS75" s="28">
        <f>$AL75*怪物属性规划!B$18</f>
        <v>6478</v>
      </c>
      <c r="AT75" s="28">
        <f>$AL75*怪物属性规划!C$18</f>
        <v>6478</v>
      </c>
      <c r="AU75" s="28">
        <f>$AL75*怪物属性规划!D$18</f>
        <v>5182.4000000000005</v>
      </c>
      <c r="AV75" s="28">
        <f>$AL75*怪物属性规划!E$18</f>
        <v>5182.4000000000005</v>
      </c>
      <c r="AW75" s="28">
        <v>0</v>
      </c>
      <c r="AX75" s="28">
        <v>0</v>
      </c>
      <c r="AY75" s="28">
        <v>0</v>
      </c>
      <c r="AZ75" s="28">
        <v>0</v>
      </c>
      <c r="BA75" s="28">
        <v>0</v>
      </c>
      <c r="BB75" s="48">
        <f>[2]技能伤害!$C70</f>
        <v>1.6700000000000006</v>
      </c>
      <c r="BC75" s="2">
        <f>[2]技能伤害!$N70</f>
        <v>15182</v>
      </c>
      <c r="BD75" s="2">
        <f>[2]技能伤害!$L70</f>
        <v>2538</v>
      </c>
      <c r="BE75" s="48">
        <f t="shared" si="46"/>
        <v>0.49864991958327093</v>
      </c>
      <c r="BF75" s="48">
        <f t="shared" si="47"/>
        <v>0.93621472586501009</v>
      </c>
      <c r="BG75" s="28">
        <f t="shared" si="51"/>
        <v>78912.681242733524</v>
      </c>
      <c r="BH75" s="28">
        <f t="shared" si="52"/>
        <v>826.40201169292925</v>
      </c>
      <c r="BI75" s="28">
        <f t="shared" si="53"/>
        <v>6809.2744725545108</v>
      </c>
      <c r="BJ75" s="49">
        <f t="shared" si="48"/>
        <v>0.63602130229060128</v>
      </c>
      <c r="BK75" s="49">
        <f t="shared" si="49"/>
        <v>386.76091717787705</v>
      </c>
      <c r="BL75" s="49">
        <f t="shared" si="54"/>
        <v>26.077178616072473</v>
      </c>
    </row>
    <row r="76" spans="9:64" x14ac:dyDescent="0.15">
      <c r="I76" s="29">
        <v>69</v>
      </c>
      <c r="J76" s="29">
        <f>[1]属性成长!$D76</f>
        <v>345</v>
      </c>
      <c r="K76" s="27">
        <v>69</v>
      </c>
      <c r="L76" s="27">
        <v>69</v>
      </c>
      <c r="M76" s="27">
        <f t="shared" si="40"/>
        <v>65</v>
      </c>
      <c r="N76" s="27">
        <f t="shared" si="38"/>
        <v>4</v>
      </c>
      <c r="O76" s="27">
        <v>69</v>
      </c>
      <c r="P76" s="27">
        <f t="shared" si="21"/>
        <v>65</v>
      </c>
      <c r="Q76" s="27">
        <f t="shared" si="22"/>
        <v>4</v>
      </c>
      <c r="R76" s="27">
        <f t="shared" si="37"/>
        <v>6</v>
      </c>
      <c r="S76" s="27">
        <v>28</v>
      </c>
      <c r="T76" s="27">
        <v>50</v>
      </c>
      <c r="U76" s="27">
        <f t="shared" si="23"/>
        <v>50</v>
      </c>
      <c r="V76" s="27">
        <f t="shared" si="34"/>
        <v>49</v>
      </c>
      <c r="W76" s="27">
        <f t="shared" si="39"/>
        <v>39</v>
      </c>
      <c r="X76" s="27">
        <f t="shared" si="39"/>
        <v>29</v>
      </c>
      <c r="Y76" s="27">
        <v>69</v>
      </c>
      <c r="Z76" s="27">
        <f t="shared" si="36"/>
        <v>7</v>
      </c>
      <c r="AA76" s="27">
        <f t="shared" si="35"/>
        <v>8</v>
      </c>
      <c r="AB76" s="2">
        <f t="shared" si="41"/>
        <v>375</v>
      </c>
      <c r="AC76" s="28">
        <f t="shared" si="42"/>
        <v>3755.924121479452</v>
      </c>
      <c r="AD76" s="28">
        <f t="shared" si="43"/>
        <v>2903.8319799984774</v>
      </c>
      <c r="AE76" s="28">
        <f t="shared" si="44"/>
        <v>4355.5555555555557</v>
      </c>
      <c r="AF76" s="28">
        <f>INDEX(圣火属性!$I$3:$I$53,MATCH(T76,圣火属性!$B$3:$B$53,0),1)+INDEX(圣火属性!$J$3:$J$53,MATCH(U76,圣火属性!$B$3:$B$53,0),1)+INDEX(圣火属性!$K$3:$K$53,MATCH(V76,圣火属性!$B$3:$B$53,0),1)+INDEX(圣火属性!$L$3:$L$53,MATCH(W76,圣火属性!$B$3:$B$53,0),1)+INDEX(圣火属性!$M$3:$M$53,MATCH(X76,圣火属性!$B$3:$B$53,0),1)</f>
        <v>2335.125</v>
      </c>
      <c r="AG76" s="28">
        <f>AA76*VLOOKUP(Z76,神器属性!$B$4:$D$13,3,FALSE)</f>
        <v>2374.4</v>
      </c>
      <c r="AH76" s="36">
        <f t="shared" si="20"/>
        <v>16100</v>
      </c>
      <c r="AI76" s="36">
        <f>AH76*10*(1+VLOOKUP(Y76,技能效果!$B$2:$D$101,3,FALSE))</f>
        <v>204792.00000000003</v>
      </c>
      <c r="AJ76" s="36">
        <f t="shared" si="45"/>
        <v>6736.4806999999992</v>
      </c>
      <c r="AK76" s="2">
        <v>1</v>
      </c>
      <c r="AL76" s="28">
        <f t="shared" si="50"/>
        <v>6736</v>
      </c>
      <c r="AM76" s="28">
        <f>$AH76/5*[1]战斗预期!C$4</f>
        <v>322000</v>
      </c>
      <c r="AN76" s="28">
        <f>$AH76/5*[1]战斗预期!D$4</f>
        <v>32200</v>
      </c>
      <c r="AO76" s="28">
        <f>$AH76/5*[1]战斗预期!E$4</f>
        <v>16100</v>
      </c>
      <c r="AP76" s="28">
        <f>$AH76/5*[1]战斗预期!F$4</f>
        <v>12880</v>
      </c>
      <c r="AQ76" s="28">
        <f>$AH76/5*[1]战斗预期!G$4</f>
        <v>12880</v>
      </c>
      <c r="AR76" s="28">
        <f>$AL76*怪物属性规划!A$18*怪物属性等级系数!A70</f>
        <v>95064.229361414065</v>
      </c>
      <c r="AS76" s="28">
        <f>$AL76*怪物属性规划!B$18</f>
        <v>6736</v>
      </c>
      <c r="AT76" s="28">
        <f>$AL76*怪物属性规划!C$18</f>
        <v>6736</v>
      </c>
      <c r="AU76" s="28">
        <f>$AL76*怪物属性规划!D$18</f>
        <v>5388.8</v>
      </c>
      <c r="AV76" s="28">
        <f>$AL76*怪物属性规划!E$18</f>
        <v>5388.8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48">
        <f>[2]技能伤害!$C71</f>
        <v>1.6800000000000006</v>
      </c>
      <c r="BC76" s="2">
        <f>[2]技能伤害!$N71</f>
        <v>15977</v>
      </c>
      <c r="BD76" s="2">
        <f>[2]技能伤害!$L71</f>
        <v>2565</v>
      </c>
      <c r="BE76" s="48">
        <f t="shared" si="46"/>
        <v>0.4956537217111856</v>
      </c>
      <c r="BF76" s="48">
        <f t="shared" si="47"/>
        <v>0.93602555989299085</v>
      </c>
      <c r="BG76" s="28">
        <f t="shared" si="51"/>
        <v>79736.664540623431</v>
      </c>
      <c r="BH76" s="28">
        <f t="shared" si="52"/>
        <v>861.86365712162717</v>
      </c>
      <c r="BI76" s="28">
        <f t="shared" si="53"/>
        <v>6921.5226240575357</v>
      </c>
      <c r="BJ76" s="49">
        <f t="shared" si="48"/>
        <v>0.6623485075605875</v>
      </c>
      <c r="BK76" s="49">
        <f t="shared" si="49"/>
        <v>373.60897786940677</v>
      </c>
      <c r="BL76" s="49">
        <f t="shared" si="54"/>
        <v>25.845308699434781</v>
      </c>
    </row>
    <row r="77" spans="9:64" x14ac:dyDescent="0.15">
      <c r="I77" s="29">
        <v>70</v>
      </c>
      <c r="J77" s="29">
        <f>[1]属性成长!$D77</f>
        <v>350</v>
      </c>
      <c r="K77" s="27">
        <v>70</v>
      </c>
      <c r="L77" s="27">
        <v>70</v>
      </c>
      <c r="M77" s="27">
        <f t="shared" si="40"/>
        <v>70</v>
      </c>
      <c r="N77" s="27">
        <f t="shared" si="38"/>
        <v>5</v>
      </c>
      <c r="O77" s="27">
        <v>70</v>
      </c>
      <c r="P77" s="27">
        <f t="shared" si="21"/>
        <v>70</v>
      </c>
      <c r="Q77" s="27">
        <f t="shared" si="22"/>
        <v>5</v>
      </c>
      <c r="R77" s="27">
        <f t="shared" si="37"/>
        <v>7</v>
      </c>
      <c r="S77" s="27">
        <v>28</v>
      </c>
      <c r="T77" s="27">
        <v>50</v>
      </c>
      <c r="U77" s="27">
        <f t="shared" si="23"/>
        <v>50</v>
      </c>
      <c r="V77" s="27">
        <f t="shared" si="34"/>
        <v>50</v>
      </c>
      <c r="W77" s="27">
        <f t="shared" si="39"/>
        <v>40</v>
      </c>
      <c r="X77" s="27">
        <f t="shared" si="39"/>
        <v>30</v>
      </c>
      <c r="Y77" s="27">
        <v>70</v>
      </c>
      <c r="Z77" s="27">
        <f t="shared" si="36"/>
        <v>8</v>
      </c>
      <c r="AA77" s="27">
        <f t="shared" si="35"/>
        <v>9</v>
      </c>
      <c r="AB77" s="2">
        <f t="shared" si="41"/>
        <v>380</v>
      </c>
      <c r="AC77" s="28">
        <f t="shared" si="42"/>
        <v>4375.3506447769432</v>
      </c>
      <c r="AD77" s="28">
        <f t="shared" si="43"/>
        <v>3381.1796502493735</v>
      </c>
      <c r="AE77" s="28">
        <f t="shared" si="44"/>
        <v>6272</v>
      </c>
      <c r="AF77" s="28">
        <f>INDEX(圣火属性!$I$3:$I$53,MATCH(T77,圣火属性!$B$3:$B$53,0),1)+INDEX(圣火属性!$J$3:$J$53,MATCH(U77,圣火属性!$B$3:$B$53,0),1)+INDEX(圣火属性!$K$3:$K$53,MATCH(V77,圣火属性!$B$3:$B$53,0),1)+INDEX(圣火属性!$L$3:$L$53,MATCH(W77,圣火属性!$B$3:$B$53,0),1)+INDEX(圣火属性!$M$3:$M$53,MATCH(X77,圣火属性!$B$3:$B$53,0),1)</f>
        <v>2385</v>
      </c>
      <c r="AG77" s="28">
        <f>AA77*VLOOKUP(Z77,神器属性!$B$4:$D$13,3,FALSE)</f>
        <v>3052.7999999999997</v>
      </c>
      <c r="AH77" s="36">
        <f t="shared" si="20"/>
        <v>19846</v>
      </c>
      <c r="AI77" s="36">
        <f>AH77*10*(1+VLOOKUP(Y77,技能效果!$B$2:$D$101,3,FALSE))</f>
        <v>253234.96000000005</v>
      </c>
      <c r="AJ77" s="36">
        <f t="shared" si="45"/>
        <v>7002.4269999999997</v>
      </c>
      <c r="AK77" s="2">
        <v>1</v>
      </c>
      <c r="AL77" s="28">
        <f t="shared" si="50"/>
        <v>7002</v>
      </c>
      <c r="AM77" s="28">
        <f>$AH77/5*[1]战斗预期!C$4</f>
        <v>396920</v>
      </c>
      <c r="AN77" s="28">
        <f>$AH77/5*[1]战斗预期!D$4</f>
        <v>39692</v>
      </c>
      <c r="AO77" s="28">
        <f>$AH77/5*[1]战斗预期!E$4</f>
        <v>19846</v>
      </c>
      <c r="AP77" s="28">
        <f>$AH77/5*[1]战斗预期!F$4</f>
        <v>15876.8</v>
      </c>
      <c r="AQ77" s="28">
        <f>$AH77/5*[1]战斗预期!G$4</f>
        <v>15876.8</v>
      </c>
      <c r="AR77" s="28">
        <f>$AL77*怪物属性规划!A$18*怪物属性等级系数!A71</f>
        <v>99984.128337179573</v>
      </c>
      <c r="AS77" s="28">
        <f>$AL77*怪物属性规划!B$18</f>
        <v>7002</v>
      </c>
      <c r="AT77" s="28">
        <f>$AL77*怪物属性规划!C$18</f>
        <v>7002</v>
      </c>
      <c r="AU77" s="28">
        <f>$AL77*怪物属性规划!D$18</f>
        <v>5601.6</v>
      </c>
      <c r="AV77" s="28">
        <f>$AL77*怪物属性规划!E$18</f>
        <v>5601.6</v>
      </c>
      <c r="AW77" s="28">
        <v>0</v>
      </c>
      <c r="AX77" s="28">
        <v>0</v>
      </c>
      <c r="AY77" s="28">
        <v>0</v>
      </c>
      <c r="AZ77" s="28">
        <v>0</v>
      </c>
      <c r="BA77" s="28">
        <v>0</v>
      </c>
      <c r="BB77" s="48">
        <f>[2]技能伤害!$C72</f>
        <v>1.6900000000000006</v>
      </c>
      <c r="BC77" s="2">
        <f>[2]技能伤害!$N72</f>
        <v>16809</v>
      </c>
      <c r="BD77" s="2">
        <f>[2]技能伤害!$L72</f>
        <v>2684</v>
      </c>
      <c r="BE77" s="48">
        <f t="shared" si="46"/>
        <v>0.49264546180446284</v>
      </c>
      <c r="BF77" s="48">
        <f t="shared" si="47"/>
        <v>0.94516301895145671</v>
      </c>
      <c r="BG77" s="28">
        <f t="shared" si="51"/>
        <v>102796.33319559357</v>
      </c>
      <c r="BH77" s="28">
        <f t="shared" si="52"/>
        <v>767.93708260380015</v>
      </c>
      <c r="BI77" s="28">
        <f t="shared" si="53"/>
        <v>7356.8723470122795</v>
      </c>
      <c r="BJ77" s="49">
        <f t="shared" si="48"/>
        <v>0.54035719211316002</v>
      </c>
      <c r="BK77" s="49">
        <f t="shared" si="49"/>
        <v>516.86526017754761</v>
      </c>
      <c r="BL77" s="49">
        <f t="shared" si="54"/>
        <v>29.973486110665423</v>
      </c>
    </row>
    <row r="78" spans="9:64" x14ac:dyDescent="0.15">
      <c r="I78" s="29">
        <v>71</v>
      </c>
      <c r="J78" s="29">
        <f>[1]属性成长!$D78</f>
        <v>355</v>
      </c>
      <c r="K78" s="27">
        <v>71</v>
      </c>
      <c r="L78" s="27">
        <v>71</v>
      </c>
      <c r="M78" s="27">
        <f t="shared" si="40"/>
        <v>70</v>
      </c>
      <c r="N78" s="27">
        <f t="shared" si="38"/>
        <v>5</v>
      </c>
      <c r="O78" s="27">
        <v>71</v>
      </c>
      <c r="P78" s="27">
        <f t="shared" si="21"/>
        <v>70</v>
      </c>
      <c r="Q78" s="27">
        <f t="shared" si="22"/>
        <v>5</v>
      </c>
      <c r="R78" s="27">
        <f t="shared" si="37"/>
        <v>7</v>
      </c>
      <c r="S78" s="27">
        <v>28</v>
      </c>
      <c r="T78" s="27">
        <v>50</v>
      </c>
      <c r="U78" s="27">
        <f t="shared" si="23"/>
        <v>50</v>
      </c>
      <c r="V78" s="27">
        <f t="shared" si="34"/>
        <v>50</v>
      </c>
      <c r="W78" s="27">
        <f t="shared" si="39"/>
        <v>41</v>
      </c>
      <c r="X78" s="27">
        <f t="shared" si="39"/>
        <v>31</v>
      </c>
      <c r="Y78" s="27">
        <v>71</v>
      </c>
      <c r="Z78" s="27">
        <f t="shared" si="36"/>
        <v>8</v>
      </c>
      <c r="AA78" s="27">
        <f t="shared" si="35"/>
        <v>9</v>
      </c>
      <c r="AB78" s="2">
        <f t="shared" si="41"/>
        <v>385</v>
      </c>
      <c r="AC78" s="28">
        <f t="shared" si="42"/>
        <v>4404.2395336658319</v>
      </c>
      <c r="AD78" s="28">
        <f t="shared" si="43"/>
        <v>3404.2907613604848</v>
      </c>
      <c r="AE78" s="28">
        <f t="shared" si="44"/>
        <v>6272</v>
      </c>
      <c r="AF78" s="28">
        <f>INDEX(圣火属性!$I$3:$I$53,MATCH(T78,圣火属性!$B$3:$B$53,0),1)+INDEX(圣火属性!$J$3:$J$53,MATCH(U78,圣火属性!$B$3:$B$53,0),1)+INDEX(圣火属性!$K$3:$K$53,MATCH(V78,圣火属性!$B$3:$B$53,0),1)+INDEX(圣火属性!$L$3:$L$53,MATCH(W78,圣火属性!$B$3:$B$53,0),1)+INDEX(圣火属性!$M$3:$M$53,MATCH(X78,圣火属性!$B$3:$B$53,0),1)</f>
        <v>2424</v>
      </c>
      <c r="AG78" s="28">
        <f>AA78*VLOOKUP(Z78,神器属性!$B$4:$D$13,3,FALSE)</f>
        <v>3052.7999999999997</v>
      </c>
      <c r="AH78" s="36">
        <f t="shared" si="20"/>
        <v>19942</v>
      </c>
      <c r="AI78" s="36">
        <f>AH78*10*(1+VLOOKUP(Y78,技能效果!$B$2:$D$101,3,FALSE))</f>
        <v>255257.60000000006</v>
      </c>
      <c r="AJ78" s="36">
        <f t="shared" si="45"/>
        <v>7275.519299999999</v>
      </c>
      <c r="AK78" s="2">
        <v>1</v>
      </c>
      <c r="AL78" s="28">
        <f t="shared" si="50"/>
        <v>7276</v>
      </c>
      <c r="AM78" s="28">
        <f>$AH78/5*[1]战斗预期!C$4</f>
        <v>398840</v>
      </c>
      <c r="AN78" s="28">
        <f>$AH78/5*[1]战斗预期!D$4</f>
        <v>39884</v>
      </c>
      <c r="AO78" s="28">
        <f>$AH78/5*[1]战斗预期!E$4</f>
        <v>19942</v>
      </c>
      <c r="AP78" s="28">
        <f>$AH78/5*[1]战斗预期!F$4</f>
        <v>15953.6</v>
      </c>
      <c r="AQ78" s="28">
        <f>$AH78/5*[1]战斗预期!G$4</f>
        <v>15953.6</v>
      </c>
      <c r="AR78" s="28">
        <f>$AL78*怪物属性规划!A$18*怪物属性等级系数!A72</f>
        <v>105149.41772487451</v>
      </c>
      <c r="AS78" s="28">
        <f>$AL78*怪物属性规划!B$18</f>
        <v>7276</v>
      </c>
      <c r="AT78" s="28">
        <f>$AL78*怪物属性规划!C$18</f>
        <v>7276</v>
      </c>
      <c r="AU78" s="28">
        <f>$AL78*怪物属性规划!D$18</f>
        <v>5820.8</v>
      </c>
      <c r="AV78" s="28">
        <f>$AL78*怪物属性规划!E$18</f>
        <v>5820.8</v>
      </c>
      <c r="AW78" s="28">
        <v>0</v>
      </c>
      <c r="AX78" s="28">
        <v>0</v>
      </c>
      <c r="AY78" s="28">
        <v>0</v>
      </c>
      <c r="AZ78" s="28">
        <v>0</v>
      </c>
      <c r="BA78" s="28">
        <v>0</v>
      </c>
      <c r="BB78" s="48">
        <f>[2]技能伤害!$C73</f>
        <v>1.7000000000000006</v>
      </c>
      <c r="BC78" s="2">
        <f>[2]技能伤害!$N73</f>
        <v>17678</v>
      </c>
      <c r="BD78" s="2">
        <f>[2]技能伤害!$L73</f>
        <v>2695</v>
      </c>
      <c r="BE78" s="48">
        <f t="shared" si="46"/>
        <v>0.48964115548313969</v>
      </c>
      <c r="BF78" s="48">
        <f t="shared" si="47"/>
        <v>0.94520113251608973</v>
      </c>
      <c r="BG78" s="28">
        <f t="shared" si="51"/>
        <v>103659.03732601559</v>
      </c>
      <c r="BH78" s="28">
        <f t="shared" si="52"/>
        <v>797.43311962586233</v>
      </c>
      <c r="BI78" s="28">
        <f t="shared" si="53"/>
        <v>7431.0333044761464</v>
      </c>
      <c r="BJ78" s="49">
        <f t="shared" si="48"/>
        <v>0.56354317662397324</v>
      </c>
      <c r="BK78" s="49">
        <f t="shared" si="49"/>
        <v>500.15479691529083</v>
      </c>
      <c r="BL78" s="49">
        <f t="shared" si="54"/>
        <v>29.81789593707089</v>
      </c>
    </row>
    <row r="79" spans="9:64" x14ac:dyDescent="0.15">
      <c r="I79" s="29">
        <v>72</v>
      </c>
      <c r="J79" s="29">
        <f>[1]属性成长!$D79</f>
        <v>360</v>
      </c>
      <c r="K79" s="27">
        <v>72</v>
      </c>
      <c r="L79" s="27">
        <v>72</v>
      </c>
      <c r="M79" s="27">
        <f t="shared" si="40"/>
        <v>70</v>
      </c>
      <c r="N79" s="27">
        <f t="shared" si="38"/>
        <v>5</v>
      </c>
      <c r="O79" s="27">
        <v>72</v>
      </c>
      <c r="P79" s="27">
        <f t="shared" si="21"/>
        <v>70</v>
      </c>
      <c r="Q79" s="27">
        <f t="shared" si="22"/>
        <v>5</v>
      </c>
      <c r="R79" s="27">
        <f t="shared" si="37"/>
        <v>7</v>
      </c>
      <c r="S79" s="27">
        <v>28</v>
      </c>
      <c r="T79" s="27">
        <v>50</v>
      </c>
      <c r="U79" s="27">
        <f t="shared" si="23"/>
        <v>50</v>
      </c>
      <c r="V79" s="27">
        <f t="shared" si="34"/>
        <v>50</v>
      </c>
      <c r="W79" s="27">
        <f t="shared" si="39"/>
        <v>42</v>
      </c>
      <c r="X79" s="27">
        <f t="shared" si="39"/>
        <v>32</v>
      </c>
      <c r="Y79" s="27">
        <v>72</v>
      </c>
      <c r="Z79" s="27">
        <f t="shared" si="36"/>
        <v>8</v>
      </c>
      <c r="AA79" s="27">
        <f t="shared" si="35"/>
        <v>9</v>
      </c>
      <c r="AB79" s="2">
        <f t="shared" si="41"/>
        <v>390</v>
      </c>
      <c r="AC79" s="28">
        <f t="shared" si="42"/>
        <v>4433.1284225547206</v>
      </c>
      <c r="AD79" s="28">
        <f t="shared" si="43"/>
        <v>3427.4018724715957</v>
      </c>
      <c r="AE79" s="28">
        <f t="shared" si="44"/>
        <v>6272</v>
      </c>
      <c r="AF79" s="28">
        <f>INDEX(圣火属性!$I$3:$I$53,MATCH(T79,圣火属性!$B$3:$B$53,0),1)+INDEX(圣火属性!$J$3:$J$53,MATCH(U79,圣火属性!$B$3:$B$53,0),1)+INDEX(圣火属性!$K$3:$K$53,MATCH(V79,圣火属性!$B$3:$B$53,0),1)+INDEX(圣火属性!$L$3:$L$53,MATCH(W79,圣火属性!$B$3:$B$53,0),1)+INDEX(圣火属性!$M$3:$M$53,MATCH(X79,圣火属性!$B$3:$B$53,0),1)</f>
        <v>2463</v>
      </c>
      <c r="AG79" s="28">
        <f>AA79*VLOOKUP(Z79,神器属性!$B$4:$D$13,3,FALSE)</f>
        <v>3052.7999999999997</v>
      </c>
      <c r="AH79" s="36">
        <f t="shared" si="20"/>
        <v>20038</v>
      </c>
      <c r="AI79" s="36">
        <f>AH79*10*(1+VLOOKUP(Y79,技能效果!$B$2:$D$101,3,FALSE))</f>
        <v>257287.92000000004</v>
      </c>
      <c r="AJ79" s="36">
        <f t="shared" si="45"/>
        <v>7555.8553999999995</v>
      </c>
      <c r="AK79" s="2">
        <v>1</v>
      </c>
      <c r="AL79" s="28">
        <f t="shared" si="50"/>
        <v>7556</v>
      </c>
      <c r="AM79" s="28">
        <f>$AH79/5*[1]战斗预期!C$4</f>
        <v>400760</v>
      </c>
      <c r="AN79" s="28">
        <f>$AH79/5*[1]战斗预期!D$4</f>
        <v>40076</v>
      </c>
      <c r="AO79" s="28">
        <f>$AH79/5*[1]战斗预期!E$4</f>
        <v>20038</v>
      </c>
      <c r="AP79" s="28">
        <f>$AH79/5*[1]战斗预期!F$4</f>
        <v>16030.4</v>
      </c>
      <c r="AQ79" s="28">
        <f>$AH79/5*[1]战斗预期!G$4</f>
        <v>16030.4</v>
      </c>
      <c r="AR79" s="28">
        <f>$AL79*怪物属性规划!A$18*怪物属性等级系数!A73</f>
        <v>110463.5591435588</v>
      </c>
      <c r="AS79" s="28">
        <f>$AL79*怪物属性规划!B$18</f>
        <v>7556</v>
      </c>
      <c r="AT79" s="28">
        <f>$AL79*怪物属性规划!C$18</f>
        <v>7556</v>
      </c>
      <c r="AU79" s="28">
        <f>$AL79*怪物属性规划!D$18</f>
        <v>6044.8</v>
      </c>
      <c r="AV79" s="28">
        <f>$AL79*怪物属性规划!E$18</f>
        <v>6044.8</v>
      </c>
      <c r="AW79" s="28">
        <v>0</v>
      </c>
      <c r="AX79" s="28">
        <v>0</v>
      </c>
      <c r="AY79" s="28">
        <v>0</v>
      </c>
      <c r="AZ79" s="28">
        <v>0</v>
      </c>
      <c r="BA79" s="28">
        <v>0</v>
      </c>
      <c r="BB79" s="48">
        <f>[2]技能伤害!$C74</f>
        <v>1.7100000000000006</v>
      </c>
      <c r="BC79" s="2">
        <f>[2]技能伤害!$N74</f>
        <v>18580</v>
      </c>
      <c r="BD79" s="2">
        <f>[2]技能伤害!$L74</f>
        <v>2707</v>
      </c>
      <c r="BE79" s="48">
        <f t="shared" si="46"/>
        <v>0.48664182363162578</v>
      </c>
      <c r="BF79" s="48">
        <f t="shared" si="47"/>
        <v>0.94521975557403937</v>
      </c>
      <c r="BG79" s="28">
        <f t="shared" si="51"/>
        <v>104511.58258439531</v>
      </c>
      <c r="BH79" s="28">
        <f t="shared" si="52"/>
        <v>827.83905376511711</v>
      </c>
      <c r="BI79" s="28">
        <f t="shared" si="53"/>
        <v>7508.1759186026129</v>
      </c>
      <c r="BJ79" s="49">
        <f t="shared" si="48"/>
        <v>0.58719466733830483</v>
      </c>
      <c r="BK79" s="49">
        <f t="shared" si="49"/>
        <v>484.10376168808739</v>
      </c>
      <c r="BL79" s="49">
        <f t="shared" si="54"/>
        <v>29.653599870084289</v>
      </c>
    </row>
    <row r="80" spans="9:64" x14ac:dyDescent="0.15">
      <c r="I80" s="29">
        <v>73</v>
      </c>
      <c r="J80" s="29">
        <f>[1]属性成长!$D80</f>
        <v>365</v>
      </c>
      <c r="K80" s="27">
        <v>73</v>
      </c>
      <c r="L80" s="27">
        <v>73</v>
      </c>
      <c r="M80" s="27">
        <f t="shared" si="40"/>
        <v>70</v>
      </c>
      <c r="N80" s="27">
        <f t="shared" si="38"/>
        <v>5</v>
      </c>
      <c r="O80" s="27">
        <v>73</v>
      </c>
      <c r="P80" s="27">
        <f t="shared" si="21"/>
        <v>70</v>
      </c>
      <c r="Q80" s="27">
        <f t="shared" si="22"/>
        <v>5</v>
      </c>
      <c r="R80" s="27">
        <f t="shared" si="37"/>
        <v>7</v>
      </c>
      <c r="S80" s="27">
        <v>28</v>
      </c>
      <c r="T80" s="27">
        <v>50</v>
      </c>
      <c r="U80" s="27">
        <f t="shared" si="23"/>
        <v>50</v>
      </c>
      <c r="V80" s="27">
        <f t="shared" si="34"/>
        <v>50</v>
      </c>
      <c r="W80" s="27">
        <f t="shared" si="39"/>
        <v>43</v>
      </c>
      <c r="X80" s="27">
        <f t="shared" si="39"/>
        <v>33</v>
      </c>
      <c r="Y80" s="27">
        <v>73</v>
      </c>
      <c r="Z80" s="27">
        <f t="shared" si="36"/>
        <v>8</v>
      </c>
      <c r="AA80" s="27">
        <f t="shared" si="35"/>
        <v>9</v>
      </c>
      <c r="AB80" s="2">
        <f t="shared" si="41"/>
        <v>395</v>
      </c>
      <c r="AC80" s="28">
        <f t="shared" si="42"/>
        <v>4462.0173114436093</v>
      </c>
      <c r="AD80" s="28">
        <f t="shared" si="43"/>
        <v>3450.5129835827065</v>
      </c>
      <c r="AE80" s="28">
        <f t="shared" si="44"/>
        <v>6272</v>
      </c>
      <c r="AF80" s="28">
        <f>INDEX(圣火属性!$I$3:$I$53,MATCH(T80,圣火属性!$B$3:$B$53,0),1)+INDEX(圣火属性!$J$3:$J$53,MATCH(U80,圣火属性!$B$3:$B$53,0),1)+INDEX(圣火属性!$K$3:$K$53,MATCH(V80,圣火属性!$B$3:$B$53,0),1)+INDEX(圣火属性!$L$3:$L$53,MATCH(W80,圣火属性!$B$3:$B$53,0),1)+INDEX(圣火属性!$M$3:$M$53,MATCH(X80,圣火属性!$B$3:$B$53,0),1)</f>
        <v>2502</v>
      </c>
      <c r="AG80" s="28">
        <f>AA80*VLOOKUP(Z80,神器属性!$B$4:$D$13,3,FALSE)</f>
        <v>3052.7999999999997</v>
      </c>
      <c r="AH80" s="36">
        <f t="shared" si="20"/>
        <v>20134</v>
      </c>
      <c r="AI80" s="36">
        <f>AH80*10*(1+VLOOKUP(Y80,技能效果!$B$2:$D$101,3,FALSE))</f>
        <v>259325.92000000004</v>
      </c>
      <c r="AJ80" s="36">
        <f t="shared" si="45"/>
        <v>7843.5330999999996</v>
      </c>
      <c r="AK80" s="2">
        <v>1</v>
      </c>
      <c r="AL80" s="28">
        <f t="shared" si="50"/>
        <v>7844</v>
      </c>
      <c r="AM80" s="28">
        <f>$AH80/5*[1]战斗预期!C$4</f>
        <v>402680</v>
      </c>
      <c r="AN80" s="28">
        <f>$AH80/5*[1]战斗预期!D$4</f>
        <v>40268</v>
      </c>
      <c r="AO80" s="28">
        <f>$AH80/5*[1]战斗预期!E$4</f>
        <v>20134</v>
      </c>
      <c r="AP80" s="28">
        <f>$AH80/5*[1]战斗预期!F$4</f>
        <v>16107.2</v>
      </c>
      <c r="AQ80" s="28">
        <f>$AH80/5*[1]战斗预期!G$4</f>
        <v>16107.2</v>
      </c>
      <c r="AR80" s="28">
        <f>$AL80*怪物属性规划!A$18*怪物属性等级系数!A74</f>
        <v>116031.36278840313</v>
      </c>
      <c r="AS80" s="28">
        <f>$AL80*怪物属性规划!B$18</f>
        <v>7844</v>
      </c>
      <c r="AT80" s="28">
        <f>$AL80*怪物属性规划!C$18</f>
        <v>7844</v>
      </c>
      <c r="AU80" s="28">
        <f>$AL80*怪物属性规划!D$18</f>
        <v>6275.2000000000007</v>
      </c>
      <c r="AV80" s="28">
        <f>$AL80*怪物属性规划!E$18</f>
        <v>6275.2000000000007</v>
      </c>
      <c r="AW80" s="28">
        <v>0</v>
      </c>
      <c r="AX80" s="28">
        <v>0</v>
      </c>
      <c r="AY80" s="28">
        <v>0</v>
      </c>
      <c r="AZ80" s="28">
        <v>0</v>
      </c>
      <c r="BA80" s="28">
        <v>0</v>
      </c>
      <c r="BB80" s="48">
        <f>[2]技能伤害!$C75</f>
        <v>1.7200000000000006</v>
      </c>
      <c r="BC80" s="2">
        <f>[2]技能伤害!$N75</f>
        <v>19521</v>
      </c>
      <c r="BD80" s="2">
        <f>[2]技能伤害!$L75</f>
        <v>2718</v>
      </c>
      <c r="BE80" s="48">
        <f t="shared" si="46"/>
        <v>0.48364495157970439</v>
      </c>
      <c r="BF80" s="48">
        <f t="shared" si="47"/>
        <v>0.94525723964040975</v>
      </c>
      <c r="BG80" s="28">
        <f t="shared" si="51"/>
        <v>105348.57270887237</v>
      </c>
      <c r="BH80" s="28">
        <f t="shared" si="52"/>
        <v>858.8044245212518</v>
      </c>
      <c r="BI80" s="28">
        <f t="shared" si="53"/>
        <v>7583.0722711103335</v>
      </c>
      <c r="BJ80" s="49">
        <f t="shared" si="48"/>
        <v>0.61189123457721606</v>
      </c>
      <c r="BK80" s="49">
        <f t="shared" si="49"/>
        <v>468.88440313343466</v>
      </c>
      <c r="BL80" s="49">
        <f t="shared" si="54"/>
        <v>29.501381908675221</v>
      </c>
    </row>
    <row r="81" spans="9:64" x14ac:dyDescent="0.15">
      <c r="I81" s="29">
        <v>74</v>
      </c>
      <c r="J81" s="29">
        <f>[1]属性成长!$D81</f>
        <v>370</v>
      </c>
      <c r="K81" s="27">
        <v>74</v>
      </c>
      <c r="L81" s="27">
        <v>74</v>
      </c>
      <c r="M81" s="27">
        <f t="shared" si="40"/>
        <v>70</v>
      </c>
      <c r="N81" s="27">
        <f t="shared" si="38"/>
        <v>5</v>
      </c>
      <c r="O81" s="27">
        <v>74</v>
      </c>
      <c r="P81" s="27">
        <f t="shared" si="21"/>
        <v>70</v>
      </c>
      <c r="Q81" s="27">
        <f t="shared" si="22"/>
        <v>5</v>
      </c>
      <c r="R81" s="27">
        <f t="shared" si="37"/>
        <v>7</v>
      </c>
      <c r="S81" s="27">
        <v>28</v>
      </c>
      <c r="T81" s="27">
        <v>50</v>
      </c>
      <c r="U81" s="27">
        <f t="shared" si="23"/>
        <v>50</v>
      </c>
      <c r="V81" s="27">
        <f t="shared" si="34"/>
        <v>50</v>
      </c>
      <c r="W81" s="27">
        <f t="shared" si="39"/>
        <v>44</v>
      </c>
      <c r="X81" s="27">
        <f t="shared" si="39"/>
        <v>34</v>
      </c>
      <c r="Y81" s="27">
        <v>74</v>
      </c>
      <c r="Z81" s="27">
        <f t="shared" si="36"/>
        <v>8</v>
      </c>
      <c r="AA81" s="27">
        <f t="shared" si="35"/>
        <v>9</v>
      </c>
      <c r="AB81" s="2">
        <f t="shared" si="41"/>
        <v>400</v>
      </c>
      <c r="AC81" s="28">
        <f t="shared" si="42"/>
        <v>4490.906200332498</v>
      </c>
      <c r="AD81" s="28">
        <f t="shared" si="43"/>
        <v>3473.6240946938178</v>
      </c>
      <c r="AE81" s="28">
        <f t="shared" si="44"/>
        <v>6272</v>
      </c>
      <c r="AF81" s="28">
        <f>INDEX(圣火属性!$I$3:$I$53,MATCH(T81,圣火属性!$B$3:$B$53,0),1)+INDEX(圣火属性!$J$3:$J$53,MATCH(U81,圣火属性!$B$3:$B$53,0),1)+INDEX(圣火属性!$K$3:$K$53,MATCH(V81,圣火属性!$B$3:$B$53,0),1)+INDEX(圣火属性!$L$3:$L$53,MATCH(W81,圣火属性!$B$3:$B$53,0),1)+INDEX(圣火属性!$M$3:$M$53,MATCH(X81,圣火属性!$B$3:$B$53,0),1)</f>
        <v>2541</v>
      </c>
      <c r="AG81" s="28">
        <f>AA81*VLOOKUP(Z81,神器属性!$B$4:$D$13,3,FALSE)</f>
        <v>3052.7999999999997</v>
      </c>
      <c r="AH81" s="36">
        <f t="shared" si="20"/>
        <v>20230</v>
      </c>
      <c r="AI81" s="36">
        <f>AH81*10*(1+VLOOKUP(Y81,技能效果!$B$2:$D$101,3,FALSE))</f>
        <v>261371.60000000006</v>
      </c>
      <c r="AJ81" s="36">
        <f t="shared" si="45"/>
        <v>8138.6501999999991</v>
      </c>
      <c r="AK81" s="2">
        <v>1</v>
      </c>
      <c r="AL81" s="28">
        <f t="shared" si="50"/>
        <v>8139</v>
      </c>
      <c r="AM81" s="28">
        <f>$AH81/5*[1]战斗预期!C$4</f>
        <v>404600</v>
      </c>
      <c r="AN81" s="28">
        <f>$AH81/5*[1]战斗预期!D$4</f>
        <v>40460</v>
      </c>
      <c r="AO81" s="28">
        <f>$AH81/5*[1]战斗预期!E$4</f>
        <v>20230</v>
      </c>
      <c r="AP81" s="28">
        <f>$AH81/5*[1]战斗预期!F$4</f>
        <v>16184</v>
      </c>
      <c r="AQ81" s="28">
        <f>$AH81/5*[1]战斗预期!G$4</f>
        <v>16184</v>
      </c>
      <c r="AR81" s="28">
        <f>$AL81*怪物属性规划!A$18*怪物属性等级系数!A75</f>
        <v>121784.79561462079</v>
      </c>
      <c r="AS81" s="28">
        <f>$AL81*怪物属性规划!B$18</f>
        <v>8139</v>
      </c>
      <c r="AT81" s="28">
        <f>$AL81*怪物属性规划!C$18</f>
        <v>8139</v>
      </c>
      <c r="AU81" s="28">
        <f>$AL81*怪物属性规划!D$18</f>
        <v>6511.2000000000007</v>
      </c>
      <c r="AV81" s="28">
        <f>$AL81*怪物属性规划!E$18</f>
        <v>6511.2000000000007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48">
        <f>[2]技能伤害!$C76</f>
        <v>1.7300000000000006</v>
      </c>
      <c r="BC81" s="2">
        <f>[2]技能伤害!$N76</f>
        <v>20501</v>
      </c>
      <c r="BD81" s="2">
        <f>[2]技能伤害!$L76</f>
        <v>2730</v>
      </c>
      <c r="BE81" s="48">
        <f t="shared" si="46"/>
        <v>0.48063269900328504</v>
      </c>
      <c r="BF81" s="48">
        <f t="shared" si="47"/>
        <v>0.94527542185777702</v>
      </c>
      <c r="BG81" s="28">
        <f t="shared" si="51"/>
        <v>106174.94745421177</v>
      </c>
      <c r="BH81" s="28">
        <f t="shared" si="52"/>
        <v>890.80668299910565</v>
      </c>
      <c r="BI81" s="28">
        <f t="shared" si="53"/>
        <v>7660.9812534548264</v>
      </c>
      <c r="BJ81" s="49">
        <f t="shared" si="48"/>
        <v>0.63723337197862262</v>
      </c>
      <c r="BK81" s="49">
        <f t="shared" si="49"/>
        <v>454.19506580015883</v>
      </c>
      <c r="BL81" s="49">
        <f t="shared" si="54"/>
        <v>29.340598852974757</v>
      </c>
    </row>
    <row r="82" spans="9:64" x14ac:dyDescent="0.15">
      <c r="I82" s="29">
        <v>75</v>
      </c>
      <c r="J82" s="29">
        <f>[1]属性成长!$D82</f>
        <v>375</v>
      </c>
      <c r="K82" s="27">
        <v>75</v>
      </c>
      <c r="L82" s="27">
        <v>75</v>
      </c>
      <c r="M82" s="27">
        <f t="shared" si="40"/>
        <v>75</v>
      </c>
      <c r="N82" s="27">
        <f t="shared" si="38"/>
        <v>5</v>
      </c>
      <c r="O82" s="27">
        <v>75</v>
      </c>
      <c r="P82" s="27">
        <f t="shared" si="21"/>
        <v>75</v>
      </c>
      <c r="Q82" s="27">
        <f t="shared" si="22"/>
        <v>5</v>
      </c>
      <c r="R82" s="27">
        <f t="shared" si="37"/>
        <v>8</v>
      </c>
      <c r="S82" s="27">
        <v>28</v>
      </c>
      <c r="T82" s="27">
        <v>50</v>
      </c>
      <c r="U82" s="27">
        <f t="shared" si="23"/>
        <v>50</v>
      </c>
      <c r="V82" s="27">
        <f t="shared" si="34"/>
        <v>50</v>
      </c>
      <c r="W82" s="27">
        <f t="shared" si="39"/>
        <v>45</v>
      </c>
      <c r="X82" s="27">
        <f t="shared" si="39"/>
        <v>35</v>
      </c>
      <c r="Y82" s="27">
        <v>75</v>
      </c>
      <c r="Z82" s="27">
        <f t="shared" si="36"/>
        <v>9</v>
      </c>
      <c r="AA82" s="27">
        <f t="shared" si="35"/>
        <v>10</v>
      </c>
      <c r="AB82" s="2">
        <f t="shared" si="41"/>
        <v>405</v>
      </c>
      <c r="AC82" s="28">
        <f t="shared" si="42"/>
        <v>4726.1223233767832</v>
      </c>
      <c r="AD82" s="28">
        <f t="shared" si="43"/>
        <v>3655.591742532587</v>
      </c>
      <c r="AE82" s="28">
        <f t="shared" si="44"/>
        <v>8711.1111111111113</v>
      </c>
      <c r="AF82" s="28">
        <f>INDEX(圣火属性!$I$3:$I$53,MATCH(T82,圣火属性!$B$3:$B$53,0),1)+INDEX(圣火属性!$J$3:$J$53,MATCH(U82,圣火属性!$B$3:$B$53,0),1)+INDEX(圣火属性!$K$3:$K$53,MATCH(V82,圣火属性!$B$3:$B$53,0),1)+INDEX(圣火属性!$L$3:$L$53,MATCH(W82,圣火属性!$B$3:$B$53,0),1)+INDEX(圣火属性!$M$3:$M$53,MATCH(X82,圣火属性!$B$3:$B$53,0),1)</f>
        <v>2580</v>
      </c>
      <c r="AG82" s="28">
        <f>AA82*VLOOKUP(Z82,神器属性!$B$4:$D$13,3,FALSE)</f>
        <v>3816</v>
      </c>
      <c r="AH82" s="36">
        <f t="shared" si="20"/>
        <v>23894</v>
      </c>
      <c r="AI82" s="36">
        <f>AH82*10*(1+VLOOKUP(Y82,技能效果!$B$2:$D$101,3,FALSE))</f>
        <v>309666.24000000005</v>
      </c>
      <c r="AJ82" s="36">
        <f t="shared" si="45"/>
        <v>8441.3044999999984</v>
      </c>
      <c r="AK82" s="2">
        <v>1</v>
      </c>
      <c r="AL82" s="28">
        <f t="shared" si="50"/>
        <v>8441</v>
      </c>
      <c r="AM82" s="28">
        <f>$AH82/5*[1]战斗预期!C$4</f>
        <v>477880</v>
      </c>
      <c r="AN82" s="28">
        <f>$AH82/5*[1]战斗预期!D$4</f>
        <v>47788</v>
      </c>
      <c r="AO82" s="28">
        <f>$AH82/5*[1]战斗预期!E$4</f>
        <v>23894</v>
      </c>
      <c r="AP82" s="28">
        <f>$AH82/5*[1]战斗预期!F$4</f>
        <v>19115.2</v>
      </c>
      <c r="AQ82" s="28">
        <f>$AH82/5*[1]战斗预期!G$4</f>
        <v>19115.2</v>
      </c>
      <c r="AR82" s="28">
        <f>$AL82*怪物属性规划!A$18*怪物属性等级系数!A76</f>
        <v>127771.34924276933</v>
      </c>
      <c r="AS82" s="28">
        <f>$AL82*怪物属性规划!B$18</f>
        <v>8441</v>
      </c>
      <c r="AT82" s="28">
        <f>$AL82*怪物属性规划!C$18</f>
        <v>8441</v>
      </c>
      <c r="AU82" s="28">
        <f>$AL82*怪物属性规划!D$18</f>
        <v>6752.8</v>
      </c>
      <c r="AV82" s="28">
        <f>$AL82*怪物属性规划!E$18</f>
        <v>6752.8</v>
      </c>
      <c r="AW82" s="28">
        <v>0</v>
      </c>
      <c r="AX82" s="28">
        <v>0</v>
      </c>
      <c r="AY82" s="28">
        <v>0</v>
      </c>
      <c r="AZ82" s="28">
        <v>0</v>
      </c>
      <c r="BA82" s="28">
        <v>0</v>
      </c>
      <c r="BB82" s="48">
        <f>[2]技能伤害!$C77</f>
        <v>1.7400000000000007</v>
      </c>
      <c r="BC82" s="2">
        <f>[2]技能伤害!$N77</f>
        <v>21519</v>
      </c>
      <c r="BD82" s="2">
        <f>[2]技能伤害!$L77</f>
        <v>2841</v>
      </c>
      <c r="BE82" s="48">
        <f t="shared" si="46"/>
        <v>0.47763066220229217</v>
      </c>
      <c r="BF82" s="48">
        <f t="shared" si="47"/>
        <v>0.95146739774702038</v>
      </c>
      <c r="BG82" s="28">
        <f t="shared" si="51"/>
        <v>129892.34298307555</v>
      </c>
      <c r="BH82" s="28">
        <f t="shared" si="52"/>
        <v>819.32739123480189</v>
      </c>
      <c r="BI82" s="28">
        <f t="shared" si="53"/>
        <v>8071.0804676995604</v>
      </c>
      <c r="BJ82" s="49">
        <f t="shared" si="48"/>
        <v>0.54648396727972304</v>
      </c>
      <c r="BK82" s="49">
        <f t="shared" si="49"/>
        <v>583.25890860281231</v>
      </c>
      <c r="BL82" s="49">
        <f t="shared" si="54"/>
        <v>32.893847354313294</v>
      </c>
    </row>
    <row r="83" spans="9:64" x14ac:dyDescent="0.15">
      <c r="I83" s="29">
        <v>76</v>
      </c>
      <c r="J83" s="29">
        <f>[1]属性成长!$D83</f>
        <v>380</v>
      </c>
      <c r="K83" s="27">
        <v>76</v>
      </c>
      <c r="L83" s="27">
        <v>76</v>
      </c>
      <c r="M83" s="27">
        <f t="shared" si="40"/>
        <v>75</v>
      </c>
      <c r="N83" s="27">
        <f t="shared" si="38"/>
        <v>5</v>
      </c>
      <c r="O83" s="27">
        <v>76</v>
      </c>
      <c r="P83" s="27">
        <f t="shared" si="21"/>
        <v>75</v>
      </c>
      <c r="Q83" s="27">
        <f t="shared" si="22"/>
        <v>5</v>
      </c>
      <c r="R83" s="27">
        <f t="shared" si="37"/>
        <v>8</v>
      </c>
      <c r="S83" s="27">
        <v>28</v>
      </c>
      <c r="T83" s="27">
        <v>50</v>
      </c>
      <c r="U83" s="27">
        <f t="shared" si="23"/>
        <v>50</v>
      </c>
      <c r="V83" s="27">
        <f t="shared" si="34"/>
        <v>50</v>
      </c>
      <c r="W83" s="27">
        <f t="shared" si="39"/>
        <v>46</v>
      </c>
      <c r="X83" s="27">
        <f t="shared" si="39"/>
        <v>36</v>
      </c>
      <c r="Y83" s="27">
        <v>76</v>
      </c>
      <c r="Z83" s="27">
        <f t="shared" si="36"/>
        <v>9</v>
      </c>
      <c r="AA83" s="27">
        <f t="shared" si="35"/>
        <v>10</v>
      </c>
      <c r="AB83" s="2">
        <f t="shared" si="41"/>
        <v>410</v>
      </c>
      <c r="AC83" s="28">
        <f t="shared" si="42"/>
        <v>4756.1223233767832</v>
      </c>
      <c r="AD83" s="28">
        <f t="shared" si="43"/>
        <v>3679.591742532587</v>
      </c>
      <c r="AE83" s="28">
        <f t="shared" si="44"/>
        <v>8711.1111111111113</v>
      </c>
      <c r="AF83" s="28">
        <f>INDEX(圣火属性!$I$3:$I$53,MATCH(T83,圣火属性!$B$3:$B$53,0),1)+INDEX(圣火属性!$J$3:$J$53,MATCH(U83,圣火属性!$B$3:$B$53,0),1)+INDEX(圣火属性!$K$3:$K$53,MATCH(V83,圣火属性!$B$3:$B$53,0),1)+INDEX(圣火属性!$L$3:$L$53,MATCH(W83,圣火属性!$B$3:$B$53,0),1)+INDEX(圣火属性!$M$3:$M$53,MATCH(X83,圣火属性!$B$3:$B$53,0),1)</f>
        <v>2619</v>
      </c>
      <c r="AG83" s="28">
        <f>AA83*VLOOKUP(Z83,神器属性!$B$4:$D$13,3,FALSE)</f>
        <v>3816</v>
      </c>
      <c r="AH83" s="36">
        <f t="shared" si="20"/>
        <v>23992</v>
      </c>
      <c r="AI83" s="36">
        <f>AH83*10*(1+VLOOKUP(Y83,技能效果!$B$2:$D$101,3,FALSE))</f>
        <v>311896.00000000006</v>
      </c>
      <c r="AJ83" s="36">
        <f t="shared" si="45"/>
        <v>8751.5937999999987</v>
      </c>
      <c r="AK83" s="2">
        <v>1</v>
      </c>
      <c r="AL83" s="28">
        <f t="shared" si="50"/>
        <v>8752</v>
      </c>
      <c r="AM83" s="28">
        <f>$AH83/5*[1]战斗预期!C$4</f>
        <v>479839.99999999994</v>
      </c>
      <c r="AN83" s="28">
        <f>$AH83/5*[1]战斗预期!D$4</f>
        <v>47984</v>
      </c>
      <c r="AO83" s="28">
        <f>$AH83/5*[1]战斗预期!E$4</f>
        <v>23992</v>
      </c>
      <c r="AP83" s="28">
        <f>$AH83/5*[1]战斗预期!F$4</f>
        <v>19193.599999999999</v>
      </c>
      <c r="AQ83" s="28">
        <f>$AH83/5*[1]战斗预期!G$4</f>
        <v>19193.599999999999</v>
      </c>
      <c r="AR83" s="28">
        <f>$AL83*怪物属性规划!A$18*怪物属性等级系数!A77</f>
        <v>134027.77658153223</v>
      </c>
      <c r="AS83" s="28">
        <f>$AL83*怪物属性规划!B$18</f>
        <v>8752</v>
      </c>
      <c r="AT83" s="28">
        <f>$AL83*怪物属性规划!C$18</f>
        <v>8752</v>
      </c>
      <c r="AU83" s="28">
        <f>$AL83*怪物属性规划!D$18</f>
        <v>7001.6</v>
      </c>
      <c r="AV83" s="28">
        <f>$AL83*怪物属性规划!E$18</f>
        <v>7001.6</v>
      </c>
      <c r="AW83" s="28">
        <v>0</v>
      </c>
      <c r="AX83" s="28">
        <v>0</v>
      </c>
      <c r="AY83" s="28">
        <v>0</v>
      </c>
      <c r="AZ83" s="28">
        <v>0</v>
      </c>
      <c r="BA83" s="28">
        <v>0</v>
      </c>
      <c r="BB83" s="48">
        <f>[2]技能伤害!$C78</f>
        <v>1.7500000000000007</v>
      </c>
      <c r="BC83" s="2">
        <f>[2]技能伤害!$N78</f>
        <v>22582</v>
      </c>
      <c r="BD83" s="2">
        <f>[2]技能伤害!$L78</f>
        <v>2852</v>
      </c>
      <c r="BE83" s="48">
        <f t="shared" si="46"/>
        <v>0.47462867844004653</v>
      </c>
      <c r="BF83" s="48">
        <f t="shared" si="47"/>
        <v>0.95147795555021131</v>
      </c>
      <c r="BG83" s="28">
        <f t="shared" si="51"/>
        <v>130904.96122806487</v>
      </c>
      <c r="BH83" s="28">
        <f t="shared" si="52"/>
        <v>849.32986604910127</v>
      </c>
      <c r="BI83" s="28">
        <f t="shared" si="53"/>
        <v>8148.9862330753158</v>
      </c>
      <c r="BJ83" s="49">
        <f t="shared" si="48"/>
        <v>0.56880866225462412</v>
      </c>
      <c r="BK83" s="49">
        <f t="shared" si="49"/>
        <v>564.96305991464988</v>
      </c>
      <c r="BL83" s="49">
        <f t="shared" si="54"/>
        <v>32.71299891215731</v>
      </c>
    </row>
    <row r="84" spans="9:64" x14ac:dyDescent="0.15">
      <c r="I84" s="29">
        <v>77</v>
      </c>
      <c r="J84" s="29">
        <f>[1]属性成长!$D84</f>
        <v>385</v>
      </c>
      <c r="K84" s="27">
        <v>77</v>
      </c>
      <c r="L84" s="27">
        <v>77</v>
      </c>
      <c r="M84" s="27">
        <f t="shared" si="40"/>
        <v>75</v>
      </c>
      <c r="N84" s="27">
        <f t="shared" si="38"/>
        <v>5</v>
      </c>
      <c r="O84" s="27">
        <v>77</v>
      </c>
      <c r="P84" s="27">
        <f t="shared" si="21"/>
        <v>75</v>
      </c>
      <c r="Q84" s="27">
        <f t="shared" si="22"/>
        <v>5</v>
      </c>
      <c r="R84" s="27">
        <f t="shared" si="37"/>
        <v>8</v>
      </c>
      <c r="S84" s="27">
        <v>28</v>
      </c>
      <c r="T84" s="27">
        <v>50</v>
      </c>
      <c r="U84" s="27">
        <f t="shared" si="23"/>
        <v>50</v>
      </c>
      <c r="V84" s="27">
        <f t="shared" si="34"/>
        <v>50</v>
      </c>
      <c r="W84" s="27">
        <f t="shared" si="39"/>
        <v>47</v>
      </c>
      <c r="X84" s="27">
        <f t="shared" si="39"/>
        <v>37</v>
      </c>
      <c r="Y84" s="27">
        <v>77</v>
      </c>
      <c r="Z84" s="27">
        <f t="shared" si="36"/>
        <v>9</v>
      </c>
      <c r="AA84" s="27">
        <f t="shared" si="35"/>
        <v>10</v>
      </c>
      <c r="AB84" s="2">
        <f t="shared" si="41"/>
        <v>415</v>
      </c>
      <c r="AC84" s="28">
        <f t="shared" si="42"/>
        <v>4786.1223233767832</v>
      </c>
      <c r="AD84" s="28">
        <f t="shared" si="43"/>
        <v>3703.591742532587</v>
      </c>
      <c r="AE84" s="28">
        <f t="shared" si="44"/>
        <v>8711.1111111111113</v>
      </c>
      <c r="AF84" s="28">
        <f>INDEX(圣火属性!$I$3:$I$53,MATCH(T84,圣火属性!$B$3:$B$53,0),1)+INDEX(圣火属性!$J$3:$J$53,MATCH(U84,圣火属性!$B$3:$B$53,0),1)+INDEX(圣火属性!$K$3:$K$53,MATCH(V84,圣火属性!$B$3:$B$53,0),1)+INDEX(圣火属性!$L$3:$L$53,MATCH(W84,圣火属性!$B$3:$B$53,0),1)+INDEX(圣火属性!$M$3:$M$53,MATCH(X84,圣火属性!$B$3:$B$53,0),1)</f>
        <v>2658</v>
      </c>
      <c r="AG84" s="28">
        <f>AA84*VLOOKUP(Z84,神器属性!$B$4:$D$13,3,FALSE)</f>
        <v>3816</v>
      </c>
      <c r="AH84" s="36">
        <f t="shared" si="20"/>
        <v>24090</v>
      </c>
      <c r="AI84" s="36">
        <f>AH84*10*(1+VLOOKUP(Y84,技能效果!$B$2:$D$101,3,FALSE))</f>
        <v>314133.60000000009</v>
      </c>
      <c r="AJ84" s="36">
        <f t="shared" si="45"/>
        <v>9069.6158999999989</v>
      </c>
      <c r="AK84" s="2">
        <v>1</v>
      </c>
      <c r="AL84" s="28">
        <f t="shared" si="50"/>
        <v>9070</v>
      </c>
      <c r="AM84" s="28">
        <f>$AH84/5*[1]战斗预期!C$4</f>
        <v>481800</v>
      </c>
      <c r="AN84" s="28">
        <f>$AH84/5*[1]战斗预期!D$4</f>
        <v>48180</v>
      </c>
      <c r="AO84" s="28">
        <f>$AH84/5*[1]战斗预期!E$4</f>
        <v>24090</v>
      </c>
      <c r="AP84" s="28">
        <f>$AH84/5*[1]战斗预期!F$4</f>
        <v>19272</v>
      </c>
      <c r="AQ84" s="28">
        <f>$AH84/5*[1]战斗预期!G$4</f>
        <v>19272</v>
      </c>
      <c r="AR84" s="28">
        <f>$AL84*怪物属性规划!A$18*怪物属性等级系数!A78</f>
        <v>140475.74951949474</v>
      </c>
      <c r="AS84" s="28">
        <f>$AL84*怪物属性规划!B$18</f>
        <v>9070</v>
      </c>
      <c r="AT84" s="28">
        <f>$AL84*怪物属性规划!C$18</f>
        <v>9070</v>
      </c>
      <c r="AU84" s="28">
        <f>$AL84*怪物属性规划!D$18</f>
        <v>7256</v>
      </c>
      <c r="AV84" s="28">
        <f>$AL84*怪物属性规划!E$18</f>
        <v>7256</v>
      </c>
      <c r="AW84" s="28">
        <v>0</v>
      </c>
      <c r="AX84" s="28">
        <v>0</v>
      </c>
      <c r="AY84" s="28">
        <v>0</v>
      </c>
      <c r="AZ84" s="28">
        <v>0</v>
      </c>
      <c r="BA84" s="28">
        <v>0</v>
      </c>
      <c r="BB84" s="48">
        <f>[2]技能伤害!$C79</f>
        <v>1.7600000000000007</v>
      </c>
      <c r="BC84" s="2">
        <f>[2]技能伤害!$N79</f>
        <v>23686</v>
      </c>
      <c r="BD84" s="2">
        <f>[2]技能伤害!$L79</f>
        <v>2862</v>
      </c>
      <c r="BE84" s="48">
        <f t="shared" si="46"/>
        <v>0.47162713023886998</v>
      </c>
      <c r="BF84" s="48">
        <f t="shared" si="47"/>
        <v>0.95150455027723979</v>
      </c>
      <c r="BG84" s="28">
        <f t="shared" si="51"/>
        <v>131904.97712512125</v>
      </c>
      <c r="BH84" s="28">
        <f t="shared" si="52"/>
        <v>879.70745797087022</v>
      </c>
      <c r="BI84" s="28">
        <f t="shared" si="53"/>
        <v>8224.5179021019085</v>
      </c>
      <c r="BJ84" s="49">
        <f t="shared" si="48"/>
        <v>0.59165381600693878</v>
      </c>
      <c r="BK84" s="49">
        <f t="shared" si="49"/>
        <v>547.68206820858154</v>
      </c>
      <c r="BL84" s="49">
        <f t="shared" si="54"/>
        <v>32.544967358908671</v>
      </c>
    </row>
    <row r="85" spans="9:64" x14ac:dyDescent="0.15">
      <c r="I85" s="29">
        <v>78</v>
      </c>
      <c r="J85" s="29">
        <f>[1]属性成长!$D85</f>
        <v>390</v>
      </c>
      <c r="K85" s="27">
        <v>78</v>
      </c>
      <c r="L85" s="27">
        <v>78</v>
      </c>
      <c r="M85" s="27">
        <f t="shared" si="40"/>
        <v>75</v>
      </c>
      <c r="N85" s="27">
        <f t="shared" si="38"/>
        <v>5</v>
      </c>
      <c r="O85" s="27">
        <v>78</v>
      </c>
      <c r="P85" s="27">
        <f t="shared" si="21"/>
        <v>75</v>
      </c>
      <c r="Q85" s="27">
        <f t="shared" si="22"/>
        <v>5</v>
      </c>
      <c r="R85" s="27">
        <f t="shared" si="37"/>
        <v>8</v>
      </c>
      <c r="S85" s="27">
        <v>28</v>
      </c>
      <c r="T85" s="27">
        <v>50</v>
      </c>
      <c r="U85" s="27">
        <f t="shared" si="23"/>
        <v>50</v>
      </c>
      <c r="V85" s="27">
        <f t="shared" si="34"/>
        <v>50</v>
      </c>
      <c r="W85" s="27">
        <f t="shared" si="39"/>
        <v>48</v>
      </c>
      <c r="X85" s="27">
        <f t="shared" si="39"/>
        <v>38</v>
      </c>
      <c r="Y85" s="27">
        <v>78</v>
      </c>
      <c r="Z85" s="27">
        <f t="shared" si="36"/>
        <v>9</v>
      </c>
      <c r="AA85" s="27">
        <f t="shared" si="35"/>
        <v>10</v>
      </c>
      <c r="AB85" s="2">
        <f t="shared" si="41"/>
        <v>420</v>
      </c>
      <c r="AC85" s="28">
        <f t="shared" si="42"/>
        <v>4816.1223233767832</v>
      </c>
      <c r="AD85" s="28">
        <f t="shared" si="43"/>
        <v>3727.5917425325874</v>
      </c>
      <c r="AE85" s="28">
        <f t="shared" si="44"/>
        <v>8711.1111111111113</v>
      </c>
      <c r="AF85" s="28">
        <f>INDEX(圣火属性!$I$3:$I$53,MATCH(T85,圣火属性!$B$3:$B$53,0),1)+INDEX(圣火属性!$J$3:$J$53,MATCH(U85,圣火属性!$B$3:$B$53,0),1)+INDEX(圣火属性!$K$3:$K$53,MATCH(V85,圣火属性!$B$3:$B$53,0),1)+INDEX(圣火属性!$L$3:$L$53,MATCH(W85,圣火属性!$B$3:$B$53,0),1)+INDEX(圣火属性!$M$3:$M$53,MATCH(X85,圣火属性!$B$3:$B$53,0),1)</f>
        <v>2697</v>
      </c>
      <c r="AG85" s="28">
        <f>AA85*VLOOKUP(Z85,神器属性!$B$4:$D$13,3,FALSE)</f>
        <v>3816</v>
      </c>
      <c r="AH85" s="36">
        <f t="shared" si="20"/>
        <v>24188</v>
      </c>
      <c r="AI85" s="36">
        <f>AH85*10*(1+VLOOKUP(Y85,技能效果!$B$2:$D$101,3,FALSE))</f>
        <v>316379.04000000004</v>
      </c>
      <c r="AJ85" s="36">
        <f t="shared" si="45"/>
        <v>9395.4686000000002</v>
      </c>
      <c r="AK85" s="2">
        <v>1</v>
      </c>
      <c r="AL85" s="28">
        <f t="shared" si="50"/>
        <v>9395</v>
      </c>
      <c r="AM85" s="28">
        <f>$AH85/5*[1]战斗预期!C$4</f>
        <v>483760.00000000006</v>
      </c>
      <c r="AN85" s="28">
        <f>$AH85/5*[1]战斗预期!D$4</f>
        <v>48376</v>
      </c>
      <c r="AO85" s="28">
        <f>$AH85/5*[1]战斗预期!E$4</f>
        <v>24188</v>
      </c>
      <c r="AP85" s="28">
        <f>$AH85/5*[1]战斗预期!F$4</f>
        <v>19350.400000000001</v>
      </c>
      <c r="AQ85" s="28">
        <f>$AH85/5*[1]战斗预期!G$4</f>
        <v>19350.400000000001</v>
      </c>
      <c r="AR85" s="28">
        <f>$AL85*怪物属性规划!A$18*怪物属性等级系数!A79</f>
        <v>147171.28594135158</v>
      </c>
      <c r="AS85" s="28">
        <f>$AL85*怪物属性规划!B$18</f>
        <v>9395</v>
      </c>
      <c r="AT85" s="28">
        <f>$AL85*怪物属性规划!C$18</f>
        <v>9395</v>
      </c>
      <c r="AU85" s="28">
        <f>$AL85*怪物属性规划!D$18</f>
        <v>7516</v>
      </c>
      <c r="AV85" s="28">
        <f>$AL85*怪物属性规划!E$18</f>
        <v>7516</v>
      </c>
      <c r="AW85" s="28">
        <v>0</v>
      </c>
      <c r="AX85" s="28">
        <v>0</v>
      </c>
      <c r="AY85" s="28">
        <v>0</v>
      </c>
      <c r="AZ85" s="28">
        <v>0</v>
      </c>
      <c r="BA85" s="28">
        <v>0</v>
      </c>
      <c r="BB85" s="48">
        <f>[2]技能伤害!$C80</f>
        <v>1.7700000000000007</v>
      </c>
      <c r="BC85" s="2">
        <f>[2]技能伤害!$N80</f>
        <v>24832</v>
      </c>
      <c r="BD85" s="2">
        <f>[2]技能伤害!$L80</f>
        <v>2873</v>
      </c>
      <c r="BE85" s="48">
        <f t="shared" si="46"/>
        <v>0.46862698229961719</v>
      </c>
      <c r="BF85" s="48">
        <f t="shared" si="47"/>
        <v>0.95151487280923519</v>
      </c>
      <c r="BG85" s="28">
        <f t="shared" si="51"/>
        <v>132891.95790912904</v>
      </c>
      <c r="BH85" s="28">
        <f t="shared" si="52"/>
        <v>911.03553991447075</v>
      </c>
      <c r="BI85" s="28">
        <f t="shared" si="53"/>
        <v>8303.1284559507567</v>
      </c>
      <c r="BJ85" s="49">
        <f t="shared" si="48"/>
        <v>0.6152503643514794</v>
      </c>
      <c r="BK85" s="49">
        <f t="shared" si="49"/>
        <v>531.0001408346991</v>
      </c>
      <c r="BL85" s="49">
        <f t="shared" si="54"/>
        <v>32.367987196794672</v>
      </c>
    </row>
    <row r="86" spans="9:64" x14ac:dyDescent="0.15">
      <c r="I86" s="29">
        <v>79</v>
      </c>
      <c r="J86" s="29">
        <f>[1]属性成长!$D86</f>
        <v>395</v>
      </c>
      <c r="K86" s="27">
        <v>79</v>
      </c>
      <c r="L86" s="27">
        <v>79</v>
      </c>
      <c r="M86" s="27">
        <f t="shared" si="40"/>
        <v>75</v>
      </c>
      <c r="N86" s="27">
        <f t="shared" si="38"/>
        <v>5</v>
      </c>
      <c r="O86" s="27">
        <v>79</v>
      </c>
      <c r="P86" s="27">
        <f t="shared" si="21"/>
        <v>75</v>
      </c>
      <c r="Q86" s="27">
        <f t="shared" si="22"/>
        <v>5</v>
      </c>
      <c r="R86" s="27">
        <f t="shared" si="37"/>
        <v>8</v>
      </c>
      <c r="S86" s="27">
        <v>28</v>
      </c>
      <c r="T86" s="27">
        <v>50</v>
      </c>
      <c r="U86" s="27">
        <f t="shared" si="23"/>
        <v>50</v>
      </c>
      <c r="V86" s="27">
        <f t="shared" si="34"/>
        <v>50</v>
      </c>
      <c r="W86" s="27">
        <f t="shared" si="39"/>
        <v>49</v>
      </c>
      <c r="X86" s="27">
        <f t="shared" si="39"/>
        <v>39</v>
      </c>
      <c r="Y86" s="27">
        <v>79</v>
      </c>
      <c r="Z86" s="27">
        <f t="shared" si="36"/>
        <v>9</v>
      </c>
      <c r="AA86" s="27">
        <f t="shared" si="35"/>
        <v>10</v>
      </c>
      <c r="AB86" s="2">
        <f t="shared" si="41"/>
        <v>425</v>
      </c>
      <c r="AC86" s="28">
        <f t="shared" si="42"/>
        <v>4846.1223233767832</v>
      </c>
      <c r="AD86" s="28">
        <f t="shared" si="43"/>
        <v>3751.591742532587</v>
      </c>
      <c r="AE86" s="28">
        <f t="shared" si="44"/>
        <v>8711.1111111111113</v>
      </c>
      <c r="AF86" s="28">
        <f>INDEX(圣火属性!$I$3:$I$53,MATCH(T86,圣火属性!$B$3:$B$53,0),1)+INDEX(圣火属性!$J$3:$J$53,MATCH(U86,圣火属性!$B$3:$B$53,0),1)+INDEX(圣火属性!$K$3:$K$53,MATCH(V86,圣火属性!$B$3:$B$53,0),1)+INDEX(圣火属性!$L$3:$L$53,MATCH(W86,圣火属性!$B$3:$B$53,0),1)+INDEX(圣火属性!$M$3:$M$53,MATCH(X86,圣火属性!$B$3:$B$53,0),1)</f>
        <v>2736</v>
      </c>
      <c r="AG86" s="28">
        <f>AA86*VLOOKUP(Z86,神器属性!$B$4:$D$13,3,FALSE)</f>
        <v>3816</v>
      </c>
      <c r="AH86" s="36">
        <f t="shared" si="20"/>
        <v>24286</v>
      </c>
      <c r="AI86" s="36">
        <f>AH86*10*(1+VLOOKUP(Y86,技能效果!$B$2:$D$101,3,FALSE))</f>
        <v>318632.32000000007</v>
      </c>
      <c r="AJ86" s="36">
        <f t="shared" si="45"/>
        <v>9729.2497000000003</v>
      </c>
      <c r="AK86" s="2">
        <v>1</v>
      </c>
      <c r="AL86" s="28">
        <f t="shared" si="50"/>
        <v>9729</v>
      </c>
      <c r="AM86" s="28">
        <f>$AH86/5*[1]战斗预期!C$4</f>
        <v>485720</v>
      </c>
      <c r="AN86" s="28">
        <f>$AH86/5*[1]战斗预期!D$4</f>
        <v>48572</v>
      </c>
      <c r="AO86" s="28">
        <f>$AH86/5*[1]战斗预期!E$4</f>
        <v>24286</v>
      </c>
      <c r="AP86" s="28">
        <f>$AH86/5*[1]战斗预期!F$4</f>
        <v>19428.8</v>
      </c>
      <c r="AQ86" s="28">
        <f>$AH86/5*[1]战斗预期!G$4</f>
        <v>19428.8</v>
      </c>
      <c r="AR86" s="28">
        <f>$AL86*怪物属性规划!A$18*怪物属性等级系数!A80</f>
        <v>154122.92320672912</v>
      </c>
      <c r="AS86" s="28">
        <f>$AL86*怪物属性规划!B$18</f>
        <v>9729</v>
      </c>
      <c r="AT86" s="28">
        <f>$AL86*怪物属性规划!C$18</f>
        <v>9729</v>
      </c>
      <c r="AU86" s="28">
        <f>$AL86*怪物属性规划!D$18</f>
        <v>7783.2000000000007</v>
      </c>
      <c r="AV86" s="28">
        <f>$AL86*怪物属性规划!E$18</f>
        <v>7783.2000000000007</v>
      </c>
      <c r="AW86" s="28">
        <v>0</v>
      </c>
      <c r="AX86" s="28">
        <v>0</v>
      </c>
      <c r="AY86" s="28">
        <v>0</v>
      </c>
      <c r="AZ86" s="28">
        <v>0</v>
      </c>
      <c r="BA86" s="28">
        <v>0</v>
      </c>
      <c r="BB86" s="48">
        <f>[2]技能伤害!$C81</f>
        <v>1.7800000000000007</v>
      </c>
      <c r="BC86" s="2">
        <f>[2]技能伤害!$N81</f>
        <v>26027</v>
      </c>
      <c r="BD86" s="2">
        <f>[2]技能伤害!$L81</f>
        <v>2883</v>
      </c>
      <c r="BE86" s="48">
        <f t="shared" si="46"/>
        <v>0.46562307560768262</v>
      </c>
      <c r="BF86" s="48">
        <f t="shared" si="47"/>
        <v>0.95154110596064134</v>
      </c>
      <c r="BG86" s="28">
        <f t="shared" si="51"/>
        <v>133860.82725883779</v>
      </c>
      <c r="BH86" s="28">
        <f t="shared" si="52"/>
        <v>942.91316021784075</v>
      </c>
      <c r="BI86" s="28">
        <f t="shared" si="53"/>
        <v>8379.333628555838</v>
      </c>
      <c r="BJ86" s="49">
        <f t="shared" si="48"/>
        <v>0.63964826737844283</v>
      </c>
      <c r="BK86" s="49">
        <f t="shared" si="49"/>
        <v>515.12697085252728</v>
      </c>
      <c r="BL86" s="49">
        <f t="shared" si="54"/>
        <v>32.203568494378189</v>
      </c>
    </row>
    <row r="87" spans="9:64" x14ac:dyDescent="0.15">
      <c r="I87" s="29">
        <v>80</v>
      </c>
      <c r="J87" s="29">
        <f>[1]属性成长!$D87</f>
        <v>400</v>
      </c>
      <c r="K87" s="27">
        <v>80</v>
      </c>
      <c r="L87" s="27">
        <v>80</v>
      </c>
      <c r="M87" s="27">
        <f t="shared" si="40"/>
        <v>80</v>
      </c>
      <c r="N87" s="27">
        <v>5</v>
      </c>
      <c r="O87" s="27">
        <v>80</v>
      </c>
      <c r="P87" s="27">
        <f t="shared" si="21"/>
        <v>80</v>
      </c>
      <c r="Q87" s="27">
        <f t="shared" si="22"/>
        <v>5</v>
      </c>
      <c r="R87" s="27">
        <f t="shared" si="37"/>
        <v>9</v>
      </c>
      <c r="S87" s="27">
        <v>28</v>
      </c>
      <c r="T87" s="27">
        <v>50</v>
      </c>
      <c r="U87" s="27">
        <f t="shared" si="23"/>
        <v>50</v>
      </c>
      <c r="V87" s="27">
        <f t="shared" si="34"/>
        <v>50</v>
      </c>
      <c r="W87" s="27">
        <f t="shared" si="39"/>
        <v>50</v>
      </c>
      <c r="X87" s="27">
        <f t="shared" si="39"/>
        <v>40</v>
      </c>
      <c r="Y87" s="27">
        <v>80</v>
      </c>
      <c r="Z87" s="27">
        <f t="shared" si="36"/>
        <v>10</v>
      </c>
      <c r="AA87" s="27">
        <f t="shared" si="35"/>
        <v>11</v>
      </c>
      <c r="AB87" s="2">
        <f t="shared" si="41"/>
        <v>430</v>
      </c>
      <c r="AC87" s="28">
        <f t="shared" si="42"/>
        <v>5088.3445455990059</v>
      </c>
      <c r="AD87" s="28">
        <f t="shared" si="43"/>
        <v>3939.1472980881426</v>
      </c>
      <c r="AE87" s="28">
        <f t="shared" si="44"/>
        <v>11847.111111111111</v>
      </c>
      <c r="AF87" s="28">
        <f>INDEX(圣火属性!$I$3:$I$53,MATCH(T87,圣火属性!$B$3:$B$53,0),1)+INDEX(圣火属性!$J$3:$J$53,MATCH(U87,圣火属性!$B$3:$B$53,0),1)+INDEX(圣火属性!$K$3:$K$53,MATCH(V87,圣火属性!$B$3:$B$53,0),1)+INDEX(圣火属性!$L$3:$L$53,MATCH(W87,圣火属性!$B$3:$B$53,0),1)+INDEX(圣火属性!$M$3:$M$53,MATCH(X87,圣火属性!$B$3:$B$53,0),1)</f>
        <v>2775</v>
      </c>
      <c r="AG87" s="28">
        <f>AA87*VLOOKUP(Z87,神器属性!$B$4:$D$13,3,FALSE)</f>
        <v>4664</v>
      </c>
      <c r="AH87" s="36">
        <f t="shared" si="20"/>
        <v>28744</v>
      </c>
      <c r="AI87" s="36">
        <f>AH87*10*(1+VLOOKUP(Y87,技能效果!$B$2:$D$101,3,FALSE))</f>
        <v>378271.0400000001</v>
      </c>
      <c r="AJ87" s="36">
        <f t="shared" si="45"/>
        <v>10071.056999999999</v>
      </c>
      <c r="AK87" s="2">
        <v>1</v>
      </c>
      <c r="AL87" s="28">
        <f t="shared" si="50"/>
        <v>10071</v>
      </c>
      <c r="AM87" s="28">
        <f>$AH87/5*[1]战斗预期!C$4</f>
        <v>574880</v>
      </c>
      <c r="AN87" s="28">
        <f>$AH87/5*[1]战斗预期!D$4</f>
        <v>57488</v>
      </c>
      <c r="AO87" s="28">
        <f>$AH87/5*[1]战斗预期!E$4</f>
        <v>28744</v>
      </c>
      <c r="AP87" s="28">
        <f>$AH87/5*[1]战斗预期!F$4</f>
        <v>22995.200000000001</v>
      </c>
      <c r="AQ87" s="28">
        <f>$AH87/5*[1]战斗预期!G$4</f>
        <v>22995.200000000001</v>
      </c>
      <c r="AR87" s="28">
        <f>$AL87*怪物属性规划!A$18*怪物属性等级系数!A81</f>
        <v>161331.53057642875</v>
      </c>
      <c r="AS87" s="28">
        <f>$AL87*怪物属性规划!B$18</f>
        <v>10071</v>
      </c>
      <c r="AT87" s="28">
        <f>$AL87*怪物属性规划!C$18</f>
        <v>10071</v>
      </c>
      <c r="AU87" s="28">
        <f>$AL87*怪物属性规划!D$18</f>
        <v>8056.8</v>
      </c>
      <c r="AV87" s="28">
        <f>$AL87*怪物属性规划!E$18</f>
        <v>8056.8</v>
      </c>
      <c r="AW87" s="28">
        <v>0</v>
      </c>
      <c r="AX87" s="28">
        <v>0</v>
      </c>
      <c r="AY87" s="28">
        <v>0</v>
      </c>
      <c r="AZ87" s="28">
        <v>0</v>
      </c>
      <c r="BA87" s="28">
        <v>0</v>
      </c>
      <c r="BB87" s="48">
        <f>[2]技能伤害!$C82</f>
        <v>1.7900000000000007</v>
      </c>
      <c r="BC87" s="2">
        <f>[2]技能伤害!$N82</f>
        <v>27269</v>
      </c>
      <c r="BD87" s="2">
        <f>[2]技能伤害!$L82</f>
        <v>2993</v>
      </c>
      <c r="BE87" s="48">
        <f t="shared" si="46"/>
        <v>0.46262182409153108</v>
      </c>
      <c r="BF87" s="48">
        <f t="shared" si="47"/>
        <v>0.95724000505261808</v>
      </c>
      <c r="BG87" s="28">
        <f t="shared" si="51"/>
        <v>164075.68374432137</v>
      </c>
      <c r="BH87" s="28">
        <f t="shared" si="52"/>
        <v>861.27181823016656</v>
      </c>
      <c r="BI87" s="28">
        <f t="shared" si="53"/>
        <v>8800.3079905356317</v>
      </c>
      <c r="BJ87" s="49">
        <f t="shared" si="48"/>
        <v>0.54626393169681364</v>
      </c>
      <c r="BK87" s="49">
        <f t="shared" si="49"/>
        <v>667.4780108111803</v>
      </c>
      <c r="BL87" s="49">
        <f t="shared" si="54"/>
        <v>36.291659123891506</v>
      </c>
    </row>
    <row r="88" spans="9:64" x14ac:dyDescent="0.15">
      <c r="I88" s="29">
        <v>81</v>
      </c>
      <c r="J88" s="29">
        <f>[1]属性成长!$D88</f>
        <v>405</v>
      </c>
      <c r="K88" s="27">
        <v>81</v>
      </c>
      <c r="L88" s="27">
        <v>81</v>
      </c>
      <c r="M88" s="27">
        <f t="shared" si="40"/>
        <v>80</v>
      </c>
      <c r="N88" s="27">
        <v>5</v>
      </c>
      <c r="O88" s="27">
        <v>81</v>
      </c>
      <c r="P88" s="27">
        <f t="shared" si="21"/>
        <v>80</v>
      </c>
      <c r="Q88" s="27">
        <f t="shared" si="22"/>
        <v>5</v>
      </c>
      <c r="R88" s="27">
        <f t="shared" si="37"/>
        <v>9</v>
      </c>
      <c r="S88" s="27">
        <v>28</v>
      </c>
      <c r="T88" s="27">
        <v>50</v>
      </c>
      <c r="U88" s="27">
        <f t="shared" si="23"/>
        <v>50</v>
      </c>
      <c r="V88" s="27">
        <f t="shared" si="34"/>
        <v>50</v>
      </c>
      <c r="W88" s="27">
        <f t="shared" si="39"/>
        <v>50</v>
      </c>
      <c r="X88" s="27">
        <f t="shared" si="39"/>
        <v>41</v>
      </c>
      <c r="Y88" s="27">
        <v>81</v>
      </c>
      <c r="Z88" s="27">
        <f t="shared" si="36"/>
        <v>10</v>
      </c>
      <c r="AA88" s="27">
        <f t="shared" si="35"/>
        <v>11</v>
      </c>
      <c r="AB88" s="2">
        <f t="shared" si="41"/>
        <v>435</v>
      </c>
      <c r="AC88" s="28">
        <f t="shared" si="42"/>
        <v>5119.4556567101172</v>
      </c>
      <c r="AD88" s="28">
        <f t="shared" si="43"/>
        <v>3964.0361869770313</v>
      </c>
      <c r="AE88" s="28">
        <f t="shared" si="44"/>
        <v>11847.111111111111</v>
      </c>
      <c r="AF88" s="28">
        <f>INDEX(圣火属性!$I$3:$I$53,MATCH(T88,圣火属性!$B$3:$B$53,0),1)+INDEX(圣火属性!$J$3:$J$53,MATCH(U88,圣火属性!$B$3:$B$53,0),1)+INDEX(圣火属性!$K$3:$K$53,MATCH(V88,圣火属性!$B$3:$B$53,0),1)+INDEX(圣火属性!$L$3:$L$53,MATCH(W88,圣火属性!$B$3:$B$53,0),1)+INDEX(圣火属性!$M$3:$M$53,MATCH(X88,圣火属性!$B$3:$B$53,0),1)</f>
        <v>2797.5</v>
      </c>
      <c r="AG88" s="28">
        <f>AA88*VLOOKUP(Z88,神器属性!$B$4:$D$13,3,FALSE)</f>
        <v>4664</v>
      </c>
      <c r="AH88" s="36">
        <f t="shared" si="20"/>
        <v>28827</v>
      </c>
      <c r="AI88" s="36">
        <f>AH88*10*(1+VLOOKUP(Y88,技能效果!$B$2:$D$101,3,FALSE))</f>
        <v>380516.40000000008</v>
      </c>
      <c r="AJ88" s="36">
        <f t="shared" si="45"/>
        <v>10420.988299999999</v>
      </c>
      <c r="AK88" s="2">
        <v>1</v>
      </c>
      <c r="AL88" s="28">
        <f t="shared" si="50"/>
        <v>10421</v>
      </c>
      <c r="AM88" s="28">
        <f>$AH88/5*[1]战斗预期!C$4</f>
        <v>576540</v>
      </c>
      <c r="AN88" s="28">
        <f>$AH88/5*[1]战斗预期!D$4</f>
        <v>57654</v>
      </c>
      <c r="AO88" s="28">
        <f>$AH88/5*[1]战斗预期!E$4</f>
        <v>28827</v>
      </c>
      <c r="AP88" s="28">
        <f>$AH88/5*[1]战斗预期!F$4</f>
        <v>23061.599999999999</v>
      </c>
      <c r="AQ88" s="28">
        <f>$AH88/5*[1]战斗预期!G$4</f>
        <v>23061.599999999999</v>
      </c>
      <c r="AR88" s="28">
        <f>$AL88*怪物属性规划!A$18*怪物属性等级系数!A82</f>
        <v>168829.45165648035</v>
      </c>
      <c r="AS88" s="28">
        <f>$AL88*怪物属性规划!B$18</f>
        <v>10421</v>
      </c>
      <c r="AT88" s="28">
        <f>$AL88*怪物属性规划!C$18</f>
        <v>10421</v>
      </c>
      <c r="AU88" s="28">
        <f>$AL88*怪物属性规划!D$18</f>
        <v>8336.8000000000011</v>
      </c>
      <c r="AV88" s="28">
        <f>$AL88*怪物属性规划!E$18</f>
        <v>8336.8000000000011</v>
      </c>
      <c r="AW88" s="28">
        <v>0</v>
      </c>
      <c r="AX88" s="28">
        <v>0</v>
      </c>
      <c r="AY88" s="28">
        <v>0</v>
      </c>
      <c r="AZ88" s="28">
        <v>0</v>
      </c>
      <c r="BA88" s="28">
        <v>0</v>
      </c>
      <c r="BB88" s="48">
        <f>[2]技能伤害!$C83</f>
        <v>1.8000000000000007</v>
      </c>
      <c r="BC88" s="2">
        <f>[2]技能伤害!$N83</f>
        <v>28559</v>
      </c>
      <c r="BD88" s="2">
        <f>[2]技能伤害!$L83</f>
        <v>2995</v>
      </c>
      <c r="BE88" s="48">
        <f t="shared" si="46"/>
        <v>0.45962540771852239</v>
      </c>
      <c r="BF88" s="48">
        <f t="shared" si="47"/>
        <v>0.95733059288443045</v>
      </c>
      <c r="BG88" s="28">
        <f t="shared" si="51"/>
        <v>165166.40427622673</v>
      </c>
      <c r="BH88" s="28">
        <f t="shared" si="52"/>
        <v>889.31578310270049</v>
      </c>
      <c r="BI88" s="28">
        <f t="shared" si="53"/>
        <v>8856.2231922277715</v>
      </c>
      <c r="BJ88" s="49">
        <f t="shared" si="48"/>
        <v>0.56787662248972282</v>
      </c>
      <c r="BK88" s="49">
        <f t="shared" si="49"/>
        <v>648.29615188941239</v>
      </c>
      <c r="BL88" s="49">
        <f t="shared" si="54"/>
        <v>36.166658523364177</v>
      </c>
    </row>
    <row r="89" spans="9:64" x14ac:dyDescent="0.15">
      <c r="I89" s="29">
        <v>82</v>
      </c>
      <c r="J89" s="29">
        <f>[1]属性成长!$D89</f>
        <v>410</v>
      </c>
      <c r="K89" s="27">
        <v>82</v>
      </c>
      <c r="L89" s="27">
        <v>82</v>
      </c>
      <c r="M89" s="27">
        <f t="shared" si="40"/>
        <v>80</v>
      </c>
      <c r="N89" s="27">
        <v>5</v>
      </c>
      <c r="O89" s="27">
        <v>82</v>
      </c>
      <c r="P89" s="27">
        <f t="shared" si="21"/>
        <v>80</v>
      </c>
      <c r="Q89" s="27">
        <f t="shared" si="22"/>
        <v>5</v>
      </c>
      <c r="R89" s="27">
        <f t="shared" si="37"/>
        <v>9</v>
      </c>
      <c r="S89" s="27">
        <v>28</v>
      </c>
      <c r="T89" s="27">
        <v>50</v>
      </c>
      <c r="U89" s="27">
        <f t="shared" si="23"/>
        <v>50</v>
      </c>
      <c r="V89" s="27">
        <f t="shared" si="34"/>
        <v>50</v>
      </c>
      <c r="W89" s="27">
        <f t="shared" si="39"/>
        <v>50</v>
      </c>
      <c r="X89" s="27">
        <f t="shared" si="39"/>
        <v>42</v>
      </c>
      <c r="Y89" s="27">
        <v>82</v>
      </c>
      <c r="Z89" s="27">
        <f t="shared" si="36"/>
        <v>10</v>
      </c>
      <c r="AA89" s="27">
        <f t="shared" si="35"/>
        <v>11</v>
      </c>
      <c r="AB89" s="2">
        <f t="shared" si="41"/>
        <v>440</v>
      </c>
      <c r="AC89" s="28">
        <f t="shared" si="42"/>
        <v>5150.5667678212276</v>
      </c>
      <c r="AD89" s="28">
        <f t="shared" si="43"/>
        <v>3988.92507586592</v>
      </c>
      <c r="AE89" s="28">
        <f t="shared" si="44"/>
        <v>11847.111111111111</v>
      </c>
      <c r="AF89" s="28">
        <f>INDEX(圣火属性!$I$3:$I$53,MATCH(T89,圣火属性!$B$3:$B$53,0),1)+INDEX(圣火属性!$J$3:$J$53,MATCH(U89,圣火属性!$B$3:$B$53,0),1)+INDEX(圣火属性!$K$3:$K$53,MATCH(V89,圣火属性!$B$3:$B$53,0),1)+INDEX(圣火属性!$L$3:$L$53,MATCH(W89,圣火属性!$B$3:$B$53,0),1)+INDEX(圣火属性!$M$3:$M$53,MATCH(X89,圣火属性!$B$3:$B$53,0),1)</f>
        <v>2820</v>
      </c>
      <c r="AG89" s="28">
        <f>AA89*VLOOKUP(Z89,神器属性!$B$4:$D$13,3,FALSE)</f>
        <v>4664</v>
      </c>
      <c r="AH89" s="36">
        <f t="shared" si="20"/>
        <v>28911</v>
      </c>
      <c r="AI89" s="36">
        <f>AH89*10*(1+VLOOKUP(Y89,技能效果!$B$2:$D$101,3,FALSE))</f>
        <v>382781.64000000007</v>
      </c>
      <c r="AJ89" s="36">
        <f t="shared" si="45"/>
        <v>10779.1414</v>
      </c>
      <c r="AK89" s="2">
        <v>1</v>
      </c>
      <c r="AL89" s="28">
        <f t="shared" si="50"/>
        <v>10779</v>
      </c>
      <c r="AM89" s="28">
        <f>$AH89/5*[1]战斗预期!C$4</f>
        <v>578220</v>
      </c>
      <c r="AN89" s="28">
        <f>$AH89/5*[1]战斗预期!D$4</f>
        <v>57822</v>
      </c>
      <c r="AO89" s="28">
        <f>$AH89/5*[1]战斗预期!E$4</f>
        <v>28911</v>
      </c>
      <c r="AP89" s="28">
        <f>$AH89/5*[1]战斗预期!F$4</f>
        <v>23128.799999999999</v>
      </c>
      <c r="AQ89" s="28">
        <f>$AH89/5*[1]战斗预期!G$4</f>
        <v>23128.799999999999</v>
      </c>
      <c r="AR89" s="28">
        <f>$AL89*怪物属性规划!A$18*怪物属性等级系数!A83</f>
        <v>176568.11225777297</v>
      </c>
      <c r="AS89" s="28">
        <f>$AL89*怪物属性规划!B$18</f>
        <v>10779</v>
      </c>
      <c r="AT89" s="28">
        <f>$AL89*怪物属性规划!C$18</f>
        <v>10779</v>
      </c>
      <c r="AU89" s="28">
        <f>$AL89*怪物属性规划!D$18</f>
        <v>8623.2000000000007</v>
      </c>
      <c r="AV89" s="28">
        <f>$AL89*怪物属性规划!E$18</f>
        <v>8623.2000000000007</v>
      </c>
      <c r="AW89" s="28">
        <v>0</v>
      </c>
      <c r="AX89" s="28">
        <v>0</v>
      </c>
      <c r="AY89" s="28">
        <v>0</v>
      </c>
      <c r="AZ89" s="28">
        <v>0</v>
      </c>
      <c r="BA89" s="28">
        <v>0</v>
      </c>
      <c r="BB89" s="48">
        <f>[2]技能伤害!$C84</f>
        <v>1.8100000000000007</v>
      </c>
      <c r="BC89" s="2">
        <f>[2]技能伤害!$N84</f>
        <v>29900</v>
      </c>
      <c r="BD89" s="2">
        <f>[2]技能伤害!$L84</f>
        <v>2997</v>
      </c>
      <c r="BE89" s="48">
        <f t="shared" si="46"/>
        <v>0.45661926366490019</v>
      </c>
      <c r="BF89" s="48">
        <f t="shared" si="47"/>
        <v>0.95742208762920655</v>
      </c>
      <c r="BG89" s="28">
        <f t="shared" si="51"/>
        <v>166248.35858965272</v>
      </c>
      <c r="BH89" s="28">
        <f t="shared" si="52"/>
        <v>917.89463488956517</v>
      </c>
      <c r="BI89" s="28">
        <f t="shared" si="53"/>
        <v>8912.2229777565517</v>
      </c>
      <c r="BJ89" s="49">
        <f t="shared" si="48"/>
        <v>0.59004128841286541</v>
      </c>
      <c r="BK89" s="49">
        <f t="shared" si="49"/>
        <v>629.94158373043274</v>
      </c>
      <c r="BL89" s="49">
        <f t="shared" si="54"/>
        <v>36.044131092217853</v>
      </c>
    </row>
    <row r="90" spans="9:64" x14ac:dyDescent="0.15">
      <c r="I90" s="29">
        <v>83</v>
      </c>
      <c r="J90" s="29">
        <f>[1]属性成长!$D90</f>
        <v>415</v>
      </c>
      <c r="K90" s="27">
        <v>83</v>
      </c>
      <c r="L90" s="27">
        <v>83</v>
      </c>
      <c r="M90" s="27">
        <f t="shared" si="40"/>
        <v>80</v>
      </c>
      <c r="N90" s="27">
        <v>5</v>
      </c>
      <c r="O90" s="27">
        <v>83</v>
      </c>
      <c r="P90" s="27">
        <f t="shared" si="21"/>
        <v>80</v>
      </c>
      <c r="Q90" s="27">
        <f t="shared" si="22"/>
        <v>5</v>
      </c>
      <c r="R90" s="27">
        <f t="shared" si="37"/>
        <v>9</v>
      </c>
      <c r="S90" s="27">
        <v>28</v>
      </c>
      <c r="T90" s="27">
        <v>50</v>
      </c>
      <c r="U90" s="27">
        <f t="shared" si="23"/>
        <v>50</v>
      </c>
      <c r="V90" s="27">
        <f t="shared" si="34"/>
        <v>50</v>
      </c>
      <c r="W90" s="27">
        <f t="shared" si="39"/>
        <v>50</v>
      </c>
      <c r="X90" s="27">
        <f t="shared" si="39"/>
        <v>43</v>
      </c>
      <c r="Y90" s="27">
        <v>83</v>
      </c>
      <c r="Z90" s="27">
        <f t="shared" si="36"/>
        <v>10</v>
      </c>
      <c r="AA90" s="27">
        <f t="shared" si="35"/>
        <v>11</v>
      </c>
      <c r="AB90" s="2">
        <f t="shared" si="41"/>
        <v>445</v>
      </c>
      <c r="AC90" s="28">
        <f t="shared" si="42"/>
        <v>5181.6778789323389</v>
      </c>
      <c r="AD90" s="28">
        <f t="shared" si="43"/>
        <v>4013.8139647548096</v>
      </c>
      <c r="AE90" s="28">
        <f t="shared" si="44"/>
        <v>11847.111111111111</v>
      </c>
      <c r="AF90" s="28">
        <f>INDEX(圣火属性!$I$3:$I$53,MATCH(T90,圣火属性!$B$3:$B$53,0),1)+INDEX(圣火属性!$J$3:$J$53,MATCH(U90,圣火属性!$B$3:$B$53,0),1)+INDEX(圣火属性!$K$3:$K$53,MATCH(V90,圣火属性!$B$3:$B$53,0),1)+INDEX(圣火属性!$L$3:$L$53,MATCH(W90,圣火属性!$B$3:$B$53,0),1)+INDEX(圣火属性!$M$3:$M$53,MATCH(X90,圣火属性!$B$3:$B$53,0),1)</f>
        <v>2842.5</v>
      </c>
      <c r="AG90" s="28">
        <f>AA90*VLOOKUP(Z90,神器属性!$B$4:$D$13,3,FALSE)</f>
        <v>4664</v>
      </c>
      <c r="AH90" s="36">
        <f t="shared" si="20"/>
        <v>28994</v>
      </c>
      <c r="AI90" s="36">
        <f>AH90*10*(1+VLOOKUP(Y90,技能效果!$B$2:$D$101,3,FALSE))</f>
        <v>385040.32000000007</v>
      </c>
      <c r="AJ90" s="36">
        <f t="shared" si="45"/>
        <v>11145.614100000001</v>
      </c>
      <c r="AK90" s="2">
        <v>1</v>
      </c>
      <c r="AL90" s="28">
        <f t="shared" si="50"/>
        <v>11146</v>
      </c>
      <c r="AM90" s="28">
        <f>$AH90/5*[1]战斗预期!C$4</f>
        <v>579880</v>
      </c>
      <c r="AN90" s="28">
        <f>$AH90/5*[1]战斗预期!D$4</f>
        <v>57988</v>
      </c>
      <c r="AO90" s="28">
        <f>$AH90/5*[1]战斗预期!E$4</f>
        <v>28994</v>
      </c>
      <c r="AP90" s="28">
        <f>$AH90/5*[1]战斗预期!F$4</f>
        <v>23195.200000000001</v>
      </c>
      <c r="AQ90" s="28">
        <f>$AH90/5*[1]战斗预期!G$4</f>
        <v>23195.200000000001</v>
      </c>
      <c r="AR90" s="28">
        <f>$AL90*怪物属性规划!A$18*怪物属性等级系数!A84</f>
        <v>184604.59587124825</v>
      </c>
      <c r="AS90" s="28">
        <f>$AL90*怪物属性规划!B$18</f>
        <v>11146</v>
      </c>
      <c r="AT90" s="28">
        <f>$AL90*怪物属性规划!C$18</f>
        <v>11146</v>
      </c>
      <c r="AU90" s="28">
        <f>$AL90*怪物属性规划!D$18</f>
        <v>8916.8000000000011</v>
      </c>
      <c r="AV90" s="28">
        <f>$AL90*怪物属性规划!E$18</f>
        <v>8916.8000000000011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48">
        <f>[2]技能伤害!$C85</f>
        <v>1.8200000000000007</v>
      </c>
      <c r="BC90" s="2">
        <f>[2]技能伤害!$N85</f>
        <v>31294</v>
      </c>
      <c r="BD90" s="2">
        <f>[2]技能伤害!$L85</f>
        <v>2999</v>
      </c>
      <c r="BE90" s="48">
        <f t="shared" si="46"/>
        <v>0.45362186494831375</v>
      </c>
      <c r="BF90" s="48">
        <f t="shared" si="47"/>
        <v>0.95751166647418906</v>
      </c>
      <c r="BG90" s="28">
        <f t="shared" si="51"/>
        <v>167300.86207517303</v>
      </c>
      <c r="BH90" s="28">
        <f t="shared" si="52"/>
        <v>947.14993095737748</v>
      </c>
      <c r="BI90" s="28">
        <f t="shared" si="53"/>
        <v>8968.2810835608016</v>
      </c>
      <c r="BJ90" s="49">
        <f t="shared" si="48"/>
        <v>0.61301602122813847</v>
      </c>
      <c r="BK90" s="49">
        <f t="shared" si="49"/>
        <v>612.23675475946914</v>
      </c>
      <c r="BL90" s="49">
        <f t="shared" si="54"/>
        <v>35.921661303198768</v>
      </c>
    </row>
    <row r="91" spans="9:64" x14ac:dyDescent="0.15">
      <c r="I91" s="29">
        <v>84</v>
      </c>
      <c r="J91" s="29">
        <f>[1]属性成长!$D91</f>
        <v>420</v>
      </c>
      <c r="K91" s="27">
        <v>84</v>
      </c>
      <c r="L91" s="27">
        <v>84</v>
      </c>
      <c r="M91" s="27">
        <f t="shared" si="40"/>
        <v>80</v>
      </c>
      <c r="N91" s="27">
        <v>5</v>
      </c>
      <c r="O91" s="27">
        <v>84</v>
      </c>
      <c r="P91" s="27">
        <f t="shared" si="21"/>
        <v>80</v>
      </c>
      <c r="Q91" s="27">
        <f t="shared" si="22"/>
        <v>5</v>
      </c>
      <c r="R91" s="27">
        <f t="shared" si="37"/>
        <v>9</v>
      </c>
      <c r="S91" s="27">
        <v>28</v>
      </c>
      <c r="T91" s="27">
        <v>50</v>
      </c>
      <c r="U91" s="27">
        <f t="shared" si="23"/>
        <v>50</v>
      </c>
      <c r="V91" s="27">
        <f t="shared" si="34"/>
        <v>50</v>
      </c>
      <c r="W91" s="27">
        <f t="shared" si="39"/>
        <v>50</v>
      </c>
      <c r="X91" s="27">
        <f t="shared" si="39"/>
        <v>44</v>
      </c>
      <c r="Y91" s="27">
        <v>84</v>
      </c>
      <c r="Z91" s="27">
        <f t="shared" si="36"/>
        <v>10</v>
      </c>
      <c r="AA91" s="27">
        <f t="shared" si="35"/>
        <v>11</v>
      </c>
      <c r="AB91" s="2">
        <f t="shared" si="41"/>
        <v>450</v>
      </c>
      <c r="AC91" s="28">
        <f t="shared" si="42"/>
        <v>5212.7889900434502</v>
      </c>
      <c r="AD91" s="28">
        <f t="shared" si="43"/>
        <v>4038.7028536436983</v>
      </c>
      <c r="AE91" s="28">
        <f t="shared" si="44"/>
        <v>11847.111111111111</v>
      </c>
      <c r="AF91" s="28">
        <f>INDEX(圣火属性!$I$3:$I$53,MATCH(T91,圣火属性!$B$3:$B$53,0),1)+INDEX(圣火属性!$J$3:$J$53,MATCH(U91,圣火属性!$B$3:$B$53,0),1)+INDEX(圣火属性!$K$3:$K$53,MATCH(V91,圣火属性!$B$3:$B$53,0),1)+INDEX(圣火属性!$L$3:$L$53,MATCH(W91,圣火属性!$B$3:$B$53,0),1)+INDEX(圣火属性!$M$3:$M$53,MATCH(X91,圣火属性!$B$3:$B$53,0),1)</f>
        <v>2865</v>
      </c>
      <c r="AG91" s="28">
        <f>AA91*VLOOKUP(Z91,神器属性!$B$4:$D$13,3,FALSE)</f>
        <v>4664</v>
      </c>
      <c r="AH91" s="36">
        <f t="shared" si="20"/>
        <v>29078</v>
      </c>
      <c r="AI91" s="36">
        <f>AH91*10*(1+VLOOKUP(Y91,技能效果!$B$2:$D$101,3,FALSE))</f>
        <v>387318.96000000008</v>
      </c>
      <c r="AJ91" s="36">
        <f t="shared" si="45"/>
        <v>11520.504199999999</v>
      </c>
      <c r="AK91" s="2">
        <v>1</v>
      </c>
      <c r="AL91" s="28">
        <f t="shared" si="50"/>
        <v>11521</v>
      </c>
      <c r="AM91" s="28">
        <f>$AH91/5*[1]战斗预期!C$4</f>
        <v>581560</v>
      </c>
      <c r="AN91" s="28">
        <f>$AH91/5*[1]战斗预期!D$4</f>
        <v>58156</v>
      </c>
      <c r="AO91" s="28">
        <f>$AH91/5*[1]战斗预期!E$4</f>
        <v>29078</v>
      </c>
      <c r="AP91" s="28">
        <f>$AH91/5*[1]战斗预期!F$4</f>
        <v>23262.400000000001</v>
      </c>
      <c r="AQ91" s="28">
        <f>$AH91/5*[1]战斗预期!G$4</f>
        <v>23262.400000000001</v>
      </c>
      <c r="AR91" s="28">
        <f>$AL91*怪物属性规划!A$18*怪物属性等级系数!A85</f>
        <v>192919.65888625672</v>
      </c>
      <c r="AS91" s="28">
        <f>$AL91*怪物属性规划!B$18</f>
        <v>11521</v>
      </c>
      <c r="AT91" s="28">
        <f>$AL91*怪物属性规划!C$18</f>
        <v>11521</v>
      </c>
      <c r="AU91" s="28">
        <f>$AL91*怪物属性规划!D$18</f>
        <v>9216.8000000000011</v>
      </c>
      <c r="AV91" s="28">
        <f>$AL91*怪物属性规划!E$18</f>
        <v>9216.8000000000011</v>
      </c>
      <c r="AW91" s="28">
        <v>0</v>
      </c>
      <c r="AX91" s="28">
        <v>0</v>
      </c>
      <c r="AY91" s="28">
        <v>0</v>
      </c>
      <c r="AZ91" s="28">
        <v>0</v>
      </c>
      <c r="BA91" s="28">
        <v>0</v>
      </c>
      <c r="BB91" s="48">
        <f>[2]技能伤害!$C86</f>
        <v>1.8300000000000007</v>
      </c>
      <c r="BC91" s="2">
        <f>[2]技能伤害!$N86</f>
        <v>32742</v>
      </c>
      <c r="BD91" s="2">
        <f>[2]技能伤害!$L86</f>
        <v>3002</v>
      </c>
      <c r="BE91" s="48">
        <f t="shared" si="46"/>
        <v>0.45061433506635307</v>
      </c>
      <c r="BF91" s="48">
        <f t="shared" si="47"/>
        <v>0.95758861811182805</v>
      </c>
      <c r="BG91" s="28">
        <f t="shared" si="51"/>
        <v>168344.16219136518</v>
      </c>
      <c r="BH91" s="28">
        <f t="shared" si="52"/>
        <v>977.24306146725803</v>
      </c>
      <c r="BI91" s="28">
        <f t="shared" si="53"/>
        <v>9027.3033498240165</v>
      </c>
      <c r="BJ91" s="49">
        <f t="shared" si="48"/>
        <v>0.63665758809211637</v>
      </c>
      <c r="BK91" s="49">
        <f t="shared" si="49"/>
        <v>595.10271592701895</v>
      </c>
      <c r="BL91" s="49">
        <f t="shared" si="54"/>
        <v>35.790188538993469</v>
      </c>
    </row>
    <row r="92" spans="9:64" x14ac:dyDescent="0.15">
      <c r="I92" s="29">
        <v>85</v>
      </c>
      <c r="J92" s="29">
        <f>[1]属性成长!$D92</f>
        <v>425</v>
      </c>
      <c r="K92" s="27">
        <v>85</v>
      </c>
      <c r="L92" s="27">
        <v>85</v>
      </c>
      <c r="M92" s="27">
        <f t="shared" si="40"/>
        <v>85</v>
      </c>
      <c r="N92" s="27">
        <v>5</v>
      </c>
      <c r="O92" s="27">
        <v>85</v>
      </c>
      <c r="P92" s="27">
        <f t="shared" si="21"/>
        <v>85</v>
      </c>
      <c r="Q92" s="27">
        <f t="shared" si="22"/>
        <v>5</v>
      </c>
      <c r="R92" s="27">
        <f t="shared" si="37"/>
        <v>10</v>
      </c>
      <c r="S92" s="27">
        <v>28</v>
      </c>
      <c r="T92" s="27">
        <v>50</v>
      </c>
      <c r="U92" s="27">
        <f t="shared" si="23"/>
        <v>50</v>
      </c>
      <c r="V92" s="27">
        <f t="shared" si="34"/>
        <v>50</v>
      </c>
      <c r="W92" s="27">
        <f t="shared" si="39"/>
        <v>50</v>
      </c>
      <c r="X92" s="27">
        <f t="shared" si="39"/>
        <v>45</v>
      </c>
      <c r="Y92" s="27">
        <v>85</v>
      </c>
      <c r="Z92" s="27">
        <v>10</v>
      </c>
      <c r="AA92" s="27">
        <f t="shared" si="35"/>
        <v>12</v>
      </c>
      <c r="AB92" s="2">
        <f t="shared" si="41"/>
        <v>455</v>
      </c>
      <c r="AC92" s="28">
        <f t="shared" si="42"/>
        <v>5461.8440263882057</v>
      </c>
      <c r="AD92" s="28">
        <f t="shared" si="43"/>
        <v>4231.7163531244878</v>
      </c>
      <c r="AE92" s="28">
        <f t="shared" si="44"/>
        <v>15680</v>
      </c>
      <c r="AF92" s="28">
        <f>INDEX(圣火属性!$I$3:$I$53,MATCH(T92,圣火属性!$B$3:$B$53,0),1)+INDEX(圣火属性!$J$3:$J$53,MATCH(U92,圣火属性!$B$3:$B$53,0),1)+INDEX(圣火属性!$K$3:$K$53,MATCH(V92,圣火属性!$B$3:$B$53,0),1)+INDEX(圣火属性!$L$3:$L$53,MATCH(W92,圣火属性!$B$3:$B$53,0),1)+INDEX(圣火属性!$M$3:$M$53,MATCH(X92,圣火属性!$B$3:$B$53,0),1)</f>
        <v>2887.5</v>
      </c>
      <c r="AG92" s="28">
        <f>AA92*VLOOKUP(Z92,神器属性!$B$4:$D$13,3,FALSE)</f>
        <v>5088</v>
      </c>
      <c r="AH92" s="36">
        <f t="shared" si="20"/>
        <v>33804</v>
      </c>
      <c r="AI92" s="36">
        <f>AH92*10*(1+VLOOKUP(Y92,技能效果!$B$2:$D$101,3,FALSE))</f>
        <v>451621.44000000012</v>
      </c>
      <c r="AJ92" s="36">
        <f t="shared" si="45"/>
        <v>11903.9095</v>
      </c>
      <c r="AK92" s="2">
        <v>1</v>
      </c>
      <c r="AL92" s="28">
        <f t="shared" si="50"/>
        <v>11904</v>
      </c>
      <c r="AM92" s="28">
        <f>$AH92/5*[1]战斗预期!C$4</f>
        <v>676080</v>
      </c>
      <c r="AN92" s="28">
        <f>$AH92/5*[1]战斗预期!D$4</f>
        <v>67608</v>
      </c>
      <c r="AO92" s="28">
        <f>$AH92/5*[1]战斗预期!E$4</f>
        <v>33804</v>
      </c>
      <c r="AP92" s="28">
        <f>$AH92/5*[1]战斗预期!F$4</f>
        <v>27043.200000000001</v>
      </c>
      <c r="AQ92" s="28">
        <f>$AH92/5*[1]战斗预期!G$4</f>
        <v>27043.200000000001</v>
      </c>
      <c r="AR92" s="28">
        <f>$AL92*怪物属性规划!A$18*怪物属性等级系数!A86</f>
        <v>201510.96460943218</v>
      </c>
      <c r="AS92" s="28">
        <f>$AL92*怪物属性规划!B$18</f>
        <v>11904</v>
      </c>
      <c r="AT92" s="28">
        <f>$AL92*怪物属性规划!C$18</f>
        <v>11904</v>
      </c>
      <c r="AU92" s="28">
        <f>$AL92*怪物属性规划!D$18</f>
        <v>9523.2000000000007</v>
      </c>
      <c r="AV92" s="28">
        <f>$AL92*怪物属性规划!E$18</f>
        <v>9523.2000000000007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48">
        <f>[2]技能伤害!$C87</f>
        <v>1.8400000000000007</v>
      </c>
      <c r="BC92" s="2">
        <f>[2]技能伤害!$N87</f>
        <v>34243</v>
      </c>
      <c r="BD92" s="2">
        <f>[2]技能伤害!$L87</f>
        <v>3103</v>
      </c>
      <c r="BE92" s="48">
        <f t="shared" si="46"/>
        <v>0.44761560648812504</v>
      </c>
      <c r="BF92" s="48">
        <f t="shared" si="47"/>
        <v>0.96211242592788826</v>
      </c>
      <c r="BG92" s="28">
        <f t="shared" si="51"/>
        <v>201905.42300170718</v>
      </c>
      <c r="BH92" s="28">
        <f t="shared" si="52"/>
        <v>902.02736350883629</v>
      </c>
      <c r="BI92" s="28">
        <f t="shared" si="53"/>
        <v>9426.3314369517793</v>
      </c>
      <c r="BJ92" s="49">
        <f t="shared" si="48"/>
        <v>0.55447017831305312</v>
      </c>
      <c r="BK92" s="49">
        <f t="shared" si="49"/>
        <v>749.51163052314337</v>
      </c>
      <c r="BL92" s="49">
        <f t="shared" si="54"/>
        <v>39.84583000419714</v>
      </c>
    </row>
    <row r="93" spans="9:64" x14ac:dyDescent="0.15">
      <c r="I93" s="29">
        <v>86</v>
      </c>
      <c r="J93" s="29">
        <f>[1]属性成长!$D93</f>
        <v>430</v>
      </c>
      <c r="K93" s="27">
        <v>86</v>
      </c>
      <c r="L93" s="27">
        <v>86</v>
      </c>
      <c r="M93" s="27">
        <f t="shared" si="40"/>
        <v>85</v>
      </c>
      <c r="N93" s="27">
        <v>5</v>
      </c>
      <c r="O93" s="27">
        <v>86</v>
      </c>
      <c r="P93" s="27">
        <f t="shared" si="21"/>
        <v>85</v>
      </c>
      <c r="Q93" s="27">
        <f t="shared" si="22"/>
        <v>5</v>
      </c>
      <c r="R93" s="27">
        <f t="shared" si="37"/>
        <v>10</v>
      </c>
      <c r="S93" s="27">
        <v>28</v>
      </c>
      <c r="T93" s="27">
        <v>50</v>
      </c>
      <c r="U93" s="27">
        <f t="shared" si="23"/>
        <v>50</v>
      </c>
      <c r="V93" s="27">
        <f t="shared" si="34"/>
        <v>50</v>
      </c>
      <c r="W93" s="27">
        <f t="shared" si="39"/>
        <v>50</v>
      </c>
      <c r="X93" s="27">
        <f t="shared" si="39"/>
        <v>46</v>
      </c>
      <c r="Y93" s="27">
        <v>86</v>
      </c>
      <c r="Z93" s="27">
        <v>10</v>
      </c>
      <c r="AA93" s="27">
        <f t="shared" si="35"/>
        <v>12</v>
      </c>
      <c r="AB93" s="2">
        <f t="shared" si="41"/>
        <v>460</v>
      </c>
      <c r="AC93" s="28">
        <f t="shared" si="42"/>
        <v>5494.0662486104284</v>
      </c>
      <c r="AD93" s="28">
        <f t="shared" si="43"/>
        <v>4257.4941309022652</v>
      </c>
      <c r="AE93" s="28">
        <f t="shared" si="44"/>
        <v>15680</v>
      </c>
      <c r="AF93" s="28">
        <f>INDEX(圣火属性!$I$3:$I$53,MATCH(T93,圣火属性!$B$3:$B$53,0),1)+INDEX(圣火属性!$J$3:$J$53,MATCH(U93,圣火属性!$B$3:$B$53,0),1)+INDEX(圣火属性!$K$3:$K$53,MATCH(V93,圣火属性!$B$3:$B$53,0),1)+INDEX(圣火属性!$L$3:$L$53,MATCH(W93,圣火属性!$B$3:$B$53,0),1)+INDEX(圣火属性!$M$3:$M$53,MATCH(X93,圣火属性!$B$3:$B$53,0),1)</f>
        <v>2910</v>
      </c>
      <c r="AG93" s="28">
        <f>AA93*VLOOKUP(Z93,神器属性!$B$4:$D$13,3,FALSE)</f>
        <v>5088</v>
      </c>
      <c r="AH93" s="36">
        <f t="shared" si="20"/>
        <v>33890</v>
      </c>
      <c r="AI93" s="36">
        <f>AH93*10*(1+VLOOKUP(Y93,技能效果!$B$2:$D$101,3,FALSE))</f>
        <v>454126.00000000012</v>
      </c>
      <c r="AJ93" s="36">
        <f t="shared" si="45"/>
        <v>12295.927799999999</v>
      </c>
      <c r="AK93" s="2">
        <v>1</v>
      </c>
      <c r="AL93" s="28">
        <f t="shared" si="50"/>
        <v>12296</v>
      </c>
      <c r="AM93" s="28">
        <f>$AH93/5*[1]战斗预期!C$4</f>
        <v>677800</v>
      </c>
      <c r="AN93" s="28">
        <f>$AH93/5*[1]战斗预期!D$4</f>
        <v>67780</v>
      </c>
      <c r="AO93" s="28">
        <f>$AH93/5*[1]战斗预期!E$4</f>
        <v>33890</v>
      </c>
      <c r="AP93" s="28">
        <f>$AH93/5*[1]战斗预期!F$4</f>
        <v>27112</v>
      </c>
      <c r="AQ93" s="28">
        <f>$AH93/5*[1]战斗预期!G$4</f>
        <v>27112</v>
      </c>
      <c r="AR93" s="28">
        <f>$AL93*怪物属性规划!A$18*怪物属性等级系数!A87</f>
        <v>210418.39891467427</v>
      </c>
      <c r="AS93" s="28">
        <f>$AL93*怪物属性规划!B$18</f>
        <v>12296</v>
      </c>
      <c r="AT93" s="28">
        <f>$AL93*怪物属性规划!C$18</f>
        <v>12296</v>
      </c>
      <c r="AU93" s="28">
        <f>$AL93*怪物属性规划!D$18</f>
        <v>9836.8000000000011</v>
      </c>
      <c r="AV93" s="28">
        <f>$AL93*怪物属性规划!E$18</f>
        <v>9836.8000000000011</v>
      </c>
      <c r="AW93" s="28">
        <v>0</v>
      </c>
      <c r="AX93" s="28">
        <v>0</v>
      </c>
      <c r="AY93" s="28">
        <v>0</v>
      </c>
      <c r="AZ93" s="28">
        <v>0</v>
      </c>
      <c r="BA93" s="28">
        <v>0</v>
      </c>
      <c r="BB93" s="48">
        <f>[2]技能伤害!$C88</f>
        <v>1.8500000000000008</v>
      </c>
      <c r="BC93" s="2">
        <f>[2]技能伤害!$N88</f>
        <v>35803</v>
      </c>
      <c r="BD93" s="2">
        <f>[2]技能伤害!$L88</f>
        <v>3105</v>
      </c>
      <c r="BE93" s="48">
        <f t="shared" si="46"/>
        <v>0.44461339624935908</v>
      </c>
      <c r="BF93" s="48">
        <f t="shared" si="47"/>
        <v>0.96218149741163528</v>
      </c>
      <c r="BG93" s="28">
        <f t="shared" si="51"/>
        <v>203201.42480820834</v>
      </c>
      <c r="BH93" s="28">
        <f t="shared" si="52"/>
        <v>930.03261565306525</v>
      </c>
      <c r="BI93" s="28">
        <f t="shared" si="53"/>
        <v>9484.3509901256384</v>
      </c>
      <c r="BJ93" s="49">
        <f t="shared" si="48"/>
        <v>0.5752868643440251</v>
      </c>
      <c r="BK93" s="49">
        <f t="shared" si="49"/>
        <v>728.7916451446722</v>
      </c>
      <c r="BL93" s="49">
        <f t="shared" si="54"/>
        <v>39.702827947594479</v>
      </c>
    </row>
    <row r="94" spans="9:64" x14ac:dyDescent="0.15">
      <c r="I94" s="29">
        <v>87</v>
      </c>
      <c r="J94" s="29">
        <f>[1]属性成长!$D94</f>
        <v>435</v>
      </c>
      <c r="K94" s="27">
        <v>87</v>
      </c>
      <c r="L94" s="27">
        <v>87</v>
      </c>
      <c r="M94" s="27">
        <f t="shared" si="40"/>
        <v>85</v>
      </c>
      <c r="N94" s="27">
        <v>5</v>
      </c>
      <c r="O94" s="27">
        <v>87</v>
      </c>
      <c r="P94" s="27">
        <f t="shared" si="21"/>
        <v>85</v>
      </c>
      <c r="Q94" s="27">
        <f t="shared" si="22"/>
        <v>5</v>
      </c>
      <c r="R94" s="27">
        <f t="shared" si="37"/>
        <v>10</v>
      </c>
      <c r="S94" s="27">
        <v>28</v>
      </c>
      <c r="T94" s="27">
        <v>50</v>
      </c>
      <c r="U94" s="27">
        <f t="shared" si="23"/>
        <v>50</v>
      </c>
      <c r="V94" s="27">
        <f t="shared" si="34"/>
        <v>50</v>
      </c>
      <c r="W94" s="27">
        <f t="shared" si="39"/>
        <v>50</v>
      </c>
      <c r="X94" s="27">
        <f t="shared" si="39"/>
        <v>47</v>
      </c>
      <c r="Y94" s="27">
        <v>87</v>
      </c>
      <c r="Z94" s="27">
        <v>10</v>
      </c>
      <c r="AA94" s="27">
        <f t="shared" si="35"/>
        <v>12</v>
      </c>
      <c r="AB94" s="2">
        <f t="shared" si="41"/>
        <v>465</v>
      </c>
      <c r="AC94" s="28">
        <f t="shared" si="42"/>
        <v>5526.288470832651</v>
      </c>
      <c r="AD94" s="28">
        <f t="shared" si="43"/>
        <v>4283.2719086800425</v>
      </c>
      <c r="AE94" s="28">
        <f t="shared" si="44"/>
        <v>15680</v>
      </c>
      <c r="AF94" s="28">
        <f>INDEX(圣火属性!$I$3:$I$53,MATCH(T94,圣火属性!$B$3:$B$53,0),1)+INDEX(圣火属性!$J$3:$J$53,MATCH(U94,圣火属性!$B$3:$B$53,0),1)+INDEX(圣火属性!$K$3:$K$53,MATCH(V94,圣火属性!$B$3:$B$53,0),1)+INDEX(圣火属性!$L$3:$L$53,MATCH(W94,圣火属性!$B$3:$B$53,0),1)+INDEX(圣火属性!$M$3:$M$53,MATCH(X94,圣火属性!$B$3:$B$53,0),1)</f>
        <v>2932.5</v>
      </c>
      <c r="AG94" s="28">
        <f>AA94*VLOOKUP(Z94,神器属性!$B$4:$D$13,3,FALSE)</f>
        <v>5088</v>
      </c>
      <c r="AH94" s="36">
        <f t="shared" ref="AH94:AH107" si="55">ROUND(SUM(AB94:AG94),0)</f>
        <v>33975</v>
      </c>
      <c r="AI94" s="36">
        <f>AH94*10*(1+VLOOKUP(Y94,技能效果!$B$2:$D$101,3,FALSE))</f>
        <v>456624.00000000012</v>
      </c>
      <c r="AJ94" s="36">
        <f t="shared" si="45"/>
        <v>12696.6569</v>
      </c>
      <c r="AK94" s="2">
        <v>1</v>
      </c>
      <c r="AL94" s="28">
        <f t="shared" si="50"/>
        <v>12697</v>
      </c>
      <c r="AM94" s="28">
        <f>$AH94/5*[1]战斗预期!C$4</f>
        <v>679500</v>
      </c>
      <c r="AN94" s="28">
        <f>$AH94/5*[1]战斗预期!D$4</f>
        <v>67950</v>
      </c>
      <c r="AO94" s="28">
        <f>$AH94/5*[1]战斗预期!E$4</f>
        <v>33975</v>
      </c>
      <c r="AP94" s="28">
        <f>$AH94/5*[1]战斗预期!F$4</f>
        <v>27180</v>
      </c>
      <c r="AQ94" s="28">
        <f>$AH94/5*[1]战斗预期!G$4</f>
        <v>27180</v>
      </c>
      <c r="AR94" s="28">
        <f>$AL94*怪物属性规划!A$18*怪物属性等级系数!A88</f>
        <v>219645.52582049422</v>
      </c>
      <c r="AS94" s="28">
        <f>$AL94*怪物属性规划!B$18</f>
        <v>12697</v>
      </c>
      <c r="AT94" s="28">
        <f>$AL94*怪物属性规划!C$18</f>
        <v>12697</v>
      </c>
      <c r="AU94" s="28">
        <f>$AL94*怪物属性规划!D$18</f>
        <v>10157.6</v>
      </c>
      <c r="AV94" s="28">
        <f>$AL94*怪物属性规划!E$18</f>
        <v>10157.6</v>
      </c>
      <c r="AW94" s="28">
        <v>0</v>
      </c>
      <c r="AX94" s="28">
        <v>0</v>
      </c>
      <c r="AY94" s="28">
        <v>0</v>
      </c>
      <c r="AZ94" s="28">
        <v>0</v>
      </c>
      <c r="BA94" s="28">
        <v>0</v>
      </c>
      <c r="BB94" s="48">
        <f>[2]技能伤害!$C89</f>
        <v>1.8600000000000008</v>
      </c>
      <c r="BC94" s="2">
        <f>[2]技能伤害!$N89</f>
        <v>37423</v>
      </c>
      <c r="BD94" s="2">
        <f>[2]技能伤害!$L89</f>
        <v>3106</v>
      </c>
      <c r="BE94" s="48">
        <f t="shared" si="46"/>
        <v>0.44161224886368405</v>
      </c>
      <c r="BF94" s="48">
        <f t="shared" si="47"/>
        <v>0.96226085162591912</v>
      </c>
      <c r="BG94" s="28">
        <f t="shared" si="51"/>
        <v>204469.23340573124</v>
      </c>
      <c r="BH94" s="28">
        <f t="shared" si="52"/>
        <v>958.3479338114098</v>
      </c>
      <c r="BI94" s="28">
        <f t="shared" si="53"/>
        <v>9539.4754911099244</v>
      </c>
      <c r="BJ94" s="49">
        <f t="shared" si="48"/>
        <v>0.59679048084637876</v>
      </c>
      <c r="BK94" s="49">
        <f t="shared" si="49"/>
        <v>709.03267594847932</v>
      </c>
      <c r="BL94" s="49">
        <f t="shared" si="54"/>
        <v>39.572406297579114</v>
      </c>
    </row>
    <row r="95" spans="9:64" x14ac:dyDescent="0.15">
      <c r="I95" s="29">
        <v>88</v>
      </c>
      <c r="J95" s="29">
        <f>[1]属性成长!$D95</f>
        <v>440</v>
      </c>
      <c r="K95" s="27">
        <v>88</v>
      </c>
      <c r="L95" s="27">
        <v>88</v>
      </c>
      <c r="M95" s="27">
        <f t="shared" si="40"/>
        <v>85</v>
      </c>
      <c r="N95" s="27">
        <v>5</v>
      </c>
      <c r="O95" s="27">
        <v>88</v>
      </c>
      <c r="P95" s="27">
        <f t="shared" si="21"/>
        <v>85</v>
      </c>
      <c r="Q95" s="27">
        <f t="shared" si="22"/>
        <v>5</v>
      </c>
      <c r="R95" s="27">
        <f t="shared" si="37"/>
        <v>10</v>
      </c>
      <c r="S95" s="27">
        <v>28</v>
      </c>
      <c r="T95" s="27">
        <v>50</v>
      </c>
      <c r="U95" s="27">
        <f t="shared" si="23"/>
        <v>50</v>
      </c>
      <c r="V95" s="27">
        <f t="shared" si="34"/>
        <v>50</v>
      </c>
      <c r="W95" s="27">
        <f t="shared" si="39"/>
        <v>50</v>
      </c>
      <c r="X95" s="27">
        <f t="shared" si="39"/>
        <v>48</v>
      </c>
      <c r="Y95" s="27">
        <v>88</v>
      </c>
      <c r="Z95" s="27">
        <v>10</v>
      </c>
      <c r="AA95" s="27">
        <f t="shared" si="35"/>
        <v>12</v>
      </c>
      <c r="AB95" s="2">
        <f t="shared" si="41"/>
        <v>470</v>
      </c>
      <c r="AC95" s="28">
        <f t="shared" si="42"/>
        <v>5558.5106930548727</v>
      </c>
      <c r="AD95" s="28">
        <f t="shared" si="43"/>
        <v>4309.0496864578208</v>
      </c>
      <c r="AE95" s="28">
        <f t="shared" si="44"/>
        <v>15680</v>
      </c>
      <c r="AF95" s="28">
        <f>INDEX(圣火属性!$I$3:$I$53,MATCH(T95,圣火属性!$B$3:$B$53,0),1)+INDEX(圣火属性!$J$3:$J$53,MATCH(U95,圣火属性!$B$3:$B$53,0),1)+INDEX(圣火属性!$K$3:$K$53,MATCH(V95,圣火属性!$B$3:$B$53,0),1)+INDEX(圣火属性!$L$3:$L$53,MATCH(W95,圣火属性!$B$3:$B$53,0),1)+INDEX(圣火属性!$M$3:$M$53,MATCH(X95,圣火属性!$B$3:$B$53,0),1)</f>
        <v>2955</v>
      </c>
      <c r="AG95" s="28">
        <f>AA95*VLOOKUP(Z95,神器属性!$B$4:$D$13,3,FALSE)</f>
        <v>5088</v>
      </c>
      <c r="AH95" s="36">
        <f t="shared" si="55"/>
        <v>34061</v>
      </c>
      <c r="AI95" s="36">
        <f>AH95*10*(1+VLOOKUP(Y95,技能效果!$B$2:$D$101,3,FALSE))</f>
        <v>459142.28000000009</v>
      </c>
      <c r="AJ95" s="36">
        <f t="shared" si="45"/>
        <v>13106.194600000001</v>
      </c>
      <c r="AK95" s="2">
        <v>1</v>
      </c>
      <c r="AL95" s="28">
        <f t="shared" si="50"/>
        <v>13106</v>
      </c>
      <c r="AM95" s="28">
        <f>$AH95/5*[1]战斗预期!C$4</f>
        <v>681220</v>
      </c>
      <c r="AN95" s="28">
        <f>$AH95/5*[1]战斗预期!D$4</f>
        <v>68122</v>
      </c>
      <c r="AO95" s="28">
        <f>$AH95/5*[1]战斗预期!E$4</f>
        <v>34061</v>
      </c>
      <c r="AP95" s="28">
        <f>$AH95/5*[1]战斗预期!F$4</f>
        <v>27248.799999999999</v>
      </c>
      <c r="AQ95" s="28">
        <f>$AH95/5*[1]战斗预期!G$4</f>
        <v>27248.799999999999</v>
      </c>
      <c r="AR95" s="28">
        <f>$AL95*怪物属性规划!A$18*怪物属性等级系数!A89</f>
        <v>229166.21052188706</v>
      </c>
      <c r="AS95" s="28">
        <f>$AL95*怪物属性规划!B$18</f>
        <v>13106</v>
      </c>
      <c r="AT95" s="28">
        <f>$AL95*怪物属性规划!C$18</f>
        <v>13106</v>
      </c>
      <c r="AU95" s="28">
        <f>$AL95*怪物属性规划!D$18</f>
        <v>10484.800000000001</v>
      </c>
      <c r="AV95" s="28">
        <f>$AL95*怪物属性规划!E$18</f>
        <v>10484.800000000001</v>
      </c>
      <c r="AW95" s="28">
        <v>0</v>
      </c>
      <c r="AX95" s="28">
        <v>0</v>
      </c>
      <c r="AY95" s="28">
        <v>0</v>
      </c>
      <c r="AZ95" s="28">
        <v>0</v>
      </c>
      <c r="BA95" s="28">
        <v>0</v>
      </c>
      <c r="BB95" s="48">
        <f>[2]技能伤害!$C90</f>
        <v>1.8700000000000008</v>
      </c>
      <c r="BC95" s="2">
        <f>[2]技能伤害!$N90</f>
        <v>39102</v>
      </c>
      <c r="BD95" s="2">
        <f>[2]技能伤害!$L90</f>
        <v>3108</v>
      </c>
      <c r="BE95" s="48">
        <f t="shared" si="46"/>
        <v>0.43861002455158604</v>
      </c>
      <c r="BF95" s="48">
        <f t="shared" si="47"/>
        <v>0.96232922265632803</v>
      </c>
      <c r="BG95" s="28">
        <f t="shared" si="51"/>
        <v>205726.20957403831</v>
      </c>
      <c r="BH95" s="28">
        <f t="shared" si="52"/>
        <v>987.42641573232959</v>
      </c>
      <c r="BI95" s="28">
        <f t="shared" si="53"/>
        <v>9597.6205163290288</v>
      </c>
      <c r="BJ95" s="49">
        <f t="shared" si="48"/>
        <v>0.61885435824952306</v>
      </c>
      <c r="BK95" s="49">
        <f t="shared" si="49"/>
        <v>689.89444595197494</v>
      </c>
      <c r="BL95" s="49">
        <f t="shared" si="54"/>
        <v>39.432227489268364</v>
      </c>
    </row>
    <row r="96" spans="9:64" x14ac:dyDescent="0.15">
      <c r="I96" s="29">
        <v>89</v>
      </c>
      <c r="J96" s="29">
        <f>[1]属性成长!$D96</f>
        <v>445</v>
      </c>
      <c r="K96" s="27">
        <v>89</v>
      </c>
      <c r="L96" s="27">
        <v>89</v>
      </c>
      <c r="M96" s="27">
        <f t="shared" si="40"/>
        <v>85</v>
      </c>
      <c r="N96" s="27">
        <v>5</v>
      </c>
      <c r="O96" s="27">
        <v>89</v>
      </c>
      <c r="P96" s="27">
        <f t="shared" si="21"/>
        <v>85</v>
      </c>
      <c r="Q96" s="27">
        <f t="shared" si="22"/>
        <v>5</v>
      </c>
      <c r="R96" s="27">
        <f t="shared" si="37"/>
        <v>10</v>
      </c>
      <c r="S96" s="27">
        <v>28</v>
      </c>
      <c r="T96" s="27">
        <v>50</v>
      </c>
      <c r="U96" s="27">
        <f t="shared" si="23"/>
        <v>50</v>
      </c>
      <c r="V96" s="27">
        <f t="shared" si="34"/>
        <v>50</v>
      </c>
      <c r="W96" s="27">
        <f t="shared" si="39"/>
        <v>50</v>
      </c>
      <c r="X96" s="27">
        <f t="shared" si="39"/>
        <v>49</v>
      </c>
      <c r="Y96" s="27">
        <v>89</v>
      </c>
      <c r="Z96" s="27">
        <v>10</v>
      </c>
      <c r="AA96" s="27">
        <f t="shared" si="35"/>
        <v>12</v>
      </c>
      <c r="AB96" s="2">
        <f t="shared" si="41"/>
        <v>475</v>
      </c>
      <c r="AC96" s="28">
        <f t="shared" si="42"/>
        <v>5590.7329152770944</v>
      </c>
      <c r="AD96" s="28">
        <f t="shared" si="43"/>
        <v>4334.8274642355991</v>
      </c>
      <c r="AE96" s="28">
        <f t="shared" si="44"/>
        <v>15680</v>
      </c>
      <c r="AF96" s="28">
        <f>INDEX(圣火属性!$I$3:$I$53,MATCH(T96,圣火属性!$B$3:$B$53,0),1)+INDEX(圣火属性!$J$3:$J$53,MATCH(U96,圣火属性!$B$3:$B$53,0),1)+INDEX(圣火属性!$K$3:$K$53,MATCH(V96,圣火属性!$B$3:$B$53,0),1)+INDEX(圣火属性!$L$3:$L$53,MATCH(W96,圣火属性!$B$3:$B$53,0),1)+INDEX(圣火属性!$M$3:$M$53,MATCH(X96,圣火属性!$B$3:$B$53,0),1)</f>
        <v>2977.5</v>
      </c>
      <c r="AG96" s="28">
        <f>AA96*VLOOKUP(Z96,神器属性!$B$4:$D$13,3,FALSE)</f>
        <v>5088</v>
      </c>
      <c r="AH96" s="36">
        <f t="shared" si="55"/>
        <v>34146</v>
      </c>
      <c r="AI96" s="36">
        <f>AH96*10*(1+VLOOKUP(Y96,技能效果!$B$2:$D$101,3,FALSE))</f>
        <v>461653.9200000001</v>
      </c>
      <c r="AJ96" s="36">
        <f t="shared" si="45"/>
        <v>13524.6387</v>
      </c>
      <c r="AK96" s="2">
        <v>1</v>
      </c>
      <c r="AL96" s="28">
        <f t="shared" si="50"/>
        <v>13525</v>
      </c>
      <c r="AM96" s="28">
        <f>$AH96/5*[1]战斗预期!C$4</f>
        <v>682920</v>
      </c>
      <c r="AN96" s="28">
        <f>$AH96/5*[1]战斗预期!D$4</f>
        <v>68292</v>
      </c>
      <c r="AO96" s="28">
        <f>$AH96/5*[1]战斗预期!E$4</f>
        <v>34146</v>
      </c>
      <c r="AP96" s="28">
        <f>$AH96/5*[1]战斗预期!F$4</f>
        <v>27316.799999999999</v>
      </c>
      <c r="AQ96" s="28">
        <f>$AH96/5*[1]战斗预期!G$4</f>
        <v>27316.799999999999</v>
      </c>
      <c r="AR96" s="28">
        <f>$AL96*怪物属性规划!A$18*怪物属性等级系数!A90</f>
        <v>239016.99372822954</v>
      </c>
      <c r="AS96" s="28">
        <f>$AL96*怪物属性规划!B$18</f>
        <v>13525</v>
      </c>
      <c r="AT96" s="28">
        <f>$AL96*怪物属性规划!C$18</f>
        <v>13525</v>
      </c>
      <c r="AU96" s="28">
        <f>$AL96*怪物属性规划!D$18</f>
        <v>10820</v>
      </c>
      <c r="AV96" s="28">
        <f>$AL96*怪物属性规划!E$18</f>
        <v>10820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48">
        <f>[2]技能伤害!$C91</f>
        <v>1.8800000000000008</v>
      </c>
      <c r="BC96" s="2">
        <f>[2]技能伤害!$N91</f>
        <v>40848</v>
      </c>
      <c r="BD96" s="2">
        <f>[2]技能伤害!$L91</f>
        <v>3110</v>
      </c>
      <c r="BE96" s="48">
        <f t="shared" si="46"/>
        <v>0.4356047088724096</v>
      </c>
      <c r="BF96" s="48">
        <f t="shared" si="47"/>
        <v>0.96239619911843755</v>
      </c>
      <c r="BG96" s="28">
        <f t="shared" si="51"/>
        <v>206952.21691353724</v>
      </c>
      <c r="BH96" s="28">
        <f t="shared" si="52"/>
        <v>1017.1828138462644</v>
      </c>
      <c r="BI96" s="28">
        <f t="shared" si="53"/>
        <v>9655.8257744617767</v>
      </c>
      <c r="BJ96" s="49">
        <f t="shared" si="48"/>
        <v>0.64163226042358656</v>
      </c>
      <c r="BK96" s="49">
        <f t="shared" si="49"/>
        <v>671.38373820698041</v>
      </c>
      <c r="BL96" s="49">
        <f t="shared" si="54"/>
        <v>39.292341107008845</v>
      </c>
    </row>
    <row r="97" spans="9:64" x14ac:dyDescent="0.15">
      <c r="I97" s="29">
        <v>90</v>
      </c>
      <c r="J97" s="29">
        <f>[1]属性成长!$D97</f>
        <v>450</v>
      </c>
      <c r="K97" s="27">
        <v>90</v>
      </c>
      <c r="L97" s="27">
        <v>90</v>
      </c>
      <c r="M97" s="27">
        <f t="shared" si="40"/>
        <v>90</v>
      </c>
      <c r="N97" s="27">
        <v>5</v>
      </c>
      <c r="O97" s="27">
        <v>90</v>
      </c>
      <c r="P97" s="27">
        <f t="shared" ref="P97:P107" si="56">M97</f>
        <v>90</v>
      </c>
      <c r="Q97" s="27">
        <f t="shared" ref="Q97:Q107" si="57">N97</f>
        <v>5</v>
      </c>
      <c r="R97" s="27">
        <v>10</v>
      </c>
      <c r="S97" s="27">
        <v>28</v>
      </c>
      <c r="T97" s="27">
        <v>50</v>
      </c>
      <c r="U97" s="27">
        <f t="shared" si="23"/>
        <v>50</v>
      </c>
      <c r="V97" s="27">
        <f t="shared" si="34"/>
        <v>50</v>
      </c>
      <c r="W97" s="27">
        <f t="shared" si="39"/>
        <v>50</v>
      </c>
      <c r="X97" s="27">
        <f t="shared" si="39"/>
        <v>50</v>
      </c>
      <c r="Y97" s="27">
        <v>90</v>
      </c>
      <c r="Z97" s="27">
        <v>10</v>
      </c>
      <c r="AA97" s="27">
        <f t="shared" si="35"/>
        <v>13</v>
      </c>
      <c r="AB97" s="2">
        <f t="shared" si="41"/>
        <v>480</v>
      </c>
      <c r="AC97" s="28">
        <f t="shared" si="42"/>
        <v>5846.7220751686946</v>
      </c>
      <c r="AD97" s="28">
        <f t="shared" si="43"/>
        <v>4533.374889709854</v>
      </c>
      <c r="AE97" s="28">
        <f t="shared" si="44"/>
        <v>15680</v>
      </c>
      <c r="AF97" s="28">
        <f>INDEX(圣火属性!$I$3:$I$53,MATCH(T97,圣火属性!$B$3:$B$53,0),1)+INDEX(圣火属性!$J$3:$J$53,MATCH(U97,圣火属性!$B$3:$B$53,0),1)+INDEX(圣火属性!$K$3:$K$53,MATCH(V97,圣火属性!$B$3:$B$53,0),1)+INDEX(圣火属性!$L$3:$L$53,MATCH(W97,圣火属性!$B$3:$B$53,0),1)+INDEX(圣火属性!$M$3:$M$53,MATCH(X97,圣火属性!$B$3:$B$53,0),1)</f>
        <v>3000</v>
      </c>
      <c r="AG97" s="28">
        <f>AA97*VLOOKUP(Z97,神器属性!$B$4:$D$13,3,FALSE)</f>
        <v>5512</v>
      </c>
      <c r="AH97" s="36">
        <f t="shared" si="55"/>
        <v>35052</v>
      </c>
      <c r="AI97" s="36">
        <f>AH97*10*(1+VLOOKUP(Y97,技能效果!$B$2:$D$101,3,FALSE))</f>
        <v>475305.12000000011</v>
      </c>
      <c r="AJ97" s="36">
        <f t="shared" si="45"/>
        <v>13952.087</v>
      </c>
      <c r="AK97" s="2">
        <v>1</v>
      </c>
      <c r="AL97" s="28">
        <f t="shared" si="50"/>
        <v>13952</v>
      </c>
      <c r="AM97" s="28">
        <f>$AH97/5*[1]战斗预期!C$4</f>
        <v>701040</v>
      </c>
      <c r="AN97" s="28">
        <f>$AH97/5*[1]战斗预期!D$4</f>
        <v>70104</v>
      </c>
      <c r="AO97" s="28">
        <f>$AH97/5*[1]战斗预期!E$4</f>
        <v>35052</v>
      </c>
      <c r="AP97" s="28">
        <f>$AH97/5*[1]战斗预期!F$4</f>
        <v>28041.599999999999</v>
      </c>
      <c r="AQ97" s="28">
        <f>$AH97/5*[1]战斗预期!G$4</f>
        <v>28041.599999999999</v>
      </c>
      <c r="AR97" s="28">
        <f>$AL97*怪物属性规划!A$18*怪物属性等级系数!A91</f>
        <v>249202.88882323224</v>
      </c>
      <c r="AS97" s="28">
        <f>$AL97*怪物属性规划!B$18</f>
        <v>13952</v>
      </c>
      <c r="AT97" s="28">
        <f>$AL97*怪物属性规划!C$18</f>
        <v>13952</v>
      </c>
      <c r="AU97" s="28">
        <f>$AL97*怪物属性规划!D$18</f>
        <v>11161.6</v>
      </c>
      <c r="AV97" s="28">
        <f>$AL97*怪物属性规划!E$18</f>
        <v>11161.6</v>
      </c>
      <c r="AW97" s="28">
        <v>0</v>
      </c>
      <c r="AX97" s="28">
        <v>0</v>
      </c>
      <c r="AY97" s="28">
        <v>0</v>
      </c>
      <c r="AZ97" s="28">
        <v>0</v>
      </c>
      <c r="BA97" s="28">
        <v>0</v>
      </c>
      <c r="BB97" s="48">
        <f>[2]技能伤害!$C92</f>
        <v>1.8900000000000008</v>
      </c>
      <c r="BC97" s="2">
        <f>[2]技能伤害!$N92</f>
        <v>42656</v>
      </c>
      <c r="BD97" s="2">
        <f>[2]技能伤害!$L92</f>
        <v>3211</v>
      </c>
      <c r="BE97" s="48">
        <f t="shared" si="46"/>
        <v>0.43260105352247391</v>
      </c>
      <c r="BF97" s="48">
        <f t="shared" si="47"/>
        <v>0.9621867365308886</v>
      </c>
      <c r="BG97" s="28">
        <f t="shared" si="51"/>
        <v>214163.21711179274</v>
      </c>
      <c r="BH97" s="28">
        <f t="shared" si="52"/>
        <v>1055.1413038420847</v>
      </c>
      <c r="BI97" s="28">
        <f t="shared" si="53"/>
        <v>10020.254664061857</v>
      </c>
      <c r="BJ97" s="49">
        <f t="shared" si="48"/>
        <v>0.64645110964116492</v>
      </c>
      <c r="BK97" s="49">
        <f t="shared" si="49"/>
        <v>664.40390253637497</v>
      </c>
      <c r="BL97" s="49">
        <f t="shared" si="54"/>
        <v>38.867940957978668</v>
      </c>
    </row>
    <row r="98" spans="9:64" x14ac:dyDescent="0.15">
      <c r="I98" s="29">
        <v>91</v>
      </c>
      <c r="J98" s="29">
        <f>[1]属性成长!$D98</f>
        <v>455</v>
      </c>
      <c r="K98" s="27">
        <v>91</v>
      </c>
      <c r="L98" s="27">
        <v>91</v>
      </c>
      <c r="M98" s="27">
        <f t="shared" si="40"/>
        <v>90</v>
      </c>
      <c r="N98" s="27">
        <v>5</v>
      </c>
      <c r="O98" s="27">
        <v>91</v>
      </c>
      <c r="P98" s="27">
        <f t="shared" si="56"/>
        <v>90</v>
      </c>
      <c r="Q98" s="27">
        <f t="shared" si="57"/>
        <v>5</v>
      </c>
      <c r="R98" s="27">
        <v>10</v>
      </c>
      <c r="S98" s="27">
        <v>28</v>
      </c>
      <c r="T98" s="27">
        <v>50</v>
      </c>
      <c r="U98" s="27">
        <f t="shared" si="23"/>
        <v>50</v>
      </c>
      <c r="V98" s="27">
        <f t="shared" si="34"/>
        <v>50</v>
      </c>
      <c r="W98" s="27">
        <f t="shared" si="39"/>
        <v>50</v>
      </c>
      <c r="X98" s="27">
        <f t="shared" si="39"/>
        <v>50</v>
      </c>
      <c r="Y98" s="27">
        <v>91</v>
      </c>
      <c r="Z98" s="27">
        <v>10</v>
      </c>
      <c r="AA98" s="27">
        <f t="shared" si="35"/>
        <v>13</v>
      </c>
      <c r="AB98" s="2">
        <f t="shared" si="41"/>
        <v>485</v>
      </c>
      <c r="AC98" s="28">
        <f t="shared" si="42"/>
        <v>5880.0554085020267</v>
      </c>
      <c r="AD98" s="28">
        <f t="shared" si="43"/>
        <v>4560.04155637652</v>
      </c>
      <c r="AE98" s="28">
        <f t="shared" si="44"/>
        <v>15680</v>
      </c>
      <c r="AF98" s="28">
        <f>INDEX(圣火属性!$I$3:$I$53,MATCH(T98,圣火属性!$B$3:$B$53,0),1)+INDEX(圣火属性!$J$3:$J$53,MATCH(U98,圣火属性!$B$3:$B$53,0),1)+INDEX(圣火属性!$K$3:$K$53,MATCH(V98,圣火属性!$B$3:$B$53,0),1)+INDEX(圣火属性!$L$3:$L$53,MATCH(W98,圣火属性!$B$3:$B$53,0),1)+INDEX(圣火属性!$M$3:$M$53,MATCH(X98,圣火属性!$B$3:$B$53,0),1)</f>
        <v>3000</v>
      </c>
      <c r="AG98" s="28">
        <f>AA98*VLOOKUP(Z98,神器属性!$B$4:$D$13,3,FALSE)</f>
        <v>5512</v>
      </c>
      <c r="AH98" s="36">
        <f t="shared" si="55"/>
        <v>35117</v>
      </c>
      <c r="AI98" s="36">
        <f>AH98*10*(1+VLOOKUP(Y98,技能效果!$B$2:$D$101,3,FALSE))</f>
        <v>477591.20000000013</v>
      </c>
      <c r="AJ98" s="36">
        <f t="shared" si="45"/>
        <v>14388.637299999999</v>
      </c>
      <c r="AK98" s="2">
        <v>1</v>
      </c>
      <c r="AL98" s="28">
        <f t="shared" si="50"/>
        <v>14389</v>
      </c>
      <c r="AM98" s="28">
        <f>$AH98/5*[1]战斗预期!C$4</f>
        <v>702340</v>
      </c>
      <c r="AN98" s="28">
        <f>$AH98/5*[1]战斗预期!D$4</f>
        <v>70234</v>
      </c>
      <c r="AO98" s="28">
        <f>$AH98/5*[1]战斗预期!E$4</f>
        <v>35117</v>
      </c>
      <c r="AP98" s="28">
        <f>$AH98/5*[1]战斗预期!F$4</f>
        <v>28093.599999999999</v>
      </c>
      <c r="AQ98" s="28">
        <f>$AH98/5*[1]战斗预期!G$4</f>
        <v>28093.599999999999</v>
      </c>
      <c r="AR98" s="28">
        <f>$AL98*怪物属性规划!A$18*怪物属性等级系数!A92</f>
        <v>259724.6169513413</v>
      </c>
      <c r="AS98" s="28">
        <f>$AL98*怪物属性规划!B$18</f>
        <v>14389</v>
      </c>
      <c r="AT98" s="28">
        <f>$AL98*怪物属性规划!C$18</f>
        <v>14389</v>
      </c>
      <c r="AU98" s="28">
        <f>$AL98*怪物属性规划!D$18</f>
        <v>11511.2</v>
      </c>
      <c r="AV98" s="28">
        <f>$AL98*怪物属性规划!E$18</f>
        <v>11511.2</v>
      </c>
      <c r="AW98" s="28">
        <v>0</v>
      </c>
      <c r="AX98" s="28">
        <v>0</v>
      </c>
      <c r="AY98" s="28">
        <v>0</v>
      </c>
      <c r="AZ98" s="28">
        <v>0</v>
      </c>
      <c r="BA98" s="28">
        <v>0</v>
      </c>
      <c r="BB98" s="48">
        <f>[2]技能伤害!$C93</f>
        <v>1.9000000000000008</v>
      </c>
      <c r="BC98" s="2">
        <f>[2]技能伤害!$N93</f>
        <v>44533</v>
      </c>
      <c r="BD98" s="2">
        <f>[2]技能伤害!$L93</f>
        <v>3202</v>
      </c>
      <c r="BE98" s="48">
        <f t="shared" si="46"/>
        <v>0.42960373064070012</v>
      </c>
      <c r="BF98" s="48">
        <f t="shared" si="47"/>
        <v>0.96235589941951705</v>
      </c>
      <c r="BG98" s="28">
        <f t="shared" si="51"/>
        <v>215245.72401228815</v>
      </c>
      <c r="BH98" s="28">
        <f t="shared" si="52"/>
        <v>1083.3219265051384</v>
      </c>
      <c r="BI98" s="28">
        <f t="shared" si="53"/>
        <v>10046.803888644636</v>
      </c>
      <c r="BJ98" s="49">
        <f t="shared" si="48"/>
        <v>0.67035688873252053</v>
      </c>
      <c r="BK98" s="49">
        <f t="shared" si="49"/>
        <v>648.32067256848666</v>
      </c>
      <c r="BL98" s="49">
        <f t="shared" si="54"/>
        <v>38.837116083244986</v>
      </c>
    </row>
    <row r="99" spans="9:64" x14ac:dyDescent="0.15">
      <c r="I99" s="29">
        <v>92</v>
      </c>
      <c r="J99" s="29">
        <f>[1]属性成长!$D99</f>
        <v>460</v>
      </c>
      <c r="K99" s="27">
        <v>92</v>
      </c>
      <c r="L99" s="27">
        <v>92</v>
      </c>
      <c r="M99" s="27">
        <f t="shared" si="40"/>
        <v>90</v>
      </c>
      <c r="N99" s="27">
        <v>5</v>
      </c>
      <c r="O99" s="27">
        <v>92</v>
      </c>
      <c r="P99" s="27">
        <f t="shared" si="56"/>
        <v>90</v>
      </c>
      <c r="Q99" s="27">
        <f t="shared" si="57"/>
        <v>5</v>
      </c>
      <c r="R99" s="27">
        <v>10</v>
      </c>
      <c r="S99" s="27">
        <v>28</v>
      </c>
      <c r="T99" s="27">
        <v>50</v>
      </c>
      <c r="U99" s="27">
        <f t="shared" si="23"/>
        <v>50</v>
      </c>
      <c r="V99" s="27">
        <f t="shared" si="34"/>
        <v>50</v>
      </c>
      <c r="W99" s="27">
        <f t="shared" si="39"/>
        <v>50</v>
      </c>
      <c r="X99" s="27">
        <f t="shared" si="39"/>
        <v>50</v>
      </c>
      <c r="Y99" s="27">
        <v>92</v>
      </c>
      <c r="Z99" s="27">
        <v>10</v>
      </c>
      <c r="AA99" s="27">
        <f t="shared" si="35"/>
        <v>13</v>
      </c>
      <c r="AB99" s="2">
        <f t="shared" si="41"/>
        <v>490</v>
      </c>
      <c r="AC99" s="28">
        <f t="shared" si="42"/>
        <v>5913.3887418353606</v>
      </c>
      <c r="AD99" s="28">
        <f t="shared" si="43"/>
        <v>4586.708223043187</v>
      </c>
      <c r="AE99" s="28">
        <f t="shared" si="44"/>
        <v>15680</v>
      </c>
      <c r="AF99" s="28">
        <f>INDEX(圣火属性!$I$3:$I$53,MATCH(T99,圣火属性!$B$3:$B$53,0),1)+INDEX(圣火属性!$J$3:$J$53,MATCH(U99,圣火属性!$B$3:$B$53,0),1)+INDEX(圣火属性!$K$3:$K$53,MATCH(V99,圣火属性!$B$3:$B$53,0),1)+INDEX(圣火属性!$L$3:$L$53,MATCH(W99,圣火属性!$B$3:$B$53,0),1)+INDEX(圣火属性!$M$3:$M$53,MATCH(X99,圣火属性!$B$3:$B$53,0),1)</f>
        <v>3000</v>
      </c>
      <c r="AG99" s="28">
        <f>AA99*VLOOKUP(Z99,神器属性!$B$4:$D$13,3,FALSE)</f>
        <v>5512</v>
      </c>
      <c r="AH99" s="36">
        <f t="shared" si="55"/>
        <v>35182</v>
      </c>
      <c r="AI99" s="36">
        <f>AH99*10*(1+VLOOKUP(Y99,技能效果!$B$2:$D$101,3,FALSE))</f>
        <v>479882.4800000001</v>
      </c>
      <c r="AJ99" s="36">
        <f t="shared" si="45"/>
        <v>14834.3874</v>
      </c>
      <c r="AK99" s="2">
        <v>1</v>
      </c>
      <c r="AL99" s="28">
        <f t="shared" si="50"/>
        <v>14834</v>
      </c>
      <c r="AM99" s="28">
        <f>$AH99/5*[1]战斗预期!C$4</f>
        <v>703640</v>
      </c>
      <c r="AN99" s="28">
        <f>$AH99/5*[1]战斗预期!D$4</f>
        <v>70364</v>
      </c>
      <c r="AO99" s="28">
        <f>$AH99/5*[1]战斗预期!E$4</f>
        <v>35182</v>
      </c>
      <c r="AP99" s="28">
        <f>$AH99/5*[1]战斗预期!F$4</f>
        <v>28145.599999999999</v>
      </c>
      <c r="AQ99" s="28">
        <f>$AH99/5*[1]战斗预期!G$4</f>
        <v>28145.599999999999</v>
      </c>
      <c r="AR99" s="28">
        <f>$AL99*怪物属性规划!A$18*怪物属性等级系数!A93</f>
        <v>270595.87151443359</v>
      </c>
      <c r="AS99" s="28">
        <f>$AL99*怪物属性规划!B$18</f>
        <v>14834</v>
      </c>
      <c r="AT99" s="28">
        <f>$AL99*怪物属性规划!C$18</f>
        <v>14834</v>
      </c>
      <c r="AU99" s="28">
        <f>$AL99*怪物属性规划!D$18</f>
        <v>11867.2</v>
      </c>
      <c r="AV99" s="28">
        <f>$AL99*怪物属性规划!E$18</f>
        <v>11867.2</v>
      </c>
      <c r="AW99" s="28">
        <v>0</v>
      </c>
      <c r="AX99" s="28">
        <v>0</v>
      </c>
      <c r="AY99" s="28">
        <v>0</v>
      </c>
      <c r="AZ99" s="28">
        <v>0</v>
      </c>
      <c r="BA99" s="28">
        <v>0</v>
      </c>
      <c r="BB99" s="48">
        <f>[2]技能伤害!$C94</f>
        <v>1.9100000000000008</v>
      </c>
      <c r="BC99" s="2">
        <f>[2]技能伤害!$N94</f>
        <v>46477</v>
      </c>
      <c r="BD99" s="2">
        <f>[2]技能伤害!$L94</f>
        <v>3194</v>
      </c>
      <c r="BE99" s="48">
        <f t="shared" si="46"/>
        <v>0.42659984937004913</v>
      </c>
      <c r="BF99" s="48">
        <f t="shared" si="47"/>
        <v>0.96251319960650272</v>
      </c>
      <c r="BG99" s="28">
        <f t="shared" si="51"/>
        <v>216307.98971989687</v>
      </c>
      <c r="BH99" s="28">
        <f t="shared" si="52"/>
        <v>1112.1583940742771</v>
      </c>
      <c r="BI99" s="28">
        <f t="shared" si="53"/>
        <v>10076.095071432326</v>
      </c>
      <c r="BJ99" s="49">
        <f t="shared" si="48"/>
        <v>0.6949860702090046</v>
      </c>
      <c r="BK99" s="49">
        <f t="shared" si="49"/>
        <v>632.67966482929444</v>
      </c>
      <c r="BL99" s="49">
        <f t="shared" si="54"/>
        <v>38.795893482527724</v>
      </c>
    </row>
    <row r="100" spans="9:64" x14ac:dyDescent="0.15">
      <c r="I100" s="29">
        <v>93</v>
      </c>
      <c r="J100" s="29">
        <f>[1]属性成长!$D100</f>
        <v>465</v>
      </c>
      <c r="K100" s="27">
        <v>93</v>
      </c>
      <c r="L100" s="27">
        <v>93</v>
      </c>
      <c r="M100" s="27">
        <f t="shared" si="40"/>
        <v>90</v>
      </c>
      <c r="N100" s="27">
        <v>5</v>
      </c>
      <c r="O100" s="27">
        <v>93</v>
      </c>
      <c r="P100" s="27">
        <f t="shared" si="56"/>
        <v>90</v>
      </c>
      <c r="Q100" s="27">
        <f t="shared" si="57"/>
        <v>5</v>
      </c>
      <c r="R100" s="27">
        <v>10</v>
      </c>
      <c r="S100" s="27">
        <v>28</v>
      </c>
      <c r="T100" s="27">
        <v>50</v>
      </c>
      <c r="U100" s="27">
        <f t="shared" si="23"/>
        <v>50</v>
      </c>
      <c r="V100" s="27">
        <f t="shared" si="34"/>
        <v>50</v>
      </c>
      <c r="W100" s="27">
        <f t="shared" si="39"/>
        <v>50</v>
      </c>
      <c r="X100" s="27">
        <f t="shared" si="39"/>
        <v>50</v>
      </c>
      <c r="Y100" s="27">
        <v>93</v>
      </c>
      <c r="Z100" s="27">
        <v>10</v>
      </c>
      <c r="AA100" s="27">
        <f t="shared" si="35"/>
        <v>13</v>
      </c>
      <c r="AB100" s="2">
        <f t="shared" si="41"/>
        <v>495</v>
      </c>
      <c r="AC100" s="28">
        <f t="shared" si="42"/>
        <v>5946.7220751686946</v>
      </c>
      <c r="AD100" s="28">
        <f t="shared" si="43"/>
        <v>4613.374889709854</v>
      </c>
      <c r="AE100" s="28">
        <f t="shared" si="44"/>
        <v>15680</v>
      </c>
      <c r="AF100" s="28">
        <f>INDEX(圣火属性!$I$3:$I$53,MATCH(T100,圣火属性!$B$3:$B$53,0),1)+INDEX(圣火属性!$J$3:$J$53,MATCH(U100,圣火属性!$B$3:$B$53,0),1)+INDEX(圣火属性!$K$3:$K$53,MATCH(V100,圣火属性!$B$3:$B$53,0),1)+INDEX(圣火属性!$L$3:$L$53,MATCH(W100,圣火属性!$B$3:$B$53,0),1)+INDEX(圣火属性!$M$3:$M$53,MATCH(X100,圣火属性!$B$3:$B$53,0),1)</f>
        <v>3000</v>
      </c>
      <c r="AG100" s="28">
        <f>AA100*VLOOKUP(Z100,神器属性!$B$4:$D$13,3,FALSE)</f>
        <v>5512</v>
      </c>
      <c r="AH100" s="36">
        <f t="shared" si="55"/>
        <v>35247</v>
      </c>
      <c r="AI100" s="36">
        <f>AH100*10*(1+VLOOKUP(Y100,技能效果!$B$2:$D$101,3,FALSE))</f>
        <v>482178.96000000014</v>
      </c>
      <c r="AJ100" s="36">
        <f t="shared" si="45"/>
        <v>15289.435100000001</v>
      </c>
      <c r="AK100" s="2">
        <v>1</v>
      </c>
      <c r="AL100" s="28">
        <f t="shared" si="50"/>
        <v>15289</v>
      </c>
      <c r="AM100" s="28">
        <f>$AH100/5*[1]战斗预期!C$4</f>
        <v>704940</v>
      </c>
      <c r="AN100" s="28">
        <f>$AH100/5*[1]战斗预期!D$4</f>
        <v>70494</v>
      </c>
      <c r="AO100" s="28">
        <f>$AH100/5*[1]战斗预期!E$4</f>
        <v>35247</v>
      </c>
      <c r="AP100" s="28">
        <f>$AH100/5*[1]战斗预期!F$4</f>
        <v>28197.599999999999</v>
      </c>
      <c r="AQ100" s="28">
        <f>$AH100/5*[1]战斗预期!G$4</f>
        <v>28197.599999999999</v>
      </c>
      <c r="AR100" s="28">
        <f>$AL100*怪物属性规划!A$18*怪物属性等级系数!A94</f>
        <v>281815.684673991</v>
      </c>
      <c r="AS100" s="28">
        <f>$AL100*怪物属性规划!B$18</f>
        <v>15289</v>
      </c>
      <c r="AT100" s="28">
        <f>$AL100*怪物属性规划!C$18</f>
        <v>15289</v>
      </c>
      <c r="AU100" s="28">
        <f>$AL100*怪物属性规划!D$18</f>
        <v>12231.2</v>
      </c>
      <c r="AV100" s="28">
        <f>$AL100*怪物属性规划!E$18</f>
        <v>12231.2</v>
      </c>
      <c r="AW100" s="28">
        <v>0</v>
      </c>
      <c r="AX100" s="28">
        <v>0</v>
      </c>
      <c r="AY100" s="28">
        <v>0</v>
      </c>
      <c r="AZ100" s="28">
        <v>0</v>
      </c>
      <c r="BA100" s="28">
        <v>0</v>
      </c>
      <c r="BB100" s="48">
        <f>[2]技能伤害!$C95</f>
        <v>1.9200000000000008</v>
      </c>
      <c r="BC100" s="2">
        <f>[2]技能伤害!$N95</f>
        <v>48495</v>
      </c>
      <c r="BD100" s="2">
        <f>[2]技能伤害!$L95</f>
        <v>3186</v>
      </c>
      <c r="BE100" s="48">
        <f t="shared" si="46"/>
        <v>0.42359597770836216</v>
      </c>
      <c r="BF100" s="48">
        <f t="shared" si="47"/>
        <v>0.96266997077658756</v>
      </c>
      <c r="BG100" s="28">
        <f t="shared" si="51"/>
        <v>217341.79256611865</v>
      </c>
      <c r="BH100" s="28">
        <f t="shared" si="52"/>
        <v>1141.4776335935057</v>
      </c>
      <c r="BI100" s="28">
        <f t="shared" si="53"/>
        <v>10105.125427488912</v>
      </c>
      <c r="BJ100" s="49">
        <f t="shared" si="48"/>
        <v>0.72035970355631951</v>
      </c>
      <c r="BK100" s="49">
        <f t="shared" si="49"/>
        <v>617.56794811718385</v>
      </c>
      <c r="BL100" s="49">
        <f t="shared" si="54"/>
        <v>38.755910170889663</v>
      </c>
    </row>
    <row r="101" spans="9:64" x14ac:dyDescent="0.15">
      <c r="I101" s="29">
        <v>94</v>
      </c>
      <c r="J101" s="29">
        <f>[1]属性成长!$D101</f>
        <v>470</v>
      </c>
      <c r="K101" s="27">
        <v>94</v>
      </c>
      <c r="L101" s="27">
        <v>94</v>
      </c>
      <c r="M101" s="27">
        <f t="shared" si="40"/>
        <v>90</v>
      </c>
      <c r="N101" s="27">
        <v>5</v>
      </c>
      <c r="O101" s="27">
        <v>94</v>
      </c>
      <c r="P101" s="27">
        <f t="shared" si="56"/>
        <v>90</v>
      </c>
      <c r="Q101" s="27">
        <f t="shared" si="57"/>
        <v>5</v>
      </c>
      <c r="R101" s="27">
        <v>10</v>
      </c>
      <c r="S101" s="27">
        <v>28</v>
      </c>
      <c r="T101" s="27">
        <v>50</v>
      </c>
      <c r="U101" s="27">
        <f t="shared" si="23"/>
        <v>50</v>
      </c>
      <c r="V101" s="27">
        <f t="shared" si="34"/>
        <v>50</v>
      </c>
      <c r="W101" s="27">
        <f t="shared" si="39"/>
        <v>50</v>
      </c>
      <c r="X101" s="27">
        <f t="shared" si="39"/>
        <v>50</v>
      </c>
      <c r="Y101" s="27">
        <v>94</v>
      </c>
      <c r="Z101" s="27">
        <v>10</v>
      </c>
      <c r="AA101" s="27">
        <f t="shared" si="35"/>
        <v>13</v>
      </c>
      <c r="AB101" s="2">
        <f t="shared" si="41"/>
        <v>500</v>
      </c>
      <c r="AC101" s="28">
        <f t="shared" si="42"/>
        <v>5980.0554085020276</v>
      </c>
      <c r="AD101" s="28">
        <f t="shared" si="43"/>
        <v>4640.04155637652</v>
      </c>
      <c r="AE101" s="28">
        <f t="shared" si="44"/>
        <v>15680</v>
      </c>
      <c r="AF101" s="28">
        <f>INDEX(圣火属性!$I$3:$I$53,MATCH(T101,圣火属性!$B$3:$B$53,0),1)+INDEX(圣火属性!$J$3:$J$53,MATCH(U101,圣火属性!$B$3:$B$53,0),1)+INDEX(圣火属性!$K$3:$K$53,MATCH(V101,圣火属性!$B$3:$B$53,0),1)+INDEX(圣火属性!$L$3:$L$53,MATCH(W101,圣火属性!$B$3:$B$53,0),1)+INDEX(圣火属性!$M$3:$M$53,MATCH(X101,圣火属性!$B$3:$B$53,0),1)</f>
        <v>3000</v>
      </c>
      <c r="AG101" s="28">
        <f>AA101*VLOOKUP(Z101,神器属性!$B$4:$D$13,3,FALSE)</f>
        <v>5512</v>
      </c>
      <c r="AH101" s="36">
        <f t="shared" si="55"/>
        <v>35312</v>
      </c>
      <c r="AI101" s="36">
        <f>AH101*10*(1+VLOOKUP(Y101,技能效果!$B$2:$D$101,3,FALSE))</f>
        <v>484480.64000000013</v>
      </c>
      <c r="AJ101" s="36">
        <f t="shared" si="45"/>
        <v>15753.878199999999</v>
      </c>
      <c r="AK101" s="2">
        <v>1</v>
      </c>
      <c r="AL101" s="28">
        <f t="shared" si="50"/>
        <v>15754</v>
      </c>
      <c r="AM101" s="28">
        <f>$AH101/5*[1]战斗预期!C$4</f>
        <v>706240</v>
      </c>
      <c r="AN101" s="28">
        <f>$AH101/5*[1]战斗预期!D$4</f>
        <v>70624</v>
      </c>
      <c r="AO101" s="28">
        <f>$AH101/5*[1]战斗预期!E$4</f>
        <v>35312</v>
      </c>
      <c r="AP101" s="28">
        <f>$AH101/5*[1]战斗预期!F$4</f>
        <v>28249.599999999999</v>
      </c>
      <c r="AQ101" s="28">
        <f>$AH101/5*[1]战斗预期!G$4</f>
        <v>28249.599999999999</v>
      </c>
      <c r="AR101" s="28">
        <f>$AL101*怪物属性规划!A$18*怪物属性等级系数!A95</f>
        <v>293424.85719394602</v>
      </c>
      <c r="AS101" s="28">
        <f>$AL101*怪物属性规划!B$18</f>
        <v>15754</v>
      </c>
      <c r="AT101" s="28">
        <f>$AL101*怪物属性规划!C$18</f>
        <v>15754</v>
      </c>
      <c r="AU101" s="28">
        <f>$AL101*怪物属性规划!D$18</f>
        <v>12603.2</v>
      </c>
      <c r="AV101" s="28">
        <f>$AL101*怪物属性规划!E$18</f>
        <v>12603.2</v>
      </c>
      <c r="AW101" s="28">
        <v>0</v>
      </c>
      <c r="AX101" s="28">
        <v>0</v>
      </c>
      <c r="AY101" s="28">
        <v>0</v>
      </c>
      <c r="AZ101" s="28">
        <v>0</v>
      </c>
      <c r="BA101" s="28">
        <v>0</v>
      </c>
      <c r="BB101" s="48">
        <f>[2]技能伤害!$C96</f>
        <v>1.9300000000000008</v>
      </c>
      <c r="BC101" s="2">
        <f>[2]技能伤害!$N96</f>
        <v>50589</v>
      </c>
      <c r="BD101" s="2">
        <f>[2]技能伤害!$L96</f>
        <v>3179</v>
      </c>
      <c r="BE101" s="48">
        <f t="shared" si="46"/>
        <v>0.42059252393451524</v>
      </c>
      <c r="BF101" s="48">
        <f t="shared" si="47"/>
        <v>0.96281495332984102</v>
      </c>
      <c r="BG101" s="28">
        <f t="shared" si="51"/>
        <v>218346.58805604445</v>
      </c>
      <c r="BH101" s="28">
        <f t="shared" si="52"/>
        <v>1171.6264504833694</v>
      </c>
      <c r="BI101" s="28">
        <f t="shared" si="53"/>
        <v>10136.965001088573</v>
      </c>
      <c r="BJ101" s="49">
        <f t="shared" si="48"/>
        <v>0.74658281131624737</v>
      </c>
      <c r="BK101" s="49">
        <f t="shared" si="49"/>
        <v>602.78598158024829</v>
      </c>
      <c r="BL101" s="49">
        <f t="shared" si="54"/>
        <v>38.705426674889566</v>
      </c>
    </row>
    <row r="102" spans="9:64" x14ac:dyDescent="0.15">
      <c r="I102" s="29">
        <v>95</v>
      </c>
      <c r="J102" s="29">
        <f>[1]属性成长!$D102</f>
        <v>475</v>
      </c>
      <c r="K102" s="27">
        <v>95</v>
      </c>
      <c r="L102" s="27">
        <v>95</v>
      </c>
      <c r="M102" s="27">
        <f t="shared" si="40"/>
        <v>95</v>
      </c>
      <c r="N102" s="27">
        <v>5</v>
      </c>
      <c r="O102" s="27">
        <v>95</v>
      </c>
      <c r="P102" s="27">
        <f t="shared" si="56"/>
        <v>95</v>
      </c>
      <c r="Q102" s="27">
        <f t="shared" si="57"/>
        <v>5</v>
      </c>
      <c r="R102" s="27">
        <v>10</v>
      </c>
      <c r="S102" s="27">
        <v>28</v>
      </c>
      <c r="T102" s="27">
        <v>50</v>
      </c>
      <c r="U102" s="27">
        <f t="shared" ref="U102:U107" si="58">T92</f>
        <v>50</v>
      </c>
      <c r="V102" s="27">
        <f t="shared" si="34"/>
        <v>50</v>
      </c>
      <c r="W102" s="27">
        <f t="shared" si="39"/>
        <v>50</v>
      </c>
      <c r="X102" s="27">
        <f t="shared" si="39"/>
        <v>50</v>
      </c>
      <c r="Y102" s="27">
        <v>95</v>
      </c>
      <c r="Z102" s="27">
        <v>10</v>
      </c>
      <c r="AA102" s="27">
        <f t="shared" si="35"/>
        <v>14</v>
      </c>
      <c r="AB102" s="2">
        <f t="shared" si="41"/>
        <v>505</v>
      </c>
      <c r="AC102" s="28">
        <f t="shared" si="42"/>
        <v>6242.8331862798059</v>
      </c>
      <c r="AD102" s="28">
        <f t="shared" si="43"/>
        <v>4844.0137785987426</v>
      </c>
      <c r="AE102" s="28">
        <f t="shared" si="44"/>
        <v>15680</v>
      </c>
      <c r="AF102" s="28">
        <f>INDEX(圣火属性!$I$3:$I$53,MATCH(T102,圣火属性!$B$3:$B$53,0),1)+INDEX(圣火属性!$J$3:$J$53,MATCH(U102,圣火属性!$B$3:$B$53,0),1)+INDEX(圣火属性!$K$3:$K$53,MATCH(V102,圣火属性!$B$3:$B$53,0),1)+INDEX(圣火属性!$L$3:$L$53,MATCH(W102,圣火属性!$B$3:$B$53,0),1)+INDEX(圣火属性!$M$3:$M$53,MATCH(X102,圣火属性!$B$3:$B$53,0),1)</f>
        <v>3000</v>
      </c>
      <c r="AG102" s="28">
        <f>AA102*VLOOKUP(Z102,神器属性!$B$4:$D$13,3,FALSE)</f>
        <v>5936</v>
      </c>
      <c r="AH102" s="36">
        <f t="shared" si="55"/>
        <v>36208</v>
      </c>
      <c r="AI102" s="36">
        <f>AH102*10*(1+VLOOKUP(Y102,技能效果!$B$2:$D$101,3,FALSE))</f>
        <v>498222.08000000013</v>
      </c>
      <c r="AJ102" s="36">
        <f t="shared" si="45"/>
        <v>16227.8145</v>
      </c>
      <c r="AK102" s="2">
        <v>1</v>
      </c>
      <c r="AL102" s="28">
        <f t="shared" si="50"/>
        <v>16228</v>
      </c>
      <c r="AM102" s="28">
        <f>$AH102/5*[1]战斗预期!C$4</f>
        <v>724160</v>
      </c>
      <c r="AN102" s="28">
        <f>$AH102/5*[1]战斗预期!D$4</f>
        <v>72416</v>
      </c>
      <c r="AO102" s="28">
        <f>$AH102/5*[1]战斗预期!E$4</f>
        <v>36208</v>
      </c>
      <c r="AP102" s="28">
        <f>$AH102/5*[1]战斗预期!F$4</f>
        <v>28966.400000000001</v>
      </c>
      <c r="AQ102" s="28">
        <f>$AH102/5*[1]战斗预期!G$4</f>
        <v>28966.400000000001</v>
      </c>
      <c r="AR102" s="28">
        <f>$AL102*怪物属性规划!A$18*怪物属性等级系数!A96</f>
        <v>305392.77313822327</v>
      </c>
      <c r="AS102" s="28">
        <f>$AL102*怪物属性规划!B$18</f>
        <v>16228</v>
      </c>
      <c r="AT102" s="28">
        <f>$AL102*怪物属性规划!C$18</f>
        <v>16228</v>
      </c>
      <c r="AU102" s="28">
        <f>$AL102*怪物属性规划!D$18</f>
        <v>12982.400000000001</v>
      </c>
      <c r="AV102" s="28">
        <f>$AL102*怪物属性规划!E$18</f>
        <v>12982.400000000001</v>
      </c>
      <c r="AW102" s="28">
        <v>0</v>
      </c>
      <c r="AX102" s="28">
        <v>0</v>
      </c>
      <c r="AY102" s="28">
        <v>0</v>
      </c>
      <c r="AZ102" s="28">
        <v>0</v>
      </c>
      <c r="BA102" s="28">
        <v>0</v>
      </c>
      <c r="BB102" s="48">
        <f>[2]技能伤害!$C97</f>
        <v>1.9400000000000008</v>
      </c>
      <c r="BC102" s="2">
        <f>[2]技能伤害!$N97</f>
        <v>52757</v>
      </c>
      <c r="BD102" s="2">
        <f>[2]技能伤害!$L97</f>
        <v>3269</v>
      </c>
      <c r="BE102" s="48">
        <f t="shared" si="46"/>
        <v>0.41759355512231072</v>
      </c>
      <c r="BF102" s="48">
        <f t="shared" si="47"/>
        <v>0.96271241564268362</v>
      </c>
      <c r="BG102" s="28">
        <f t="shared" si="51"/>
        <v>225659.03503557955</v>
      </c>
      <c r="BH102" s="28">
        <f t="shared" si="52"/>
        <v>1210.2058379010605</v>
      </c>
      <c r="BI102" s="28">
        <f t="shared" si="53"/>
        <v>10476.844710219366</v>
      </c>
      <c r="BJ102" s="49">
        <f t="shared" si="48"/>
        <v>0.75185401602336355</v>
      </c>
      <c r="BK102" s="49">
        <f t="shared" si="49"/>
        <v>598.37754646429266</v>
      </c>
      <c r="BL102" s="49">
        <f t="shared" si="54"/>
        <v>38.400026175694592</v>
      </c>
    </row>
    <row r="103" spans="9:64" x14ac:dyDescent="0.15">
      <c r="I103" s="29">
        <v>96</v>
      </c>
      <c r="J103" s="29">
        <f>[1]属性成长!$D103</f>
        <v>480</v>
      </c>
      <c r="K103" s="27">
        <v>96</v>
      </c>
      <c r="L103" s="27">
        <v>96</v>
      </c>
      <c r="M103" s="27">
        <f t="shared" si="40"/>
        <v>95</v>
      </c>
      <c r="N103" s="27">
        <v>5</v>
      </c>
      <c r="O103" s="27">
        <v>96</v>
      </c>
      <c r="P103" s="27">
        <f t="shared" si="56"/>
        <v>95</v>
      </c>
      <c r="Q103" s="27">
        <f t="shared" si="57"/>
        <v>5</v>
      </c>
      <c r="R103" s="27">
        <v>10</v>
      </c>
      <c r="S103" s="27">
        <v>28</v>
      </c>
      <c r="T103" s="27">
        <v>50</v>
      </c>
      <c r="U103" s="27">
        <f t="shared" si="58"/>
        <v>50</v>
      </c>
      <c r="V103" s="27">
        <f t="shared" si="34"/>
        <v>50</v>
      </c>
      <c r="W103" s="27">
        <f t="shared" si="39"/>
        <v>50</v>
      </c>
      <c r="X103" s="27">
        <f t="shared" si="39"/>
        <v>50</v>
      </c>
      <c r="Y103" s="27">
        <v>96</v>
      </c>
      <c r="Z103" s="27">
        <v>10</v>
      </c>
      <c r="AA103" s="27">
        <f t="shared" si="35"/>
        <v>14</v>
      </c>
      <c r="AB103" s="2">
        <f t="shared" si="41"/>
        <v>510</v>
      </c>
      <c r="AC103" s="28">
        <f t="shared" si="42"/>
        <v>6277.2776307242493</v>
      </c>
      <c r="AD103" s="28">
        <f t="shared" si="43"/>
        <v>4871.5693341542974</v>
      </c>
      <c r="AE103" s="28">
        <f t="shared" si="44"/>
        <v>15680</v>
      </c>
      <c r="AF103" s="28">
        <f>INDEX(圣火属性!$I$3:$I$53,MATCH(T103,圣火属性!$B$3:$B$53,0),1)+INDEX(圣火属性!$J$3:$J$53,MATCH(U103,圣火属性!$B$3:$B$53,0),1)+INDEX(圣火属性!$K$3:$K$53,MATCH(V103,圣火属性!$B$3:$B$53,0),1)+INDEX(圣火属性!$L$3:$L$53,MATCH(W103,圣火属性!$B$3:$B$53,0),1)+INDEX(圣火属性!$M$3:$M$53,MATCH(X103,圣火属性!$B$3:$B$53,0),1)</f>
        <v>3000</v>
      </c>
      <c r="AG103" s="28">
        <f>AA103*VLOOKUP(Z103,神器属性!$B$4:$D$13,3,FALSE)</f>
        <v>5936</v>
      </c>
      <c r="AH103" s="36">
        <f t="shared" si="55"/>
        <v>36275</v>
      </c>
      <c r="AI103" s="36">
        <f>AH103*10*(1+VLOOKUP(Y103,技能效果!$B$2:$D$101,3,FALSE))</f>
        <v>500595.00000000012</v>
      </c>
      <c r="AJ103" s="36">
        <f t="shared" si="45"/>
        <v>16711.341799999998</v>
      </c>
      <c r="AK103" s="2">
        <v>1</v>
      </c>
      <c r="AL103" s="28">
        <f t="shared" si="50"/>
        <v>16711</v>
      </c>
      <c r="AM103" s="28">
        <f>$AH103/5*[1]战斗预期!C$4</f>
        <v>725500</v>
      </c>
      <c r="AN103" s="28">
        <f>$AH103/5*[1]战斗预期!D$4</f>
        <v>72550</v>
      </c>
      <c r="AO103" s="28">
        <f>$AH103/5*[1]战斗预期!E$4</f>
        <v>36275</v>
      </c>
      <c r="AP103" s="28">
        <f>$AH103/5*[1]战斗预期!F$4</f>
        <v>29020</v>
      </c>
      <c r="AQ103" s="28">
        <f>$AH103/5*[1]战斗预期!G$4</f>
        <v>29020</v>
      </c>
      <c r="AR103" s="28">
        <f>$AL103*怪物属性规划!A$18*怪物属性等级系数!A97</f>
        <v>317729.22881824494</v>
      </c>
      <c r="AS103" s="28">
        <f>$AL103*怪物属性规划!B$18</f>
        <v>16711</v>
      </c>
      <c r="AT103" s="28">
        <f>$AL103*怪物属性规划!C$18</f>
        <v>16711</v>
      </c>
      <c r="AU103" s="28">
        <f>$AL103*怪物属性规划!D$18</f>
        <v>13368.800000000001</v>
      </c>
      <c r="AV103" s="28">
        <f>$AL103*怪物属性规划!E$18</f>
        <v>13368.800000000001</v>
      </c>
      <c r="AW103" s="28">
        <v>0</v>
      </c>
      <c r="AX103" s="28">
        <v>0</v>
      </c>
      <c r="AY103" s="28">
        <v>0</v>
      </c>
      <c r="AZ103" s="28">
        <v>0</v>
      </c>
      <c r="BA103" s="28">
        <v>0</v>
      </c>
      <c r="BB103" s="48">
        <f>[2]技能伤害!$C98</f>
        <v>1.9500000000000008</v>
      </c>
      <c r="BC103" s="2">
        <f>[2]技能伤害!$N98</f>
        <v>55003</v>
      </c>
      <c r="BD103" s="2">
        <f>[2]技能伤害!$L98</f>
        <v>3261</v>
      </c>
      <c r="BE103" s="48">
        <f t="shared" si="46"/>
        <v>0.41459004670793154</v>
      </c>
      <c r="BF103" s="48">
        <f t="shared" si="47"/>
        <v>0.96286642907202058</v>
      </c>
      <c r="BG103" s="28">
        <f t="shared" si="51"/>
        <v>226678.49923422441</v>
      </c>
      <c r="BH103" s="28">
        <f t="shared" si="52"/>
        <v>1241.0782075549282</v>
      </c>
      <c r="BI103" s="28">
        <f t="shared" si="53"/>
        <v>10506.758226217142</v>
      </c>
      <c r="BJ103" s="49">
        <f t="shared" si="48"/>
        <v>0.77870745936943053</v>
      </c>
      <c r="BK103" s="49">
        <f t="shared" si="49"/>
        <v>584.57234651579404</v>
      </c>
      <c r="BL103" s="49">
        <f t="shared" si="54"/>
        <v>38.361552333984925</v>
      </c>
    </row>
    <row r="104" spans="9:64" x14ac:dyDescent="0.15">
      <c r="I104" s="29">
        <v>97</v>
      </c>
      <c r="J104" s="29">
        <f>[1]属性成长!$D104</f>
        <v>485</v>
      </c>
      <c r="K104" s="27">
        <v>97</v>
      </c>
      <c r="L104" s="27">
        <v>97</v>
      </c>
      <c r="M104" s="27">
        <f t="shared" ref="M104:M107" si="59">INDEX($A$5:$A$25,MATCH(L104,$A$5:$A$25,1),1)</f>
        <v>95</v>
      </c>
      <c r="N104" s="27">
        <v>5</v>
      </c>
      <c r="O104" s="27">
        <v>97</v>
      </c>
      <c r="P104" s="27">
        <f t="shared" si="56"/>
        <v>95</v>
      </c>
      <c r="Q104" s="27">
        <f t="shared" si="57"/>
        <v>5</v>
      </c>
      <c r="R104" s="27">
        <v>10</v>
      </c>
      <c r="S104" s="27">
        <v>28</v>
      </c>
      <c r="T104" s="27">
        <v>50</v>
      </c>
      <c r="U104" s="27">
        <f t="shared" si="58"/>
        <v>50</v>
      </c>
      <c r="V104" s="27">
        <f t="shared" si="34"/>
        <v>50</v>
      </c>
      <c r="W104" s="27">
        <f t="shared" si="39"/>
        <v>50</v>
      </c>
      <c r="X104" s="27">
        <f t="shared" si="39"/>
        <v>50</v>
      </c>
      <c r="Y104" s="27">
        <v>97</v>
      </c>
      <c r="Z104" s="27">
        <v>10</v>
      </c>
      <c r="AA104" s="27">
        <f t="shared" si="35"/>
        <v>14</v>
      </c>
      <c r="AB104" s="2">
        <f t="shared" si="41"/>
        <v>515</v>
      </c>
      <c r="AC104" s="28">
        <f t="shared" si="42"/>
        <v>6311.7220751686946</v>
      </c>
      <c r="AD104" s="28">
        <f t="shared" si="43"/>
        <v>4899.124889709854</v>
      </c>
      <c r="AE104" s="28">
        <f t="shared" si="44"/>
        <v>15680</v>
      </c>
      <c r="AF104" s="28">
        <f>INDEX(圣火属性!$I$3:$I$53,MATCH(T104,圣火属性!$B$3:$B$53,0),1)+INDEX(圣火属性!$J$3:$J$53,MATCH(U104,圣火属性!$B$3:$B$53,0),1)+INDEX(圣火属性!$K$3:$K$53,MATCH(V104,圣火属性!$B$3:$B$53,0),1)+INDEX(圣火属性!$L$3:$L$53,MATCH(W104,圣火属性!$B$3:$B$53,0),1)+INDEX(圣火属性!$M$3:$M$53,MATCH(X104,圣火属性!$B$3:$B$53,0),1)</f>
        <v>3000</v>
      </c>
      <c r="AG104" s="28">
        <f>AA104*VLOOKUP(Z104,神器属性!$B$4:$D$13,3,FALSE)</f>
        <v>5936</v>
      </c>
      <c r="AH104" s="36">
        <f t="shared" si="55"/>
        <v>36342</v>
      </c>
      <c r="AI104" s="36">
        <f>AH104*10*(1+VLOOKUP(Y104,技能效果!$B$2:$D$101,3,FALSE))</f>
        <v>502973.28000000014</v>
      </c>
      <c r="AJ104" s="36">
        <f t="shared" si="45"/>
        <v>17204.5579</v>
      </c>
      <c r="AK104" s="2">
        <v>1</v>
      </c>
      <c r="AL104" s="28">
        <f t="shared" si="50"/>
        <v>17205</v>
      </c>
      <c r="AM104" s="28">
        <f>$AH104/5*[1]战斗预期!C$4</f>
        <v>726840</v>
      </c>
      <c r="AN104" s="28">
        <f>$AH104/5*[1]战斗预期!D$4</f>
        <v>72684</v>
      </c>
      <c r="AO104" s="28">
        <f>$AH104/5*[1]战斗预期!E$4</f>
        <v>36342</v>
      </c>
      <c r="AP104" s="28">
        <f>$AH104/5*[1]战斗预期!F$4</f>
        <v>29073.599999999999</v>
      </c>
      <c r="AQ104" s="28">
        <f>$AH104/5*[1]战斗预期!G$4</f>
        <v>29073.599999999999</v>
      </c>
      <c r="AR104" s="28">
        <f>$AL104*怪物属性规划!A$18*怪物属性等级系数!A98</f>
        <v>330467.36918011057</v>
      </c>
      <c r="AS104" s="28">
        <f>$AL104*怪物属性规划!B$18</f>
        <v>17205</v>
      </c>
      <c r="AT104" s="28">
        <f>$AL104*怪物属性规划!C$18</f>
        <v>17205</v>
      </c>
      <c r="AU104" s="28">
        <f>$AL104*怪物属性规划!D$18</f>
        <v>13764</v>
      </c>
      <c r="AV104" s="28">
        <f>$AL104*怪物属性规划!E$18</f>
        <v>13764</v>
      </c>
      <c r="AW104" s="28">
        <v>0</v>
      </c>
      <c r="AX104" s="28">
        <v>0</v>
      </c>
      <c r="AY104" s="28">
        <v>0</v>
      </c>
      <c r="AZ104" s="28">
        <v>0</v>
      </c>
      <c r="BA104" s="28">
        <v>0</v>
      </c>
      <c r="BB104" s="48">
        <f>[2]技能伤害!$C99</f>
        <v>1.9600000000000009</v>
      </c>
      <c r="BC104" s="2">
        <f>[2]技能伤害!$N99</f>
        <v>57334</v>
      </c>
      <c r="BD104" s="2">
        <f>[2]技能伤害!$L99</f>
        <v>3253</v>
      </c>
      <c r="BE104" s="48">
        <f t="shared" si="46"/>
        <v>0.41159020801417451</v>
      </c>
      <c r="BF104" s="48">
        <f t="shared" si="47"/>
        <v>0.96301992363730582</v>
      </c>
      <c r="BG104" s="28">
        <f t="shared" si="51"/>
        <v>227664.10309713523</v>
      </c>
      <c r="BH104" s="28">
        <f t="shared" si="52"/>
        <v>1272.4844276403069</v>
      </c>
      <c r="BI104" s="28">
        <f t="shared" si="53"/>
        <v>10536.410691756575</v>
      </c>
      <c r="BJ104" s="49">
        <f t="shared" si="48"/>
        <v>0.80642042544365178</v>
      </c>
      <c r="BK104" s="49">
        <f t="shared" si="49"/>
        <v>571.19755983800212</v>
      </c>
      <c r="BL104" s="49">
        <f t="shared" si="54"/>
        <v>38.324246445321556</v>
      </c>
    </row>
    <row r="105" spans="9:64" x14ac:dyDescent="0.15">
      <c r="I105" s="29">
        <v>98</v>
      </c>
      <c r="J105" s="29">
        <f>[1]属性成长!$D105</f>
        <v>490</v>
      </c>
      <c r="K105" s="27">
        <v>98</v>
      </c>
      <c r="L105" s="27">
        <v>98</v>
      </c>
      <c r="M105" s="27">
        <f t="shared" si="59"/>
        <v>95</v>
      </c>
      <c r="N105" s="27">
        <v>5</v>
      </c>
      <c r="O105" s="27">
        <v>98</v>
      </c>
      <c r="P105" s="27">
        <f t="shared" si="56"/>
        <v>95</v>
      </c>
      <c r="Q105" s="27">
        <f t="shared" si="57"/>
        <v>5</v>
      </c>
      <c r="R105" s="27">
        <v>10</v>
      </c>
      <c r="S105" s="27">
        <v>28</v>
      </c>
      <c r="T105" s="27">
        <v>50</v>
      </c>
      <c r="U105" s="27">
        <f t="shared" si="58"/>
        <v>50</v>
      </c>
      <c r="V105" s="27">
        <f t="shared" si="34"/>
        <v>50</v>
      </c>
      <c r="W105" s="27">
        <f t="shared" si="39"/>
        <v>50</v>
      </c>
      <c r="X105" s="27">
        <f t="shared" si="39"/>
        <v>50</v>
      </c>
      <c r="Y105" s="27">
        <v>98</v>
      </c>
      <c r="Z105" s="27">
        <v>10</v>
      </c>
      <c r="AA105" s="27">
        <f t="shared" si="35"/>
        <v>14</v>
      </c>
      <c r="AB105" s="2">
        <f t="shared" si="41"/>
        <v>520</v>
      </c>
      <c r="AC105" s="28">
        <f t="shared" si="42"/>
        <v>6346.166519613138</v>
      </c>
      <c r="AD105" s="28">
        <f t="shared" si="43"/>
        <v>4926.6804452654087</v>
      </c>
      <c r="AE105" s="28">
        <f t="shared" si="44"/>
        <v>15680</v>
      </c>
      <c r="AF105" s="28">
        <f>INDEX(圣火属性!$I$3:$I$53,MATCH(T105,圣火属性!$B$3:$B$53,0),1)+INDEX(圣火属性!$J$3:$J$53,MATCH(U105,圣火属性!$B$3:$B$53,0),1)+INDEX(圣火属性!$K$3:$K$53,MATCH(V105,圣火属性!$B$3:$B$53,0),1)+INDEX(圣火属性!$L$3:$L$53,MATCH(W105,圣火属性!$B$3:$B$53,0),1)+INDEX(圣火属性!$M$3:$M$53,MATCH(X105,圣火属性!$B$3:$B$53,0),1)</f>
        <v>3000</v>
      </c>
      <c r="AG105" s="28">
        <f>AA105*VLOOKUP(Z105,神器属性!$B$4:$D$13,3,FALSE)</f>
        <v>5936</v>
      </c>
      <c r="AH105" s="36">
        <f t="shared" si="55"/>
        <v>36409</v>
      </c>
      <c r="AI105" s="36">
        <f>AH105*10*(1+VLOOKUP(Y105,技能效果!$B$2:$D$101,3,FALSE))</f>
        <v>505356.9200000001</v>
      </c>
      <c r="AJ105" s="36">
        <f t="shared" si="45"/>
        <v>17707.560599999997</v>
      </c>
      <c r="AK105" s="2">
        <v>1</v>
      </c>
      <c r="AL105" s="28">
        <f t="shared" si="50"/>
        <v>17708</v>
      </c>
      <c r="AM105" s="28">
        <f>$AH105/5*[1]战斗预期!C$4</f>
        <v>728180</v>
      </c>
      <c r="AN105" s="28">
        <f>$AH105/5*[1]战斗预期!D$4</f>
        <v>72818</v>
      </c>
      <c r="AO105" s="28">
        <f>$AH105/5*[1]战斗预期!E$4</f>
        <v>36409</v>
      </c>
      <c r="AP105" s="28">
        <f>$AH105/5*[1]战斗预期!F$4</f>
        <v>29127.200000000001</v>
      </c>
      <c r="AQ105" s="28">
        <f>$AH105/5*[1]战斗预期!G$4</f>
        <v>29127.200000000001</v>
      </c>
      <c r="AR105" s="28">
        <f>$AL105*怪物属性规划!A$18*怪物属性等级系数!A99</f>
        <v>343622.46805933304</v>
      </c>
      <c r="AS105" s="28">
        <f>$AL105*怪物属性规划!B$18</f>
        <v>17708</v>
      </c>
      <c r="AT105" s="28">
        <f>$AL105*怪物属性规划!C$18</f>
        <v>17708</v>
      </c>
      <c r="AU105" s="28">
        <f>$AL105*怪物属性规划!D$18</f>
        <v>14166.400000000001</v>
      </c>
      <c r="AV105" s="28">
        <f>$AL105*怪物属性规划!E$18</f>
        <v>14166.400000000001</v>
      </c>
      <c r="AW105" s="28">
        <v>0</v>
      </c>
      <c r="AX105" s="28">
        <v>0</v>
      </c>
      <c r="AY105" s="28">
        <v>0</v>
      </c>
      <c r="AZ105" s="28">
        <v>0</v>
      </c>
      <c r="BA105" s="28">
        <v>0</v>
      </c>
      <c r="BB105" s="48">
        <f>[2]技能伤害!$C100</f>
        <v>1.9700000000000009</v>
      </c>
      <c r="BC105" s="2">
        <f>[2]技能伤害!$N100</f>
        <v>59747</v>
      </c>
      <c r="BD105" s="2">
        <f>[2]技能伤害!$L100</f>
        <v>3245</v>
      </c>
      <c r="BE105" s="48">
        <f t="shared" si="46"/>
        <v>0.40858835745149863</v>
      </c>
      <c r="BF105" s="48">
        <f t="shared" si="47"/>
        <v>0.96317290195617289</v>
      </c>
      <c r="BG105" s="28">
        <f t="shared" si="51"/>
        <v>228623.2791691614</v>
      </c>
      <c r="BH105" s="28">
        <f t="shared" si="52"/>
        <v>1304.2685043201809</v>
      </c>
      <c r="BI105" s="28">
        <f t="shared" si="53"/>
        <v>10565.801963900291</v>
      </c>
      <c r="BJ105" s="49">
        <f t="shared" si="48"/>
        <v>0.8350040811146946</v>
      </c>
      <c r="BK105" s="49">
        <f t="shared" si="49"/>
        <v>558.30528575061055</v>
      </c>
      <c r="BL105" s="49">
        <f t="shared" si="54"/>
        <v>38.288096429086366</v>
      </c>
    </row>
    <row r="106" spans="9:64" x14ac:dyDescent="0.15">
      <c r="I106" s="29">
        <v>99</v>
      </c>
      <c r="J106" s="29">
        <f>[1]属性成长!$D106</f>
        <v>495</v>
      </c>
      <c r="K106" s="27">
        <v>99</v>
      </c>
      <c r="L106" s="27">
        <v>99</v>
      </c>
      <c r="M106" s="27">
        <f t="shared" si="59"/>
        <v>95</v>
      </c>
      <c r="N106" s="27">
        <v>5</v>
      </c>
      <c r="O106" s="27">
        <v>99</v>
      </c>
      <c r="P106" s="27">
        <f t="shared" si="56"/>
        <v>95</v>
      </c>
      <c r="Q106" s="27">
        <f t="shared" si="57"/>
        <v>5</v>
      </c>
      <c r="R106" s="27">
        <v>10</v>
      </c>
      <c r="S106" s="27">
        <v>28</v>
      </c>
      <c r="T106" s="27">
        <v>50</v>
      </c>
      <c r="U106" s="27">
        <f t="shared" si="58"/>
        <v>50</v>
      </c>
      <c r="V106" s="27">
        <f t="shared" si="34"/>
        <v>50</v>
      </c>
      <c r="W106" s="27">
        <f t="shared" si="39"/>
        <v>50</v>
      </c>
      <c r="X106" s="27">
        <f t="shared" si="39"/>
        <v>50</v>
      </c>
      <c r="Y106" s="27">
        <v>99</v>
      </c>
      <c r="Z106" s="27">
        <v>10</v>
      </c>
      <c r="AA106" s="27">
        <f t="shared" si="35"/>
        <v>14</v>
      </c>
      <c r="AB106" s="2">
        <f t="shared" si="41"/>
        <v>525</v>
      </c>
      <c r="AC106" s="28">
        <f t="shared" si="42"/>
        <v>6380.6109640575833</v>
      </c>
      <c r="AD106" s="28">
        <f t="shared" si="43"/>
        <v>4954.2360008209644</v>
      </c>
      <c r="AE106" s="28">
        <f t="shared" si="44"/>
        <v>15680</v>
      </c>
      <c r="AF106" s="28">
        <f>INDEX(圣火属性!$I$3:$I$53,MATCH(T106,圣火属性!$B$3:$B$53,0),1)+INDEX(圣火属性!$J$3:$J$53,MATCH(U106,圣火属性!$B$3:$B$53,0),1)+INDEX(圣火属性!$K$3:$K$53,MATCH(V106,圣火属性!$B$3:$B$53,0),1)+INDEX(圣火属性!$L$3:$L$53,MATCH(W106,圣火属性!$B$3:$B$53,0),1)+INDEX(圣火属性!$M$3:$M$53,MATCH(X106,圣火属性!$B$3:$B$53,0),1)</f>
        <v>3000</v>
      </c>
      <c r="AG106" s="28">
        <f>AA106*VLOOKUP(Z106,神器属性!$B$4:$D$13,3,FALSE)</f>
        <v>5936</v>
      </c>
      <c r="AH106" s="36">
        <f t="shared" si="55"/>
        <v>36476</v>
      </c>
      <c r="AI106" s="36">
        <f>AH106*10*(1+VLOOKUP(Y106,技能效果!$B$2:$D$101,3,FALSE))</f>
        <v>507745.9200000001</v>
      </c>
      <c r="AJ106" s="36">
        <f t="shared" si="45"/>
        <v>18220.447699999997</v>
      </c>
      <c r="AK106" s="2">
        <v>1</v>
      </c>
      <c r="AL106" s="28">
        <f t="shared" si="50"/>
        <v>18220</v>
      </c>
      <c r="AM106" s="28">
        <f>$AH106/5*[1]战斗预期!C$4</f>
        <v>729520</v>
      </c>
      <c r="AN106" s="28">
        <f>$AH106/5*[1]战斗预期!D$4</f>
        <v>72952</v>
      </c>
      <c r="AO106" s="28">
        <f>$AH106/5*[1]战斗预期!E$4</f>
        <v>36476</v>
      </c>
      <c r="AP106" s="28">
        <f>$AH106/5*[1]战斗预期!F$4</f>
        <v>29180.799999999999</v>
      </c>
      <c r="AQ106" s="28">
        <f>$AH106/5*[1]战斗预期!G$4</f>
        <v>29180.799999999999</v>
      </c>
      <c r="AR106" s="28">
        <f>$AL106*怪物属性规划!A$18*怪物属性等级系数!A100</f>
        <v>357161.05406684236</v>
      </c>
      <c r="AS106" s="28">
        <f>$AL106*怪物属性规划!B$18</f>
        <v>18220</v>
      </c>
      <c r="AT106" s="28">
        <f>$AL106*怪物属性规划!C$18</f>
        <v>18220</v>
      </c>
      <c r="AU106" s="28">
        <f>$AL106*怪物属性规划!D$18</f>
        <v>14576</v>
      </c>
      <c r="AV106" s="28">
        <f>$AL106*怪物属性规划!E$18</f>
        <v>14576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48">
        <f>[2]技能伤害!$C101</f>
        <v>1.9800000000000009</v>
      </c>
      <c r="BC106" s="2">
        <f>[2]技能伤害!$N101</f>
        <v>62244</v>
      </c>
      <c r="BD106" s="2">
        <f>[2]技能伤害!$L101</f>
        <v>3238</v>
      </c>
      <c r="BE106" s="48">
        <f t="shared" si="46"/>
        <v>0.40558581149529027</v>
      </c>
      <c r="BF106" s="48">
        <f t="shared" si="47"/>
        <v>0.96331445244753333</v>
      </c>
      <c r="BG106" s="28">
        <f t="shared" si="51"/>
        <v>229555.2753639906</v>
      </c>
      <c r="BH106" s="28">
        <f t="shared" si="52"/>
        <v>1336.8213528118854</v>
      </c>
      <c r="BI106" s="28">
        <f t="shared" si="53"/>
        <v>10598.084897588296</v>
      </c>
      <c r="BJ106" s="49">
        <f t="shared" si="48"/>
        <v>0.86437921106490145</v>
      </c>
      <c r="BK106" s="49">
        <f t="shared" si="49"/>
        <v>545.71240836744505</v>
      </c>
      <c r="BL106" s="49">
        <f t="shared" si="54"/>
        <v>38.24170996979997</v>
      </c>
    </row>
    <row r="107" spans="9:64" x14ac:dyDescent="0.15">
      <c r="I107" s="29">
        <v>100</v>
      </c>
      <c r="J107" s="29">
        <f>[1]属性成长!$D107</f>
        <v>500</v>
      </c>
      <c r="K107" s="27">
        <v>100</v>
      </c>
      <c r="L107" s="27">
        <v>100</v>
      </c>
      <c r="M107" s="27">
        <f t="shared" si="59"/>
        <v>100</v>
      </c>
      <c r="N107" s="27">
        <f t="shared" si="38"/>
        <v>6</v>
      </c>
      <c r="O107" s="27">
        <v>100</v>
      </c>
      <c r="P107" s="27">
        <f t="shared" si="56"/>
        <v>100</v>
      </c>
      <c r="Q107" s="27">
        <f t="shared" si="57"/>
        <v>6</v>
      </c>
      <c r="R107" s="27">
        <v>10</v>
      </c>
      <c r="S107" s="27">
        <v>28</v>
      </c>
      <c r="T107" s="27">
        <v>50</v>
      </c>
      <c r="U107" s="27">
        <f t="shared" si="58"/>
        <v>50</v>
      </c>
      <c r="V107" s="27">
        <f t="shared" si="34"/>
        <v>50</v>
      </c>
      <c r="W107" s="27">
        <f t="shared" si="39"/>
        <v>50</v>
      </c>
      <c r="X107" s="27">
        <f t="shared" si="39"/>
        <v>50</v>
      </c>
      <c r="Y107" s="27">
        <v>100</v>
      </c>
      <c r="Z107" s="27">
        <v>10</v>
      </c>
      <c r="AA107" s="27">
        <f t="shared" si="35"/>
        <v>15</v>
      </c>
      <c r="AB107" s="2">
        <f t="shared" si="41"/>
        <v>530</v>
      </c>
      <c r="AC107" s="28">
        <f t="shared" si="42"/>
        <v>7110.2727998063756</v>
      </c>
      <c r="AD107" s="28">
        <f t="shared" si="43"/>
        <v>5519.704599854781</v>
      </c>
      <c r="AE107" s="28">
        <f t="shared" si="44"/>
        <v>15680</v>
      </c>
      <c r="AF107" s="28">
        <f>INDEX(圣火属性!$I$3:$I$53,MATCH(T107,圣火属性!$B$3:$B$53,0),1)+INDEX(圣火属性!$J$3:$J$53,MATCH(U107,圣火属性!$B$3:$B$53,0),1)+INDEX(圣火属性!$K$3:$K$53,MATCH(V107,圣火属性!$B$3:$B$53,0),1)+INDEX(圣火属性!$L$3:$L$53,MATCH(W107,圣火属性!$B$3:$B$53,0),1)+INDEX(圣火属性!$M$3:$M$53,MATCH(X107,圣火属性!$B$3:$B$53,0),1)</f>
        <v>3000</v>
      </c>
      <c r="AG107" s="28">
        <f>AA107*VLOOKUP(Z107,神器属性!$B$4:$D$13,3,FALSE)</f>
        <v>6360</v>
      </c>
      <c r="AH107" s="36">
        <f t="shared" si="55"/>
        <v>38200</v>
      </c>
      <c r="AI107" s="36">
        <f>AH107*10*(1+VLOOKUP(Y107,技能效果!$B$2:$D$101,3,FALSE))</f>
        <v>533272.00000000012</v>
      </c>
      <c r="AJ107" s="36">
        <f t="shared" si="45"/>
        <v>18743.316999999999</v>
      </c>
      <c r="AK107" s="2">
        <v>1</v>
      </c>
      <c r="AL107" s="28">
        <f t="shared" si="50"/>
        <v>18743</v>
      </c>
      <c r="AM107" s="28">
        <f>$AH107/5*[1]战斗预期!C$4</f>
        <v>764000</v>
      </c>
      <c r="AN107" s="28">
        <f>$AH107/5*[1]战斗预期!D$4</f>
        <v>76400</v>
      </c>
      <c r="AO107" s="28">
        <f>$AH107/5*[1]战斗预期!E$4</f>
        <v>38200</v>
      </c>
      <c r="AP107" s="28">
        <f>$AH107/5*[1]战斗预期!F$4</f>
        <v>30560</v>
      </c>
      <c r="AQ107" s="28">
        <f>$AH107/5*[1]战斗预期!G$4</f>
        <v>30560</v>
      </c>
      <c r="AR107" s="28">
        <f>$AL107*怪物属性规划!A$18*怪物属性等级系数!A101</f>
        <v>371120.25043997442</v>
      </c>
      <c r="AS107" s="28">
        <f>$AL107*怪物属性规划!B$18</f>
        <v>18743</v>
      </c>
      <c r="AT107" s="28">
        <f>$AL107*怪物属性规划!C$18</f>
        <v>18743</v>
      </c>
      <c r="AU107" s="28">
        <f>$AL107*怪物属性规划!D$18</f>
        <v>14994.400000000001</v>
      </c>
      <c r="AV107" s="28">
        <f>$AL107*怪物属性规划!E$18</f>
        <v>14994.400000000001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48">
        <f>[2]技能伤害!$C102</f>
        <v>1.9900000000000009</v>
      </c>
      <c r="BC107" s="2">
        <f>[2]技能伤害!$N102</f>
        <v>64834</v>
      </c>
      <c r="BD107" s="2">
        <f>[2]技能伤害!$L102</f>
        <v>3328</v>
      </c>
      <c r="BE107" s="48">
        <f t="shared" si="46"/>
        <v>0.40258363195431918</v>
      </c>
      <c r="BF107" s="48">
        <f t="shared" si="47"/>
        <v>0.96397187907290738</v>
      </c>
      <c r="BG107" s="28">
        <f t="shared" si="51"/>
        <v>243608.67786438635</v>
      </c>
      <c r="BH107" s="28">
        <f t="shared" si="52"/>
        <v>1350.5501410729939</v>
      </c>
      <c r="BI107" s="28">
        <f t="shared" si="53"/>
        <v>10955.142786542912</v>
      </c>
      <c r="BJ107" s="49">
        <f t="shared" si="48"/>
        <v>0.84634881942043694</v>
      </c>
      <c r="BK107" s="49">
        <f t="shared" si="49"/>
        <v>565.69539831598718</v>
      </c>
      <c r="BL107" s="49">
        <f t="shared" si="54"/>
        <v>38.743853249071648</v>
      </c>
    </row>
  </sheetData>
  <mergeCells count="62">
    <mergeCell ref="T5:X5"/>
    <mergeCell ref="U6:U7"/>
    <mergeCell ref="V6:V7"/>
    <mergeCell ref="W6:W7"/>
    <mergeCell ref="X6:X7"/>
    <mergeCell ref="L5:N5"/>
    <mergeCell ref="O5:Q5"/>
    <mergeCell ref="O6:O7"/>
    <mergeCell ref="P6:P7"/>
    <mergeCell ref="Q6:Q7"/>
    <mergeCell ref="AK6:AK7"/>
    <mergeCell ref="AL6:AL7"/>
    <mergeCell ref="AE6:AE7"/>
    <mergeCell ref="L6:L7"/>
    <mergeCell ref="AG6:AG7"/>
    <mergeCell ref="AJ6:AJ7"/>
    <mergeCell ref="AD6:AD7"/>
    <mergeCell ref="Y6:Y7"/>
    <mergeCell ref="AI6:AI7"/>
    <mergeCell ref="Z6:Z7"/>
    <mergeCell ref="I6:I7"/>
    <mergeCell ref="J6:J7"/>
    <mergeCell ref="AH6:AH7"/>
    <mergeCell ref="AC6:AC7"/>
    <mergeCell ref="AB6:AB7"/>
    <mergeCell ref="N6:N7"/>
    <mergeCell ref="M6:M7"/>
    <mergeCell ref="K6:K7"/>
    <mergeCell ref="R6:R7"/>
    <mergeCell ref="S6:S7"/>
    <mergeCell ref="T6:T7"/>
    <mergeCell ref="AF6:AF7"/>
    <mergeCell ref="AA6:AA7"/>
    <mergeCell ref="AM5:AQ5"/>
    <mergeCell ref="AR5:AV5"/>
    <mergeCell ref="AR6:AR7"/>
    <mergeCell ref="AS6:AS7"/>
    <mergeCell ref="AT6:AT7"/>
    <mergeCell ref="AU6:AU7"/>
    <mergeCell ref="AV6:AV7"/>
    <mergeCell ref="AM6:AM7"/>
    <mergeCell ref="AQ6:AQ7"/>
    <mergeCell ref="AP6:AP7"/>
    <mergeCell ref="AO6:AO7"/>
    <mergeCell ref="AN6:AN7"/>
    <mergeCell ref="BC6:BC7"/>
    <mergeCell ref="BB6:BB7"/>
    <mergeCell ref="BE6:BE7"/>
    <mergeCell ref="BF6:BF7"/>
    <mergeCell ref="BD6:BD7"/>
    <mergeCell ref="AW5:BA5"/>
    <mergeCell ref="AW6:AW7"/>
    <mergeCell ref="AX6:AX7"/>
    <mergeCell ref="AY6:AY7"/>
    <mergeCell ref="AZ6:AZ7"/>
    <mergeCell ref="BA6:BA7"/>
    <mergeCell ref="BL6:BL7"/>
    <mergeCell ref="BG6:BG7"/>
    <mergeCell ref="BH6:BH7"/>
    <mergeCell ref="BJ6:BJ7"/>
    <mergeCell ref="BK6:BK7"/>
    <mergeCell ref="BI6:BI7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workbookViewId="0">
      <selection activeCell="F6" sqref="F6"/>
    </sheetView>
  </sheetViews>
  <sheetFormatPr defaultRowHeight="11.25" x14ac:dyDescent="0.15"/>
  <cols>
    <col min="1" max="16384" width="9" style="1"/>
  </cols>
  <sheetData>
    <row r="1" spans="2:13" ht="12" thickBot="1" x14ac:dyDescent="0.2">
      <c r="D1" s="91" t="s">
        <v>207</v>
      </c>
      <c r="E1" s="92"/>
      <c r="F1" s="92"/>
      <c r="G1" s="92"/>
      <c r="H1" s="92"/>
      <c r="I1" s="93" t="s">
        <v>208</v>
      </c>
      <c r="J1" s="94"/>
      <c r="K1" s="94"/>
      <c r="L1" s="94"/>
      <c r="M1" s="95"/>
    </row>
    <row r="2" spans="2:13" x14ac:dyDescent="0.15">
      <c r="B2" s="2" t="s">
        <v>205</v>
      </c>
      <c r="C2" s="2" t="s">
        <v>206</v>
      </c>
      <c r="D2" s="56">
        <v>1</v>
      </c>
      <c r="E2" s="56">
        <v>2</v>
      </c>
      <c r="F2" s="56">
        <v>3</v>
      </c>
      <c r="G2" s="56">
        <v>4</v>
      </c>
      <c r="H2" s="56">
        <v>5</v>
      </c>
      <c r="I2" s="58">
        <v>1</v>
      </c>
      <c r="J2" s="58">
        <v>2</v>
      </c>
      <c r="K2" s="58">
        <v>3</v>
      </c>
      <c r="L2" s="58">
        <v>4</v>
      </c>
      <c r="M2" s="58">
        <v>5</v>
      </c>
    </row>
    <row r="3" spans="2:13" x14ac:dyDescent="0.15">
      <c r="B3" s="2">
        <v>0</v>
      </c>
      <c r="C3" s="2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</row>
    <row r="4" spans="2:13" x14ac:dyDescent="0.15">
      <c r="B4" s="2">
        <v>1</v>
      </c>
      <c r="C4" s="2">
        <v>6</v>
      </c>
      <c r="D4" s="57">
        <v>4.5</v>
      </c>
      <c r="E4" s="57">
        <v>6.75</v>
      </c>
      <c r="F4" s="57">
        <v>9</v>
      </c>
      <c r="G4" s="57">
        <v>11.25</v>
      </c>
      <c r="H4" s="57">
        <v>13.5</v>
      </c>
      <c r="I4" s="59">
        <f>SUM(D$4:D4)</f>
        <v>4.5</v>
      </c>
      <c r="J4" s="59">
        <f>SUM(E$4:E4)</f>
        <v>6.75</v>
      </c>
      <c r="K4" s="59">
        <f>SUM(F$4:F4)</f>
        <v>9</v>
      </c>
      <c r="L4" s="59">
        <f>SUM(G$4:G4)</f>
        <v>11.25</v>
      </c>
      <c r="M4" s="59">
        <f>SUM(H$4:H4)</f>
        <v>13.5</v>
      </c>
    </row>
    <row r="5" spans="2:13" x14ac:dyDescent="0.15">
      <c r="B5" s="2">
        <v>2</v>
      </c>
      <c r="C5" s="2">
        <v>6</v>
      </c>
      <c r="D5" s="57">
        <v>4.5</v>
      </c>
      <c r="E5" s="57">
        <v>6.75</v>
      </c>
      <c r="F5" s="57">
        <v>9</v>
      </c>
      <c r="G5" s="57">
        <v>11.25</v>
      </c>
      <c r="H5" s="57">
        <v>13.5</v>
      </c>
      <c r="I5" s="59">
        <f>SUM(D$4:D5)</f>
        <v>9</v>
      </c>
      <c r="J5" s="59">
        <f>SUM(E$4:E5)</f>
        <v>13.5</v>
      </c>
      <c r="K5" s="59">
        <f>SUM(F$4:F5)</f>
        <v>18</v>
      </c>
      <c r="L5" s="59">
        <f>SUM(G$4:G5)</f>
        <v>22.5</v>
      </c>
      <c r="M5" s="59">
        <f>SUM(H$4:H5)</f>
        <v>27</v>
      </c>
    </row>
    <row r="6" spans="2:13" x14ac:dyDescent="0.15">
      <c r="B6" s="2">
        <v>3</v>
      </c>
      <c r="C6" s="2">
        <v>6</v>
      </c>
      <c r="D6" s="57">
        <v>4.5</v>
      </c>
      <c r="E6" s="57">
        <v>6.75</v>
      </c>
      <c r="F6" s="57">
        <v>9</v>
      </c>
      <c r="G6" s="57">
        <v>11.25</v>
      </c>
      <c r="H6" s="57">
        <v>13.5</v>
      </c>
      <c r="I6" s="59">
        <f>SUM(D$4:D6)</f>
        <v>13.5</v>
      </c>
      <c r="J6" s="59">
        <f>SUM(E$4:E6)</f>
        <v>20.25</v>
      </c>
      <c r="K6" s="59">
        <f>SUM(F$4:F6)</f>
        <v>27</v>
      </c>
      <c r="L6" s="59">
        <f>SUM(G$4:G6)</f>
        <v>33.75</v>
      </c>
      <c r="M6" s="59">
        <f>SUM(H$4:H6)</f>
        <v>40.5</v>
      </c>
    </row>
    <row r="7" spans="2:13" x14ac:dyDescent="0.15">
      <c r="B7" s="2">
        <v>4</v>
      </c>
      <c r="C7" s="2">
        <v>6</v>
      </c>
      <c r="D7" s="57">
        <v>4.5</v>
      </c>
      <c r="E7" s="57">
        <v>6.75</v>
      </c>
      <c r="F7" s="57">
        <v>9</v>
      </c>
      <c r="G7" s="57">
        <v>11.25</v>
      </c>
      <c r="H7" s="57">
        <v>13.5</v>
      </c>
      <c r="I7" s="59">
        <f>SUM(D$4:D7)</f>
        <v>18</v>
      </c>
      <c r="J7" s="59">
        <f>SUM(E$4:E7)</f>
        <v>27</v>
      </c>
      <c r="K7" s="59">
        <f>SUM(F$4:F7)</f>
        <v>36</v>
      </c>
      <c r="L7" s="59">
        <f>SUM(G$4:G7)</f>
        <v>45</v>
      </c>
      <c r="M7" s="59">
        <f>SUM(H$4:H7)</f>
        <v>54</v>
      </c>
    </row>
    <row r="8" spans="2:13" x14ac:dyDescent="0.15">
      <c r="B8" s="2">
        <v>5</v>
      </c>
      <c r="C8" s="2">
        <v>6</v>
      </c>
      <c r="D8" s="57">
        <v>4.5</v>
      </c>
      <c r="E8" s="57">
        <v>6.75</v>
      </c>
      <c r="F8" s="57">
        <v>9</v>
      </c>
      <c r="G8" s="57">
        <v>11.25</v>
      </c>
      <c r="H8" s="57">
        <v>13.5</v>
      </c>
      <c r="I8" s="59">
        <f>SUM(D$4:D8)</f>
        <v>22.5</v>
      </c>
      <c r="J8" s="59">
        <f>SUM(E$4:E8)</f>
        <v>33.75</v>
      </c>
      <c r="K8" s="59">
        <f>SUM(F$4:F8)</f>
        <v>45</v>
      </c>
      <c r="L8" s="59">
        <f>SUM(G$4:G8)</f>
        <v>56.25</v>
      </c>
      <c r="M8" s="59">
        <f>SUM(H$4:H8)</f>
        <v>67.5</v>
      </c>
    </row>
    <row r="9" spans="2:13" x14ac:dyDescent="0.15">
      <c r="B9" s="2">
        <v>6</v>
      </c>
      <c r="C9" s="2">
        <v>6</v>
      </c>
      <c r="D9" s="57">
        <v>4.5</v>
      </c>
      <c r="E9" s="57">
        <v>6.75</v>
      </c>
      <c r="F9" s="57">
        <v>9</v>
      </c>
      <c r="G9" s="57">
        <v>11.25</v>
      </c>
      <c r="H9" s="57">
        <v>13.5</v>
      </c>
      <c r="I9" s="59">
        <f>SUM(D$4:D9)</f>
        <v>27</v>
      </c>
      <c r="J9" s="59">
        <f>SUM(E$4:E9)</f>
        <v>40.5</v>
      </c>
      <c r="K9" s="59">
        <f>SUM(F$4:F9)</f>
        <v>54</v>
      </c>
      <c r="L9" s="59">
        <f>SUM(G$4:G9)</f>
        <v>67.5</v>
      </c>
      <c r="M9" s="59">
        <f>SUM(H$4:H9)</f>
        <v>81</v>
      </c>
    </row>
    <row r="10" spans="2:13" x14ac:dyDescent="0.15">
      <c r="B10" s="2">
        <v>7</v>
      </c>
      <c r="C10" s="2">
        <v>6</v>
      </c>
      <c r="D10" s="57">
        <v>4.5</v>
      </c>
      <c r="E10" s="57">
        <v>6.75</v>
      </c>
      <c r="F10" s="57">
        <v>9</v>
      </c>
      <c r="G10" s="57">
        <v>11.25</v>
      </c>
      <c r="H10" s="57">
        <v>13.5</v>
      </c>
      <c r="I10" s="59">
        <f>SUM(D$4:D10)</f>
        <v>31.5</v>
      </c>
      <c r="J10" s="59">
        <f>SUM(E$4:E10)</f>
        <v>47.25</v>
      </c>
      <c r="K10" s="59">
        <f>SUM(F$4:F10)</f>
        <v>63</v>
      </c>
      <c r="L10" s="59">
        <f>SUM(G$4:G10)</f>
        <v>78.75</v>
      </c>
      <c r="M10" s="59">
        <f>SUM(H$4:H10)</f>
        <v>94.5</v>
      </c>
    </row>
    <row r="11" spans="2:13" x14ac:dyDescent="0.15">
      <c r="B11" s="2">
        <v>8</v>
      </c>
      <c r="C11" s="2">
        <v>6</v>
      </c>
      <c r="D11" s="57">
        <v>4.5</v>
      </c>
      <c r="E11" s="57">
        <v>6.75</v>
      </c>
      <c r="F11" s="57">
        <v>9</v>
      </c>
      <c r="G11" s="57">
        <v>11.25</v>
      </c>
      <c r="H11" s="57">
        <v>13.5</v>
      </c>
      <c r="I11" s="59">
        <f>SUM(D$4:D11)</f>
        <v>36</v>
      </c>
      <c r="J11" s="59">
        <f>SUM(E$4:E11)</f>
        <v>54</v>
      </c>
      <c r="K11" s="59">
        <f>SUM(F$4:F11)</f>
        <v>72</v>
      </c>
      <c r="L11" s="59">
        <f>SUM(G$4:G11)</f>
        <v>90</v>
      </c>
      <c r="M11" s="59">
        <f>SUM(H$4:H11)</f>
        <v>108</v>
      </c>
    </row>
    <row r="12" spans="2:13" x14ac:dyDescent="0.15">
      <c r="B12" s="2">
        <v>9</v>
      </c>
      <c r="C12" s="2">
        <v>6</v>
      </c>
      <c r="D12" s="57">
        <v>4.5</v>
      </c>
      <c r="E12" s="57">
        <v>6.75</v>
      </c>
      <c r="F12" s="57">
        <v>9</v>
      </c>
      <c r="G12" s="57">
        <v>11.25</v>
      </c>
      <c r="H12" s="57">
        <v>13.5</v>
      </c>
      <c r="I12" s="59">
        <f>SUM(D$4:D12)</f>
        <v>40.5</v>
      </c>
      <c r="J12" s="59">
        <f>SUM(E$4:E12)</f>
        <v>60.75</v>
      </c>
      <c r="K12" s="59">
        <f>SUM(F$4:F12)</f>
        <v>81</v>
      </c>
      <c r="L12" s="59">
        <f>SUM(G$4:G12)</f>
        <v>101.25</v>
      </c>
      <c r="M12" s="59">
        <f>SUM(H$4:H12)</f>
        <v>121.5</v>
      </c>
    </row>
    <row r="13" spans="2:13" x14ac:dyDescent="0.15">
      <c r="B13" s="2">
        <v>10</v>
      </c>
      <c r="C13" s="2">
        <v>6</v>
      </c>
      <c r="D13" s="57">
        <v>4.5</v>
      </c>
      <c r="E13" s="57">
        <v>6.75</v>
      </c>
      <c r="F13" s="57">
        <v>9</v>
      </c>
      <c r="G13" s="57">
        <v>11.25</v>
      </c>
      <c r="H13" s="57">
        <v>13.5</v>
      </c>
      <c r="I13" s="59">
        <f>SUM(D$4:D13)</f>
        <v>45</v>
      </c>
      <c r="J13" s="59">
        <f>SUM(E$4:E13)</f>
        <v>67.5</v>
      </c>
      <c r="K13" s="59">
        <f>SUM(F$4:F13)</f>
        <v>90</v>
      </c>
      <c r="L13" s="59">
        <f>SUM(G$4:G13)</f>
        <v>112.5</v>
      </c>
      <c r="M13" s="59">
        <f>SUM(H$4:H13)</f>
        <v>135</v>
      </c>
    </row>
    <row r="14" spans="2:13" x14ac:dyDescent="0.15">
      <c r="B14" s="2">
        <v>11</v>
      </c>
      <c r="C14" s="2">
        <v>7</v>
      </c>
      <c r="D14" s="57">
        <v>5.25</v>
      </c>
      <c r="E14" s="57">
        <v>7.875</v>
      </c>
      <c r="F14" s="57">
        <v>10.5</v>
      </c>
      <c r="G14" s="57">
        <v>13.125</v>
      </c>
      <c r="H14" s="57">
        <v>15.75</v>
      </c>
      <c r="I14" s="59">
        <f>SUM(D$4:D14)</f>
        <v>50.25</v>
      </c>
      <c r="J14" s="59">
        <f>SUM(E$4:E14)</f>
        <v>75.375</v>
      </c>
      <c r="K14" s="59">
        <f>SUM(F$4:F14)</f>
        <v>100.5</v>
      </c>
      <c r="L14" s="59">
        <f>SUM(G$4:G14)</f>
        <v>125.625</v>
      </c>
      <c r="M14" s="59">
        <f>SUM(H$4:H14)</f>
        <v>150.75</v>
      </c>
    </row>
    <row r="15" spans="2:13" x14ac:dyDescent="0.15">
      <c r="B15" s="2">
        <v>12</v>
      </c>
      <c r="C15" s="2">
        <v>7</v>
      </c>
      <c r="D15" s="57">
        <v>5.25</v>
      </c>
      <c r="E15" s="57">
        <v>7.875</v>
      </c>
      <c r="F15" s="57">
        <v>10.5</v>
      </c>
      <c r="G15" s="57">
        <v>13.125</v>
      </c>
      <c r="H15" s="57">
        <v>15.75</v>
      </c>
      <c r="I15" s="59">
        <f>SUM(D$4:D15)</f>
        <v>55.5</v>
      </c>
      <c r="J15" s="59">
        <f>SUM(E$4:E15)</f>
        <v>83.25</v>
      </c>
      <c r="K15" s="59">
        <f>SUM(F$4:F15)</f>
        <v>111</v>
      </c>
      <c r="L15" s="59">
        <f>SUM(G$4:G15)</f>
        <v>138.75</v>
      </c>
      <c r="M15" s="59">
        <f>SUM(H$4:H15)</f>
        <v>166.5</v>
      </c>
    </row>
    <row r="16" spans="2:13" x14ac:dyDescent="0.15">
      <c r="B16" s="2">
        <v>13</v>
      </c>
      <c r="C16" s="2">
        <v>7</v>
      </c>
      <c r="D16" s="57">
        <v>5.25</v>
      </c>
      <c r="E16" s="57">
        <v>7.875</v>
      </c>
      <c r="F16" s="57">
        <v>10.5</v>
      </c>
      <c r="G16" s="57">
        <v>13.125</v>
      </c>
      <c r="H16" s="57">
        <v>15.75</v>
      </c>
      <c r="I16" s="59">
        <f>SUM(D$4:D16)</f>
        <v>60.75</v>
      </c>
      <c r="J16" s="59">
        <f>SUM(E$4:E16)</f>
        <v>91.125</v>
      </c>
      <c r="K16" s="59">
        <f>SUM(F$4:F16)</f>
        <v>121.5</v>
      </c>
      <c r="L16" s="59">
        <f>SUM(G$4:G16)</f>
        <v>151.875</v>
      </c>
      <c r="M16" s="59">
        <f>SUM(H$4:H16)</f>
        <v>182.25</v>
      </c>
    </row>
    <row r="17" spans="2:13" x14ac:dyDescent="0.15">
      <c r="B17" s="2">
        <v>14</v>
      </c>
      <c r="C17" s="2">
        <v>7</v>
      </c>
      <c r="D17" s="57">
        <v>5.25</v>
      </c>
      <c r="E17" s="57">
        <v>7.875</v>
      </c>
      <c r="F17" s="57">
        <v>10.5</v>
      </c>
      <c r="G17" s="57">
        <v>13.125</v>
      </c>
      <c r="H17" s="57">
        <v>15.75</v>
      </c>
      <c r="I17" s="59">
        <f>SUM(D$4:D17)</f>
        <v>66</v>
      </c>
      <c r="J17" s="59">
        <f>SUM(E$4:E17)</f>
        <v>99</v>
      </c>
      <c r="K17" s="59">
        <f>SUM(F$4:F17)</f>
        <v>132</v>
      </c>
      <c r="L17" s="59">
        <f>SUM(G$4:G17)</f>
        <v>165</v>
      </c>
      <c r="M17" s="59">
        <f>SUM(H$4:H17)</f>
        <v>198</v>
      </c>
    </row>
    <row r="18" spans="2:13" x14ac:dyDescent="0.15">
      <c r="B18" s="2">
        <v>15</v>
      </c>
      <c r="C18" s="2">
        <v>7</v>
      </c>
      <c r="D18" s="57">
        <v>5.25</v>
      </c>
      <c r="E18" s="57">
        <v>7.875</v>
      </c>
      <c r="F18" s="57">
        <v>10.5</v>
      </c>
      <c r="G18" s="57">
        <v>13.125</v>
      </c>
      <c r="H18" s="57">
        <v>15.75</v>
      </c>
      <c r="I18" s="59">
        <f>SUM(D$4:D18)</f>
        <v>71.25</v>
      </c>
      <c r="J18" s="59">
        <f>SUM(E$4:E18)</f>
        <v>106.875</v>
      </c>
      <c r="K18" s="59">
        <f>SUM(F$4:F18)</f>
        <v>142.5</v>
      </c>
      <c r="L18" s="59">
        <f>SUM(G$4:G18)</f>
        <v>178.125</v>
      </c>
      <c r="M18" s="59">
        <f>SUM(H$4:H18)</f>
        <v>213.75</v>
      </c>
    </row>
    <row r="19" spans="2:13" x14ac:dyDescent="0.15">
      <c r="B19" s="2">
        <v>16</v>
      </c>
      <c r="C19" s="2">
        <v>7</v>
      </c>
      <c r="D19" s="57">
        <v>5.25</v>
      </c>
      <c r="E19" s="57">
        <v>7.875</v>
      </c>
      <c r="F19" s="57">
        <v>10.5</v>
      </c>
      <c r="G19" s="57">
        <v>13.125</v>
      </c>
      <c r="H19" s="57">
        <v>15.75</v>
      </c>
      <c r="I19" s="59">
        <f>SUM(D$4:D19)</f>
        <v>76.5</v>
      </c>
      <c r="J19" s="59">
        <f>SUM(E$4:E19)</f>
        <v>114.75</v>
      </c>
      <c r="K19" s="59">
        <f>SUM(F$4:F19)</f>
        <v>153</v>
      </c>
      <c r="L19" s="59">
        <f>SUM(G$4:G19)</f>
        <v>191.25</v>
      </c>
      <c r="M19" s="59">
        <f>SUM(H$4:H19)</f>
        <v>229.5</v>
      </c>
    </row>
    <row r="20" spans="2:13" x14ac:dyDescent="0.15">
      <c r="B20" s="2">
        <v>17</v>
      </c>
      <c r="C20" s="2">
        <v>7</v>
      </c>
      <c r="D20" s="57">
        <v>5.25</v>
      </c>
      <c r="E20" s="57">
        <v>7.875</v>
      </c>
      <c r="F20" s="57">
        <v>10.5</v>
      </c>
      <c r="G20" s="57">
        <v>13.125</v>
      </c>
      <c r="H20" s="57">
        <v>15.75</v>
      </c>
      <c r="I20" s="59">
        <f>SUM(D$4:D20)</f>
        <v>81.75</v>
      </c>
      <c r="J20" s="59">
        <f>SUM(E$4:E20)</f>
        <v>122.625</v>
      </c>
      <c r="K20" s="59">
        <f>SUM(F$4:F20)</f>
        <v>163.5</v>
      </c>
      <c r="L20" s="59">
        <f>SUM(G$4:G20)</f>
        <v>204.375</v>
      </c>
      <c r="M20" s="59">
        <f>SUM(H$4:H20)</f>
        <v>245.25</v>
      </c>
    </row>
    <row r="21" spans="2:13" x14ac:dyDescent="0.15">
      <c r="B21" s="2">
        <v>18</v>
      </c>
      <c r="C21" s="2">
        <v>7</v>
      </c>
      <c r="D21" s="57">
        <v>5.25</v>
      </c>
      <c r="E21" s="57">
        <v>7.875</v>
      </c>
      <c r="F21" s="57">
        <v>10.5</v>
      </c>
      <c r="G21" s="57">
        <v>13.125</v>
      </c>
      <c r="H21" s="57">
        <v>15.75</v>
      </c>
      <c r="I21" s="59">
        <f>SUM(D$4:D21)</f>
        <v>87</v>
      </c>
      <c r="J21" s="59">
        <f>SUM(E$4:E21)</f>
        <v>130.5</v>
      </c>
      <c r="K21" s="59">
        <f>SUM(F$4:F21)</f>
        <v>174</v>
      </c>
      <c r="L21" s="59">
        <f>SUM(G$4:G21)</f>
        <v>217.5</v>
      </c>
      <c r="M21" s="59">
        <f>SUM(H$4:H21)</f>
        <v>261</v>
      </c>
    </row>
    <row r="22" spans="2:13" x14ac:dyDescent="0.15">
      <c r="B22" s="2">
        <v>19</v>
      </c>
      <c r="C22" s="2">
        <v>7</v>
      </c>
      <c r="D22" s="57">
        <v>5.25</v>
      </c>
      <c r="E22" s="57">
        <v>7.875</v>
      </c>
      <c r="F22" s="57">
        <v>10.5</v>
      </c>
      <c r="G22" s="57">
        <v>13.125</v>
      </c>
      <c r="H22" s="57">
        <v>15.75</v>
      </c>
      <c r="I22" s="59">
        <f>SUM(D$4:D22)</f>
        <v>92.25</v>
      </c>
      <c r="J22" s="59">
        <f>SUM(E$4:E22)</f>
        <v>138.375</v>
      </c>
      <c r="K22" s="59">
        <f>SUM(F$4:F22)</f>
        <v>184.5</v>
      </c>
      <c r="L22" s="59">
        <f>SUM(G$4:G22)</f>
        <v>230.625</v>
      </c>
      <c r="M22" s="59">
        <f>SUM(H$4:H22)</f>
        <v>276.75</v>
      </c>
    </row>
    <row r="23" spans="2:13" x14ac:dyDescent="0.15">
      <c r="B23" s="2">
        <v>20</v>
      </c>
      <c r="C23" s="2">
        <v>7</v>
      </c>
      <c r="D23" s="57">
        <v>5.25</v>
      </c>
      <c r="E23" s="57">
        <v>7.875</v>
      </c>
      <c r="F23" s="57">
        <v>10.5</v>
      </c>
      <c r="G23" s="57">
        <v>13.125</v>
      </c>
      <c r="H23" s="57">
        <v>15.75</v>
      </c>
      <c r="I23" s="59">
        <f>SUM(D$4:D23)</f>
        <v>97.5</v>
      </c>
      <c r="J23" s="59">
        <f>SUM(E$4:E23)</f>
        <v>146.25</v>
      </c>
      <c r="K23" s="59">
        <f>SUM(F$4:F23)</f>
        <v>195</v>
      </c>
      <c r="L23" s="59">
        <f>SUM(G$4:G23)</f>
        <v>243.75</v>
      </c>
      <c r="M23" s="59">
        <f>SUM(H$4:H23)</f>
        <v>292.5</v>
      </c>
    </row>
    <row r="24" spans="2:13" x14ac:dyDescent="0.15">
      <c r="B24" s="2">
        <v>21</v>
      </c>
      <c r="C24" s="2">
        <v>8</v>
      </c>
      <c r="D24" s="57">
        <v>6</v>
      </c>
      <c r="E24" s="57">
        <v>9</v>
      </c>
      <c r="F24" s="57">
        <v>12</v>
      </c>
      <c r="G24" s="57">
        <v>15</v>
      </c>
      <c r="H24" s="57">
        <v>18</v>
      </c>
      <c r="I24" s="59">
        <f>SUM(D$4:D24)</f>
        <v>103.5</v>
      </c>
      <c r="J24" s="59">
        <f>SUM(E$4:E24)</f>
        <v>155.25</v>
      </c>
      <c r="K24" s="59">
        <f>SUM(F$4:F24)</f>
        <v>207</v>
      </c>
      <c r="L24" s="59">
        <f>SUM(G$4:G24)</f>
        <v>258.75</v>
      </c>
      <c r="M24" s="59">
        <f>SUM(H$4:H24)</f>
        <v>310.5</v>
      </c>
    </row>
    <row r="25" spans="2:13" x14ac:dyDescent="0.15">
      <c r="B25" s="2">
        <v>22</v>
      </c>
      <c r="C25" s="2">
        <v>8</v>
      </c>
      <c r="D25" s="57">
        <v>6</v>
      </c>
      <c r="E25" s="57">
        <v>9</v>
      </c>
      <c r="F25" s="57">
        <v>12</v>
      </c>
      <c r="G25" s="57">
        <v>15</v>
      </c>
      <c r="H25" s="57">
        <v>18</v>
      </c>
      <c r="I25" s="59">
        <f>SUM(D$4:D25)</f>
        <v>109.5</v>
      </c>
      <c r="J25" s="59">
        <f>SUM(E$4:E25)</f>
        <v>164.25</v>
      </c>
      <c r="K25" s="59">
        <f>SUM(F$4:F25)</f>
        <v>219</v>
      </c>
      <c r="L25" s="59">
        <f>SUM(G$4:G25)</f>
        <v>273.75</v>
      </c>
      <c r="M25" s="59">
        <f>SUM(H$4:H25)</f>
        <v>328.5</v>
      </c>
    </row>
    <row r="26" spans="2:13" x14ac:dyDescent="0.15">
      <c r="B26" s="2">
        <v>23</v>
      </c>
      <c r="C26" s="2">
        <v>8</v>
      </c>
      <c r="D26" s="57">
        <v>6</v>
      </c>
      <c r="E26" s="57">
        <v>9</v>
      </c>
      <c r="F26" s="57">
        <v>12</v>
      </c>
      <c r="G26" s="57">
        <v>15</v>
      </c>
      <c r="H26" s="57">
        <v>18</v>
      </c>
      <c r="I26" s="59">
        <f>SUM(D$4:D26)</f>
        <v>115.5</v>
      </c>
      <c r="J26" s="59">
        <f>SUM(E$4:E26)</f>
        <v>173.25</v>
      </c>
      <c r="K26" s="59">
        <f>SUM(F$4:F26)</f>
        <v>231</v>
      </c>
      <c r="L26" s="59">
        <f>SUM(G$4:G26)</f>
        <v>288.75</v>
      </c>
      <c r="M26" s="59">
        <f>SUM(H$4:H26)</f>
        <v>346.5</v>
      </c>
    </row>
    <row r="27" spans="2:13" x14ac:dyDescent="0.15">
      <c r="B27" s="2">
        <v>24</v>
      </c>
      <c r="C27" s="2">
        <v>8</v>
      </c>
      <c r="D27" s="57">
        <v>6</v>
      </c>
      <c r="E27" s="57">
        <v>9</v>
      </c>
      <c r="F27" s="57">
        <v>12</v>
      </c>
      <c r="G27" s="57">
        <v>15</v>
      </c>
      <c r="H27" s="57">
        <v>18</v>
      </c>
      <c r="I27" s="59">
        <f>SUM(D$4:D27)</f>
        <v>121.5</v>
      </c>
      <c r="J27" s="59">
        <f>SUM(E$4:E27)</f>
        <v>182.25</v>
      </c>
      <c r="K27" s="59">
        <f>SUM(F$4:F27)</f>
        <v>243</v>
      </c>
      <c r="L27" s="59">
        <f>SUM(G$4:G27)</f>
        <v>303.75</v>
      </c>
      <c r="M27" s="59">
        <f>SUM(H$4:H27)</f>
        <v>364.5</v>
      </c>
    </row>
    <row r="28" spans="2:13" x14ac:dyDescent="0.15">
      <c r="B28" s="2">
        <v>25</v>
      </c>
      <c r="C28" s="2">
        <v>8</v>
      </c>
      <c r="D28" s="57">
        <v>6</v>
      </c>
      <c r="E28" s="57">
        <v>9</v>
      </c>
      <c r="F28" s="57">
        <v>12</v>
      </c>
      <c r="G28" s="57">
        <v>15</v>
      </c>
      <c r="H28" s="57">
        <v>18</v>
      </c>
      <c r="I28" s="59">
        <f>SUM(D$4:D28)</f>
        <v>127.5</v>
      </c>
      <c r="J28" s="59">
        <f>SUM(E$4:E28)</f>
        <v>191.25</v>
      </c>
      <c r="K28" s="59">
        <f>SUM(F$4:F28)</f>
        <v>255</v>
      </c>
      <c r="L28" s="59">
        <f>SUM(G$4:G28)</f>
        <v>318.75</v>
      </c>
      <c r="M28" s="59">
        <f>SUM(H$4:H28)</f>
        <v>382.5</v>
      </c>
    </row>
    <row r="29" spans="2:13" x14ac:dyDescent="0.15">
      <c r="B29" s="2">
        <v>26</v>
      </c>
      <c r="C29" s="2">
        <v>8</v>
      </c>
      <c r="D29" s="57">
        <v>6</v>
      </c>
      <c r="E29" s="57">
        <v>9</v>
      </c>
      <c r="F29" s="57">
        <v>12</v>
      </c>
      <c r="G29" s="57">
        <v>15</v>
      </c>
      <c r="H29" s="57">
        <v>18</v>
      </c>
      <c r="I29" s="59">
        <f>SUM(D$4:D29)</f>
        <v>133.5</v>
      </c>
      <c r="J29" s="59">
        <f>SUM(E$4:E29)</f>
        <v>200.25</v>
      </c>
      <c r="K29" s="59">
        <f>SUM(F$4:F29)</f>
        <v>267</v>
      </c>
      <c r="L29" s="59">
        <f>SUM(G$4:G29)</f>
        <v>333.75</v>
      </c>
      <c r="M29" s="59">
        <f>SUM(H$4:H29)</f>
        <v>400.5</v>
      </c>
    </row>
    <row r="30" spans="2:13" x14ac:dyDescent="0.15">
      <c r="B30" s="2">
        <v>27</v>
      </c>
      <c r="C30" s="2">
        <v>8</v>
      </c>
      <c r="D30" s="57">
        <v>6</v>
      </c>
      <c r="E30" s="57">
        <v>9</v>
      </c>
      <c r="F30" s="57">
        <v>12</v>
      </c>
      <c r="G30" s="57">
        <v>15</v>
      </c>
      <c r="H30" s="57">
        <v>18</v>
      </c>
      <c r="I30" s="59">
        <f>SUM(D$4:D30)</f>
        <v>139.5</v>
      </c>
      <c r="J30" s="59">
        <f>SUM(E$4:E30)</f>
        <v>209.25</v>
      </c>
      <c r="K30" s="59">
        <f>SUM(F$4:F30)</f>
        <v>279</v>
      </c>
      <c r="L30" s="59">
        <f>SUM(G$4:G30)</f>
        <v>348.75</v>
      </c>
      <c r="M30" s="59">
        <f>SUM(H$4:H30)</f>
        <v>418.5</v>
      </c>
    </row>
    <row r="31" spans="2:13" x14ac:dyDescent="0.15">
      <c r="B31" s="2">
        <v>28</v>
      </c>
      <c r="C31" s="2">
        <v>8</v>
      </c>
      <c r="D31" s="57">
        <v>6</v>
      </c>
      <c r="E31" s="57">
        <v>9</v>
      </c>
      <c r="F31" s="57">
        <v>12</v>
      </c>
      <c r="G31" s="57">
        <v>15</v>
      </c>
      <c r="H31" s="57">
        <v>18</v>
      </c>
      <c r="I31" s="59">
        <f>SUM(D$4:D31)</f>
        <v>145.5</v>
      </c>
      <c r="J31" s="59">
        <f>SUM(E$4:E31)</f>
        <v>218.25</v>
      </c>
      <c r="K31" s="59">
        <f>SUM(F$4:F31)</f>
        <v>291</v>
      </c>
      <c r="L31" s="59">
        <f>SUM(G$4:G31)</f>
        <v>363.75</v>
      </c>
      <c r="M31" s="59">
        <f>SUM(H$4:H31)</f>
        <v>436.5</v>
      </c>
    </row>
    <row r="32" spans="2:13" x14ac:dyDescent="0.15">
      <c r="B32" s="2">
        <v>29</v>
      </c>
      <c r="C32" s="2">
        <v>8</v>
      </c>
      <c r="D32" s="57">
        <v>6</v>
      </c>
      <c r="E32" s="57">
        <v>9</v>
      </c>
      <c r="F32" s="57">
        <v>12</v>
      </c>
      <c r="G32" s="57">
        <v>15</v>
      </c>
      <c r="H32" s="57">
        <v>18</v>
      </c>
      <c r="I32" s="59">
        <f>SUM(D$4:D32)</f>
        <v>151.5</v>
      </c>
      <c r="J32" s="59">
        <f>SUM(E$4:E32)</f>
        <v>227.25</v>
      </c>
      <c r="K32" s="59">
        <f>SUM(F$4:F32)</f>
        <v>303</v>
      </c>
      <c r="L32" s="59">
        <f>SUM(G$4:G32)</f>
        <v>378.75</v>
      </c>
      <c r="M32" s="59">
        <f>SUM(H$4:H32)</f>
        <v>454.5</v>
      </c>
    </row>
    <row r="33" spans="2:13" x14ac:dyDescent="0.15">
      <c r="B33" s="2">
        <v>30</v>
      </c>
      <c r="C33" s="2">
        <v>8</v>
      </c>
      <c r="D33" s="57">
        <v>6</v>
      </c>
      <c r="E33" s="57">
        <v>9</v>
      </c>
      <c r="F33" s="57">
        <v>12</v>
      </c>
      <c r="G33" s="57">
        <v>15</v>
      </c>
      <c r="H33" s="57">
        <v>18</v>
      </c>
      <c r="I33" s="59">
        <f>SUM(D$4:D33)</f>
        <v>157.5</v>
      </c>
      <c r="J33" s="59">
        <f>SUM(E$4:E33)</f>
        <v>236.25</v>
      </c>
      <c r="K33" s="59">
        <f>SUM(F$4:F33)</f>
        <v>315</v>
      </c>
      <c r="L33" s="59">
        <f>SUM(G$4:G33)</f>
        <v>393.75</v>
      </c>
      <c r="M33" s="59">
        <f>SUM(H$4:H33)</f>
        <v>472.5</v>
      </c>
    </row>
    <row r="34" spans="2:13" x14ac:dyDescent="0.15">
      <c r="B34" s="2">
        <v>31</v>
      </c>
      <c r="C34" s="2">
        <v>9</v>
      </c>
      <c r="D34" s="57">
        <v>6.75</v>
      </c>
      <c r="E34" s="57">
        <v>10.125</v>
      </c>
      <c r="F34" s="57">
        <v>13.5</v>
      </c>
      <c r="G34" s="57">
        <v>16.875</v>
      </c>
      <c r="H34" s="57">
        <v>20.25</v>
      </c>
      <c r="I34" s="59">
        <f>SUM(D$4:D34)</f>
        <v>164.25</v>
      </c>
      <c r="J34" s="59">
        <f>SUM(E$4:E34)</f>
        <v>246.375</v>
      </c>
      <c r="K34" s="59">
        <f>SUM(F$4:F34)</f>
        <v>328.5</v>
      </c>
      <c r="L34" s="59">
        <f>SUM(G$4:G34)</f>
        <v>410.625</v>
      </c>
      <c r="M34" s="59">
        <f>SUM(H$4:H34)</f>
        <v>492.75</v>
      </c>
    </row>
    <row r="35" spans="2:13" x14ac:dyDescent="0.15">
      <c r="B35" s="2">
        <v>32</v>
      </c>
      <c r="C35" s="2">
        <v>9</v>
      </c>
      <c r="D35" s="57">
        <v>6.75</v>
      </c>
      <c r="E35" s="57">
        <v>10.125</v>
      </c>
      <c r="F35" s="57">
        <v>13.5</v>
      </c>
      <c r="G35" s="57">
        <v>16.875</v>
      </c>
      <c r="H35" s="57">
        <v>20.25</v>
      </c>
      <c r="I35" s="59">
        <f>SUM(D$4:D35)</f>
        <v>171</v>
      </c>
      <c r="J35" s="59">
        <f>SUM(E$4:E35)</f>
        <v>256.5</v>
      </c>
      <c r="K35" s="59">
        <f>SUM(F$4:F35)</f>
        <v>342</v>
      </c>
      <c r="L35" s="59">
        <f>SUM(G$4:G35)</f>
        <v>427.5</v>
      </c>
      <c r="M35" s="59">
        <f>SUM(H$4:H35)</f>
        <v>513</v>
      </c>
    </row>
    <row r="36" spans="2:13" x14ac:dyDescent="0.15">
      <c r="B36" s="2">
        <v>33</v>
      </c>
      <c r="C36" s="2">
        <v>9</v>
      </c>
      <c r="D36" s="57">
        <v>6.75</v>
      </c>
      <c r="E36" s="57">
        <v>10.125</v>
      </c>
      <c r="F36" s="57">
        <v>13.5</v>
      </c>
      <c r="G36" s="57">
        <v>16.875</v>
      </c>
      <c r="H36" s="57">
        <v>20.25</v>
      </c>
      <c r="I36" s="59">
        <f>SUM(D$4:D36)</f>
        <v>177.75</v>
      </c>
      <c r="J36" s="59">
        <f>SUM(E$4:E36)</f>
        <v>266.625</v>
      </c>
      <c r="K36" s="59">
        <f>SUM(F$4:F36)</f>
        <v>355.5</v>
      </c>
      <c r="L36" s="59">
        <f>SUM(G$4:G36)</f>
        <v>444.375</v>
      </c>
      <c r="M36" s="59">
        <f>SUM(H$4:H36)</f>
        <v>533.25</v>
      </c>
    </row>
    <row r="37" spans="2:13" x14ac:dyDescent="0.15">
      <c r="B37" s="2">
        <v>34</v>
      </c>
      <c r="C37" s="2">
        <v>9</v>
      </c>
      <c r="D37" s="57">
        <v>6.75</v>
      </c>
      <c r="E37" s="57">
        <v>10.125</v>
      </c>
      <c r="F37" s="57">
        <v>13.5</v>
      </c>
      <c r="G37" s="57">
        <v>16.875</v>
      </c>
      <c r="H37" s="57">
        <v>20.25</v>
      </c>
      <c r="I37" s="59">
        <f>SUM(D$4:D37)</f>
        <v>184.5</v>
      </c>
      <c r="J37" s="59">
        <f>SUM(E$4:E37)</f>
        <v>276.75</v>
      </c>
      <c r="K37" s="59">
        <f>SUM(F$4:F37)</f>
        <v>369</v>
      </c>
      <c r="L37" s="59">
        <f>SUM(G$4:G37)</f>
        <v>461.25</v>
      </c>
      <c r="M37" s="59">
        <f>SUM(H$4:H37)</f>
        <v>553.5</v>
      </c>
    </row>
    <row r="38" spans="2:13" x14ac:dyDescent="0.15">
      <c r="B38" s="2">
        <v>35</v>
      </c>
      <c r="C38" s="2">
        <v>9</v>
      </c>
      <c r="D38" s="57">
        <v>6.75</v>
      </c>
      <c r="E38" s="57">
        <v>10.125</v>
      </c>
      <c r="F38" s="57">
        <v>13.5</v>
      </c>
      <c r="G38" s="57">
        <v>16.875</v>
      </c>
      <c r="H38" s="57">
        <v>20.25</v>
      </c>
      <c r="I38" s="59">
        <f>SUM(D$4:D38)</f>
        <v>191.25</v>
      </c>
      <c r="J38" s="59">
        <f>SUM(E$4:E38)</f>
        <v>286.875</v>
      </c>
      <c r="K38" s="59">
        <f>SUM(F$4:F38)</f>
        <v>382.5</v>
      </c>
      <c r="L38" s="59">
        <f>SUM(G$4:G38)</f>
        <v>478.125</v>
      </c>
      <c r="M38" s="59">
        <f>SUM(H$4:H38)</f>
        <v>573.75</v>
      </c>
    </row>
    <row r="39" spans="2:13" x14ac:dyDescent="0.15">
      <c r="B39" s="2">
        <v>36</v>
      </c>
      <c r="C39" s="2">
        <v>9</v>
      </c>
      <c r="D39" s="57">
        <v>6.75</v>
      </c>
      <c r="E39" s="57">
        <v>10.125</v>
      </c>
      <c r="F39" s="57">
        <v>13.5</v>
      </c>
      <c r="G39" s="57">
        <v>16.875</v>
      </c>
      <c r="H39" s="57">
        <v>20.25</v>
      </c>
      <c r="I39" s="59">
        <f>SUM(D$4:D39)</f>
        <v>198</v>
      </c>
      <c r="J39" s="59">
        <f>SUM(E$4:E39)</f>
        <v>297</v>
      </c>
      <c r="K39" s="59">
        <f>SUM(F$4:F39)</f>
        <v>396</v>
      </c>
      <c r="L39" s="59">
        <f>SUM(G$4:G39)</f>
        <v>495</v>
      </c>
      <c r="M39" s="59">
        <f>SUM(H$4:H39)</f>
        <v>594</v>
      </c>
    </row>
    <row r="40" spans="2:13" x14ac:dyDescent="0.15">
      <c r="B40" s="2">
        <v>37</v>
      </c>
      <c r="C40" s="2">
        <v>9</v>
      </c>
      <c r="D40" s="57">
        <v>6.75</v>
      </c>
      <c r="E40" s="57">
        <v>10.125</v>
      </c>
      <c r="F40" s="57">
        <v>13.5</v>
      </c>
      <c r="G40" s="57">
        <v>16.875</v>
      </c>
      <c r="H40" s="57">
        <v>20.25</v>
      </c>
      <c r="I40" s="59">
        <f>SUM(D$4:D40)</f>
        <v>204.75</v>
      </c>
      <c r="J40" s="59">
        <f>SUM(E$4:E40)</f>
        <v>307.125</v>
      </c>
      <c r="K40" s="59">
        <f>SUM(F$4:F40)</f>
        <v>409.5</v>
      </c>
      <c r="L40" s="59">
        <f>SUM(G$4:G40)</f>
        <v>511.875</v>
      </c>
      <c r="M40" s="59">
        <f>SUM(H$4:H40)</f>
        <v>614.25</v>
      </c>
    </row>
    <row r="41" spans="2:13" x14ac:dyDescent="0.15">
      <c r="B41" s="2">
        <v>38</v>
      </c>
      <c r="C41" s="2">
        <v>9</v>
      </c>
      <c r="D41" s="57">
        <v>6.75</v>
      </c>
      <c r="E41" s="57">
        <v>10.125</v>
      </c>
      <c r="F41" s="57">
        <v>13.5</v>
      </c>
      <c r="G41" s="57">
        <v>16.875</v>
      </c>
      <c r="H41" s="57">
        <v>20.25</v>
      </c>
      <c r="I41" s="59">
        <f>SUM(D$4:D41)</f>
        <v>211.5</v>
      </c>
      <c r="J41" s="59">
        <f>SUM(E$4:E41)</f>
        <v>317.25</v>
      </c>
      <c r="K41" s="59">
        <f>SUM(F$4:F41)</f>
        <v>423</v>
      </c>
      <c r="L41" s="59">
        <f>SUM(G$4:G41)</f>
        <v>528.75</v>
      </c>
      <c r="M41" s="59">
        <f>SUM(H$4:H41)</f>
        <v>634.5</v>
      </c>
    </row>
    <row r="42" spans="2:13" x14ac:dyDescent="0.15">
      <c r="B42" s="2">
        <v>39</v>
      </c>
      <c r="C42" s="2">
        <v>9</v>
      </c>
      <c r="D42" s="57">
        <v>6.75</v>
      </c>
      <c r="E42" s="57">
        <v>10.125</v>
      </c>
      <c r="F42" s="57">
        <v>13.5</v>
      </c>
      <c r="G42" s="57">
        <v>16.875</v>
      </c>
      <c r="H42" s="57">
        <v>20.25</v>
      </c>
      <c r="I42" s="59">
        <f>SUM(D$4:D42)</f>
        <v>218.25</v>
      </c>
      <c r="J42" s="59">
        <f>SUM(E$4:E42)</f>
        <v>327.375</v>
      </c>
      <c r="K42" s="59">
        <f>SUM(F$4:F42)</f>
        <v>436.5</v>
      </c>
      <c r="L42" s="59">
        <f>SUM(G$4:G42)</f>
        <v>545.625</v>
      </c>
      <c r="M42" s="59">
        <f>SUM(H$4:H42)</f>
        <v>654.75</v>
      </c>
    </row>
    <row r="43" spans="2:13" x14ac:dyDescent="0.15">
      <c r="B43" s="2">
        <v>40</v>
      </c>
      <c r="C43" s="2">
        <v>9</v>
      </c>
      <c r="D43" s="57">
        <v>6.75</v>
      </c>
      <c r="E43" s="57">
        <v>10.125</v>
      </c>
      <c r="F43" s="57">
        <v>13.5</v>
      </c>
      <c r="G43" s="57">
        <v>16.875</v>
      </c>
      <c r="H43" s="57">
        <v>20.25</v>
      </c>
      <c r="I43" s="59">
        <f>SUM(D$4:D43)</f>
        <v>225</v>
      </c>
      <c r="J43" s="59">
        <f>SUM(E$4:E43)</f>
        <v>337.5</v>
      </c>
      <c r="K43" s="59">
        <f>SUM(F$4:F43)</f>
        <v>450</v>
      </c>
      <c r="L43" s="59">
        <f>SUM(G$4:G43)</f>
        <v>562.5</v>
      </c>
      <c r="M43" s="59">
        <f>SUM(H$4:H43)</f>
        <v>675</v>
      </c>
    </row>
    <row r="44" spans="2:13" x14ac:dyDescent="0.15">
      <c r="B44" s="2">
        <v>41</v>
      </c>
      <c r="C44" s="2">
        <v>10</v>
      </c>
      <c r="D44" s="57">
        <v>7.5</v>
      </c>
      <c r="E44" s="57">
        <v>11.25</v>
      </c>
      <c r="F44" s="57">
        <v>15</v>
      </c>
      <c r="G44" s="57">
        <v>18.75</v>
      </c>
      <c r="H44" s="57">
        <v>22.5</v>
      </c>
      <c r="I44" s="59">
        <f>SUM(D$4:D44)</f>
        <v>232.5</v>
      </c>
      <c r="J44" s="59">
        <f>SUM(E$4:E44)</f>
        <v>348.75</v>
      </c>
      <c r="K44" s="59">
        <f>SUM(F$4:F44)</f>
        <v>465</v>
      </c>
      <c r="L44" s="59">
        <f>SUM(G$4:G44)</f>
        <v>581.25</v>
      </c>
      <c r="M44" s="59">
        <f>SUM(H$4:H44)</f>
        <v>697.5</v>
      </c>
    </row>
    <row r="45" spans="2:13" x14ac:dyDescent="0.15">
      <c r="B45" s="2">
        <v>42</v>
      </c>
      <c r="C45" s="2">
        <v>10</v>
      </c>
      <c r="D45" s="57">
        <v>7.5</v>
      </c>
      <c r="E45" s="57">
        <v>11.25</v>
      </c>
      <c r="F45" s="57">
        <v>15</v>
      </c>
      <c r="G45" s="57">
        <v>18.75</v>
      </c>
      <c r="H45" s="57">
        <v>22.5</v>
      </c>
      <c r="I45" s="59">
        <f>SUM(D$4:D45)</f>
        <v>240</v>
      </c>
      <c r="J45" s="59">
        <f>SUM(E$4:E45)</f>
        <v>360</v>
      </c>
      <c r="K45" s="59">
        <f>SUM(F$4:F45)</f>
        <v>480</v>
      </c>
      <c r="L45" s="59">
        <f>SUM(G$4:G45)</f>
        <v>600</v>
      </c>
      <c r="M45" s="59">
        <f>SUM(H$4:H45)</f>
        <v>720</v>
      </c>
    </row>
    <row r="46" spans="2:13" x14ac:dyDescent="0.15">
      <c r="B46" s="2">
        <v>43</v>
      </c>
      <c r="C46" s="2">
        <v>10</v>
      </c>
      <c r="D46" s="57">
        <v>7.5</v>
      </c>
      <c r="E46" s="57">
        <v>11.25</v>
      </c>
      <c r="F46" s="57">
        <v>15</v>
      </c>
      <c r="G46" s="57">
        <v>18.75</v>
      </c>
      <c r="H46" s="57">
        <v>22.5</v>
      </c>
      <c r="I46" s="59">
        <f>SUM(D$4:D46)</f>
        <v>247.5</v>
      </c>
      <c r="J46" s="59">
        <f>SUM(E$4:E46)</f>
        <v>371.25</v>
      </c>
      <c r="K46" s="59">
        <f>SUM(F$4:F46)</f>
        <v>495</v>
      </c>
      <c r="L46" s="59">
        <f>SUM(G$4:G46)</f>
        <v>618.75</v>
      </c>
      <c r="M46" s="59">
        <f>SUM(H$4:H46)</f>
        <v>742.5</v>
      </c>
    </row>
    <row r="47" spans="2:13" x14ac:dyDescent="0.15">
      <c r="B47" s="2">
        <v>44</v>
      </c>
      <c r="C47" s="2">
        <v>10</v>
      </c>
      <c r="D47" s="57">
        <v>7.5</v>
      </c>
      <c r="E47" s="57">
        <v>11.25</v>
      </c>
      <c r="F47" s="57">
        <v>15</v>
      </c>
      <c r="G47" s="57">
        <v>18.75</v>
      </c>
      <c r="H47" s="57">
        <v>22.5</v>
      </c>
      <c r="I47" s="59">
        <f>SUM(D$4:D47)</f>
        <v>255</v>
      </c>
      <c r="J47" s="59">
        <f>SUM(E$4:E47)</f>
        <v>382.5</v>
      </c>
      <c r="K47" s="59">
        <f>SUM(F$4:F47)</f>
        <v>510</v>
      </c>
      <c r="L47" s="59">
        <f>SUM(G$4:G47)</f>
        <v>637.5</v>
      </c>
      <c r="M47" s="59">
        <f>SUM(H$4:H47)</f>
        <v>765</v>
      </c>
    </row>
    <row r="48" spans="2:13" x14ac:dyDescent="0.15">
      <c r="B48" s="2">
        <v>45</v>
      </c>
      <c r="C48" s="2">
        <v>10</v>
      </c>
      <c r="D48" s="57">
        <v>7.5</v>
      </c>
      <c r="E48" s="57">
        <v>11.25</v>
      </c>
      <c r="F48" s="57">
        <v>15</v>
      </c>
      <c r="G48" s="57">
        <v>18.75</v>
      </c>
      <c r="H48" s="57">
        <v>22.5</v>
      </c>
      <c r="I48" s="59">
        <f>SUM(D$4:D48)</f>
        <v>262.5</v>
      </c>
      <c r="J48" s="59">
        <f>SUM(E$4:E48)</f>
        <v>393.75</v>
      </c>
      <c r="K48" s="59">
        <f>SUM(F$4:F48)</f>
        <v>525</v>
      </c>
      <c r="L48" s="59">
        <f>SUM(G$4:G48)</f>
        <v>656.25</v>
      </c>
      <c r="M48" s="59">
        <f>SUM(H$4:H48)</f>
        <v>787.5</v>
      </c>
    </row>
    <row r="49" spans="2:13" x14ac:dyDescent="0.15">
      <c r="B49" s="2">
        <v>46</v>
      </c>
      <c r="C49" s="2">
        <v>10</v>
      </c>
      <c r="D49" s="57">
        <v>7.5</v>
      </c>
      <c r="E49" s="57">
        <v>11.25</v>
      </c>
      <c r="F49" s="57">
        <v>15</v>
      </c>
      <c r="G49" s="57">
        <v>18.75</v>
      </c>
      <c r="H49" s="57">
        <v>22.5</v>
      </c>
      <c r="I49" s="59">
        <f>SUM(D$4:D49)</f>
        <v>270</v>
      </c>
      <c r="J49" s="59">
        <f>SUM(E$4:E49)</f>
        <v>405</v>
      </c>
      <c r="K49" s="59">
        <f>SUM(F$4:F49)</f>
        <v>540</v>
      </c>
      <c r="L49" s="59">
        <f>SUM(G$4:G49)</f>
        <v>675</v>
      </c>
      <c r="M49" s="59">
        <f>SUM(H$4:H49)</f>
        <v>810</v>
      </c>
    </row>
    <row r="50" spans="2:13" x14ac:dyDescent="0.15">
      <c r="B50" s="2">
        <v>47</v>
      </c>
      <c r="C50" s="2">
        <v>10</v>
      </c>
      <c r="D50" s="57">
        <v>7.5</v>
      </c>
      <c r="E50" s="57">
        <v>11.25</v>
      </c>
      <c r="F50" s="57">
        <v>15</v>
      </c>
      <c r="G50" s="57">
        <v>18.75</v>
      </c>
      <c r="H50" s="57">
        <v>22.5</v>
      </c>
      <c r="I50" s="59">
        <f>SUM(D$4:D50)</f>
        <v>277.5</v>
      </c>
      <c r="J50" s="59">
        <f>SUM(E$4:E50)</f>
        <v>416.25</v>
      </c>
      <c r="K50" s="59">
        <f>SUM(F$4:F50)</f>
        <v>555</v>
      </c>
      <c r="L50" s="59">
        <f>SUM(G$4:G50)</f>
        <v>693.75</v>
      </c>
      <c r="M50" s="59">
        <f>SUM(H$4:H50)</f>
        <v>832.5</v>
      </c>
    </row>
    <row r="51" spans="2:13" x14ac:dyDescent="0.15">
      <c r="B51" s="2">
        <v>48</v>
      </c>
      <c r="C51" s="2">
        <v>10</v>
      </c>
      <c r="D51" s="57">
        <v>7.5</v>
      </c>
      <c r="E51" s="57">
        <v>11.25</v>
      </c>
      <c r="F51" s="57">
        <v>15</v>
      </c>
      <c r="G51" s="57">
        <v>18.75</v>
      </c>
      <c r="H51" s="57">
        <v>22.5</v>
      </c>
      <c r="I51" s="59">
        <f>SUM(D$4:D51)</f>
        <v>285</v>
      </c>
      <c r="J51" s="59">
        <f>SUM(E$4:E51)</f>
        <v>427.5</v>
      </c>
      <c r="K51" s="59">
        <f>SUM(F$4:F51)</f>
        <v>570</v>
      </c>
      <c r="L51" s="59">
        <f>SUM(G$4:G51)</f>
        <v>712.5</v>
      </c>
      <c r="M51" s="59">
        <f>SUM(H$4:H51)</f>
        <v>855</v>
      </c>
    </row>
    <row r="52" spans="2:13" x14ac:dyDescent="0.15">
      <c r="B52" s="2">
        <v>49</v>
      </c>
      <c r="C52" s="2">
        <v>10</v>
      </c>
      <c r="D52" s="57">
        <v>7.5</v>
      </c>
      <c r="E52" s="57">
        <v>11.25</v>
      </c>
      <c r="F52" s="57">
        <v>15</v>
      </c>
      <c r="G52" s="57">
        <v>18.75</v>
      </c>
      <c r="H52" s="57">
        <v>22.5</v>
      </c>
      <c r="I52" s="59">
        <f>SUM(D$4:D52)</f>
        <v>292.5</v>
      </c>
      <c r="J52" s="59">
        <f>SUM(E$4:E52)</f>
        <v>438.75</v>
      </c>
      <c r="K52" s="59">
        <f>SUM(F$4:F52)</f>
        <v>585</v>
      </c>
      <c r="L52" s="59">
        <f>SUM(G$4:G52)</f>
        <v>731.25</v>
      </c>
      <c r="M52" s="59">
        <f>SUM(H$4:H52)</f>
        <v>877.5</v>
      </c>
    </row>
    <row r="53" spans="2:13" x14ac:dyDescent="0.15">
      <c r="B53" s="2">
        <v>50</v>
      </c>
      <c r="C53" s="2">
        <v>10</v>
      </c>
      <c r="D53" s="57">
        <v>7.5</v>
      </c>
      <c r="E53" s="57">
        <v>11.25</v>
      </c>
      <c r="F53" s="57">
        <v>15</v>
      </c>
      <c r="G53" s="57">
        <v>18.75</v>
      </c>
      <c r="H53" s="57">
        <v>22.5</v>
      </c>
      <c r="I53" s="59">
        <f>SUM(D$4:D53)</f>
        <v>300</v>
      </c>
      <c r="J53" s="59">
        <f>SUM(E$4:E53)</f>
        <v>450</v>
      </c>
      <c r="K53" s="59">
        <f>SUM(F$4:F53)</f>
        <v>600</v>
      </c>
      <c r="L53" s="59">
        <f>SUM(G$4:G53)</f>
        <v>750</v>
      </c>
      <c r="M53" s="59">
        <f>SUM(H$4:H53)</f>
        <v>900</v>
      </c>
    </row>
  </sheetData>
  <mergeCells count="2">
    <mergeCell ref="D1:H1"/>
    <mergeCell ref="I1:M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1"/>
  <sheetViews>
    <sheetView workbookViewId="0">
      <selection activeCell="E2" sqref="E2"/>
    </sheetView>
  </sheetViews>
  <sheetFormatPr defaultRowHeight="11.25" x14ac:dyDescent="0.15"/>
  <cols>
    <col min="1" max="16384" width="9" style="1"/>
  </cols>
  <sheetData>
    <row r="1" spans="2:4" x14ac:dyDescent="0.15">
      <c r="B1" s="1" t="s">
        <v>210</v>
      </c>
      <c r="C1" s="1" t="s">
        <v>211</v>
      </c>
      <c r="D1" s="1" t="s">
        <v>215</v>
      </c>
    </row>
    <row r="2" spans="2:4" x14ac:dyDescent="0.15">
      <c r="B2" s="1">
        <v>1</v>
      </c>
      <c r="C2" s="1">
        <v>1</v>
      </c>
      <c r="D2" s="65">
        <f>(C2-1)*2/5</f>
        <v>0</v>
      </c>
    </row>
    <row r="3" spans="2:4" x14ac:dyDescent="0.15">
      <c r="B3" s="1">
        <v>2</v>
      </c>
      <c r="C3" s="1">
        <v>1.01</v>
      </c>
      <c r="D3" s="65">
        <f t="shared" ref="D3:D66" si="0">(C3-1)*2/5</f>
        <v>4.0000000000000036E-3</v>
      </c>
    </row>
    <row r="4" spans="2:4" x14ac:dyDescent="0.15">
      <c r="B4" s="1">
        <v>3</v>
      </c>
      <c r="C4" s="1">
        <v>1.02</v>
      </c>
      <c r="D4" s="65">
        <f t="shared" si="0"/>
        <v>8.0000000000000071E-3</v>
      </c>
    </row>
    <row r="5" spans="2:4" x14ac:dyDescent="0.15">
      <c r="B5" s="1">
        <v>4</v>
      </c>
      <c r="C5" s="1">
        <v>1.03</v>
      </c>
      <c r="D5" s="65">
        <f t="shared" si="0"/>
        <v>1.2000000000000011E-2</v>
      </c>
    </row>
    <row r="6" spans="2:4" x14ac:dyDescent="0.15">
      <c r="B6" s="1">
        <v>5</v>
      </c>
      <c r="C6" s="1">
        <v>1.04</v>
      </c>
      <c r="D6" s="65">
        <f t="shared" si="0"/>
        <v>1.6000000000000014E-2</v>
      </c>
    </row>
    <row r="7" spans="2:4" x14ac:dyDescent="0.15">
      <c r="B7" s="1">
        <v>6</v>
      </c>
      <c r="C7" s="1">
        <v>1.05</v>
      </c>
      <c r="D7" s="65">
        <f t="shared" si="0"/>
        <v>2.0000000000000018E-2</v>
      </c>
    </row>
    <row r="8" spans="2:4" x14ac:dyDescent="0.15">
      <c r="B8" s="1">
        <v>7</v>
      </c>
      <c r="C8" s="1">
        <v>1.06</v>
      </c>
      <c r="D8" s="65">
        <f t="shared" si="0"/>
        <v>2.4000000000000021E-2</v>
      </c>
    </row>
    <row r="9" spans="2:4" x14ac:dyDescent="0.15">
      <c r="B9" s="1">
        <v>8</v>
      </c>
      <c r="C9" s="1">
        <v>1.07</v>
      </c>
      <c r="D9" s="65">
        <f t="shared" si="0"/>
        <v>2.8000000000000025E-2</v>
      </c>
    </row>
    <row r="10" spans="2:4" x14ac:dyDescent="0.15">
      <c r="B10" s="1">
        <v>9</v>
      </c>
      <c r="C10" s="1">
        <v>1.08</v>
      </c>
      <c r="D10" s="65">
        <f t="shared" si="0"/>
        <v>3.2000000000000028E-2</v>
      </c>
    </row>
    <row r="11" spans="2:4" x14ac:dyDescent="0.15">
      <c r="B11" s="1">
        <v>10</v>
      </c>
      <c r="C11" s="1">
        <v>1.0900000000000001</v>
      </c>
      <c r="D11" s="65">
        <f t="shared" si="0"/>
        <v>3.6000000000000032E-2</v>
      </c>
    </row>
    <row r="12" spans="2:4" x14ac:dyDescent="0.15">
      <c r="B12" s="1">
        <v>11</v>
      </c>
      <c r="C12" s="1">
        <v>1.1000000000000001</v>
      </c>
      <c r="D12" s="65">
        <f t="shared" si="0"/>
        <v>4.0000000000000036E-2</v>
      </c>
    </row>
    <row r="13" spans="2:4" x14ac:dyDescent="0.15">
      <c r="B13" s="1">
        <v>12</v>
      </c>
      <c r="C13" s="1">
        <v>1.1100000000000001</v>
      </c>
      <c r="D13" s="65">
        <f t="shared" si="0"/>
        <v>4.4000000000000039E-2</v>
      </c>
    </row>
    <row r="14" spans="2:4" x14ac:dyDescent="0.15">
      <c r="B14" s="1">
        <v>13</v>
      </c>
      <c r="C14" s="1">
        <v>1.1200000000000001</v>
      </c>
      <c r="D14" s="65">
        <f t="shared" si="0"/>
        <v>4.8000000000000043E-2</v>
      </c>
    </row>
    <row r="15" spans="2:4" x14ac:dyDescent="0.15">
      <c r="B15" s="1">
        <v>14</v>
      </c>
      <c r="C15" s="1">
        <v>1.1300000000000001</v>
      </c>
      <c r="D15" s="65">
        <f t="shared" si="0"/>
        <v>5.2000000000000046E-2</v>
      </c>
    </row>
    <row r="16" spans="2:4" x14ac:dyDescent="0.15">
      <c r="B16" s="1">
        <v>15</v>
      </c>
      <c r="C16" s="1">
        <v>1.1400000000000001</v>
      </c>
      <c r="D16" s="65">
        <f t="shared" si="0"/>
        <v>5.600000000000005E-2</v>
      </c>
    </row>
    <row r="17" spans="2:4" x14ac:dyDescent="0.15">
      <c r="B17" s="1">
        <v>16</v>
      </c>
      <c r="C17" s="1">
        <v>1.1500000000000001</v>
      </c>
      <c r="D17" s="65">
        <f t="shared" si="0"/>
        <v>6.0000000000000053E-2</v>
      </c>
    </row>
    <row r="18" spans="2:4" x14ac:dyDescent="0.15">
      <c r="B18" s="1">
        <v>17</v>
      </c>
      <c r="C18" s="1">
        <v>1.1600000000000001</v>
      </c>
      <c r="D18" s="65">
        <f t="shared" si="0"/>
        <v>6.4000000000000057E-2</v>
      </c>
    </row>
    <row r="19" spans="2:4" x14ac:dyDescent="0.15">
      <c r="B19" s="1">
        <v>18</v>
      </c>
      <c r="C19" s="1">
        <v>1.1700000000000002</v>
      </c>
      <c r="D19" s="65">
        <f t="shared" si="0"/>
        <v>6.800000000000006E-2</v>
      </c>
    </row>
    <row r="20" spans="2:4" x14ac:dyDescent="0.15">
      <c r="B20" s="1">
        <v>19</v>
      </c>
      <c r="C20" s="1">
        <v>1.1800000000000002</v>
      </c>
      <c r="D20" s="65">
        <f t="shared" si="0"/>
        <v>7.2000000000000064E-2</v>
      </c>
    </row>
    <row r="21" spans="2:4" x14ac:dyDescent="0.15">
      <c r="B21" s="1">
        <v>20</v>
      </c>
      <c r="C21" s="1">
        <v>1.1900000000000002</v>
      </c>
      <c r="D21" s="65">
        <f t="shared" si="0"/>
        <v>7.6000000000000068E-2</v>
      </c>
    </row>
    <row r="22" spans="2:4" x14ac:dyDescent="0.15">
      <c r="B22" s="1">
        <v>21</v>
      </c>
      <c r="C22" s="1">
        <v>1.2000000000000002</v>
      </c>
      <c r="D22" s="65">
        <f t="shared" si="0"/>
        <v>8.0000000000000071E-2</v>
      </c>
    </row>
    <row r="23" spans="2:4" x14ac:dyDescent="0.15">
      <c r="B23" s="1">
        <v>22</v>
      </c>
      <c r="C23" s="1">
        <v>1.2100000000000002</v>
      </c>
      <c r="D23" s="65">
        <f t="shared" si="0"/>
        <v>8.4000000000000075E-2</v>
      </c>
    </row>
    <row r="24" spans="2:4" x14ac:dyDescent="0.15">
      <c r="B24" s="1">
        <v>23</v>
      </c>
      <c r="C24" s="1">
        <v>1.2200000000000002</v>
      </c>
      <c r="D24" s="65">
        <f t="shared" si="0"/>
        <v>8.8000000000000078E-2</v>
      </c>
    </row>
    <row r="25" spans="2:4" x14ac:dyDescent="0.15">
      <c r="B25" s="1">
        <v>24</v>
      </c>
      <c r="C25" s="1">
        <v>1.2300000000000002</v>
      </c>
      <c r="D25" s="65">
        <f t="shared" si="0"/>
        <v>9.2000000000000082E-2</v>
      </c>
    </row>
    <row r="26" spans="2:4" x14ac:dyDescent="0.15">
      <c r="B26" s="1">
        <v>25</v>
      </c>
      <c r="C26" s="1">
        <v>1.2400000000000002</v>
      </c>
      <c r="D26" s="65">
        <f t="shared" si="0"/>
        <v>9.6000000000000085E-2</v>
      </c>
    </row>
    <row r="27" spans="2:4" x14ac:dyDescent="0.15">
      <c r="B27" s="1">
        <v>26</v>
      </c>
      <c r="C27" s="1">
        <v>1.2500000000000002</v>
      </c>
      <c r="D27" s="65">
        <f t="shared" si="0"/>
        <v>0.10000000000000009</v>
      </c>
    </row>
    <row r="28" spans="2:4" x14ac:dyDescent="0.15">
      <c r="B28" s="1">
        <v>27</v>
      </c>
      <c r="C28" s="1">
        <v>1.2600000000000002</v>
      </c>
      <c r="D28" s="65">
        <f t="shared" si="0"/>
        <v>0.10400000000000009</v>
      </c>
    </row>
    <row r="29" spans="2:4" x14ac:dyDescent="0.15">
      <c r="B29" s="1">
        <v>28</v>
      </c>
      <c r="C29" s="1">
        <v>1.2700000000000002</v>
      </c>
      <c r="D29" s="65">
        <f t="shared" si="0"/>
        <v>0.1080000000000001</v>
      </c>
    </row>
    <row r="30" spans="2:4" x14ac:dyDescent="0.15">
      <c r="B30" s="1">
        <v>29</v>
      </c>
      <c r="C30" s="1">
        <v>1.2800000000000002</v>
      </c>
      <c r="D30" s="65">
        <f t="shared" si="0"/>
        <v>0.1120000000000001</v>
      </c>
    </row>
    <row r="31" spans="2:4" x14ac:dyDescent="0.15">
      <c r="B31" s="1">
        <v>30</v>
      </c>
      <c r="C31" s="1">
        <v>1.2900000000000003</v>
      </c>
      <c r="D31" s="65">
        <f t="shared" si="0"/>
        <v>0.1160000000000001</v>
      </c>
    </row>
    <row r="32" spans="2:4" x14ac:dyDescent="0.15">
      <c r="B32" s="1">
        <v>31</v>
      </c>
      <c r="C32" s="1">
        <v>1.3000000000000003</v>
      </c>
      <c r="D32" s="65">
        <f t="shared" si="0"/>
        <v>0.12000000000000011</v>
      </c>
    </row>
    <row r="33" spans="2:4" x14ac:dyDescent="0.15">
      <c r="B33" s="1">
        <v>32</v>
      </c>
      <c r="C33" s="1">
        <v>1.3100000000000003</v>
      </c>
      <c r="D33" s="65">
        <f t="shared" si="0"/>
        <v>0.12400000000000011</v>
      </c>
    </row>
    <row r="34" spans="2:4" x14ac:dyDescent="0.15">
      <c r="B34" s="1">
        <v>33</v>
      </c>
      <c r="C34" s="1">
        <v>1.3200000000000003</v>
      </c>
      <c r="D34" s="65">
        <f t="shared" si="0"/>
        <v>0.12800000000000011</v>
      </c>
    </row>
    <row r="35" spans="2:4" x14ac:dyDescent="0.15">
      <c r="B35" s="1">
        <v>34</v>
      </c>
      <c r="C35" s="1">
        <v>1.3300000000000003</v>
      </c>
      <c r="D35" s="65">
        <f t="shared" si="0"/>
        <v>0.13200000000000012</v>
      </c>
    </row>
    <row r="36" spans="2:4" x14ac:dyDescent="0.15">
      <c r="B36" s="1">
        <v>35</v>
      </c>
      <c r="C36" s="1">
        <v>1.3400000000000003</v>
      </c>
      <c r="D36" s="65">
        <f t="shared" si="0"/>
        <v>0.13600000000000012</v>
      </c>
    </row>
    <row r="37" spans="2:4" x14ac:dyDescent="0.15">
      <c r="B37" s="1">
        <v>36</v>
      </c>
      <c r="C37" s="1">
        <v>1.3500000000000003</v>
      </c>
      <c r="D37" s="65">
        <f t="shared" si="0"/>
        <v>0.14000000000000012</v>
      </c>
    </row>
    <row r="38" spans="2:4" x14ac:dyDescent="0.15">
      <c r="B38" s="1">
        <v>37</v>
      </c>
      <c r="C38" s="1">
        <v>1.3600000000000003</v>
      </c>
      <c r="D38" s="65">
        <f t="shared" si="0"/>
        <v>0.14400000000000013</v>
      </c>
    </row>
    <row r="39" spans="2:4" x14ac:dyDescent="0.15">
      <c r="B39" s="1">
        <v>38</v>
      </c>
      <c r="C39" s="1">
        <v>1.3700000000000003</v>
      </c>
      <c r="D39" s="65">
        <f t="shared" si="0"/>
        <v>0.14800000000000013</v>
      </c>
    </row>
    <row r="40" spans="2:4" x14ac:dyDescent="0.15">
      <c r="B40" s="1">
        <v>39</v>
      </c>
      <c r="C40" s="1">
        <v>1.3800000000000003</v>
      </c>
      <c r="D40" s="65">
        <f t="shared" si="0"/>
        <v>0.15200000000000014</v>
      </c>
    </row>
    <row r="41" spans="2:4" x14ac:dyDescent="0.15">
      <c r="B41" s="1">
        <v>40</v>
      </c>
      <c r="C41" s="1">
        <v>1.3900000000000003</v>
      </c>
      <c r="D41" s="65">
        <f t="shared" si="0"/>
        <v>0.15600000000000014</v>
      </c>
    </row>
    <row r="42" spans="2:4" x14ac:dyDescent="0.15">
      <c r="B42" s="1">
        <v>41</v>
      </c>
      <c r="C42" s="1">
        <v>1.4000000000000004</v>
      </c>
      <c r="D42" s="65">
        <f t="shared" si="0"/>
        <v>0.16000000000000014</v>
      </c>
    </row>
    <row r="43" spans="2:4" x14ac:dyDescent="0.15">
      <c r="B43" s="1">
        <v>42</v>
      </c>
      <c r="C43" s="1">
        <v>1.4100000000000004</v>
      </c>
      <c r="D43" s="65">
        <f t="shared" si="0"/>
        <v>0.16400000000000015</v>
      </c>
    </row>
    <row r="44" spans="2:4" x14ac:dyDescent="0.15">
      <c r="B44" s="1">
        <v>43</v>
      </c>
      <c r="C44" s="1">
        <v>1.4200000000000004</v>
      </c>
      <c r="D44" s="65">
        <f t="shared" si="0"/>
        <v>0.16800000000000015</v>
      </c>
    </row>
    <row r="45" spans="2:4" x14ac:dyDescent="0.15">
      <c r="B45" s="1">
        <v>44</v>
      </c>
      <c r="C45" s="1">
        <v>1.4300000000000004</v>
      </c>
      <c r="D45" s="65">
        <f t="shared" si="0"/>
        <v>0.17200000000000015</v>
      </c>
    </row>
    <row r="46" spans="2:4" x14ac:dyDescent="0.15">
      <c r="B46" s="1">
        <v>45</v>
      </c>
      <c r="C46" s="1">
        <v>1.4400000000000004</v>
      </c>
      <c r="D46" s="65">
        <f t="shared" si="0"/>
        <v>0.17600000000000016</v>
      </c>
    </row>
    <row r="47" spans="2:4" x14ac:dyDescent="0.15">
      <c r="B47" s="1">
        <v>46</v>
      </c>
      <c r="C47" s="1">
        <v>1.4500000000000004</v>
      </c>
      <c r="D47" s="65">
        <f t="shared" si="0"/>
        <v>0.18000000000000016</v>
      </c>
    </row>
    <row r="48" spans="2:4" x14ac:dyDescent="0.15">
      <c r="B48" s="1">
        <v>47</v>
      </c>
      <c r="C48" s="1">
        <v>1.4600000000000004</v>
      </c>
      <c r="D48" s="65">
        <f t="shared" si="0"/>
        <v>0.18400000000000016</v>
      </c>
    </row>
    <row r="49" spans="2:4" x14ac:dyDescent="0.15">
      <c r="B49" s="1">
        <v>48</v>
      </c>
      <c r="C49" s="1">
        <v>1.4700000000000004</v>
      </c>
      <c r="D49" s="65">
        <f t="shared" si="0"/>
        <v>0.18800000000000017</v>
      </c>
    </row>
    <row r="50" spans="2:4" x14ac:dyDescent="0.15">
      <c r="B50" s="1">
        <v>49</v>
      </c>
      <c r="C50" s="1">
        <v>1.4800000000000004</v>
      </c>
      <c r="D50" s="65">
        <f t="shared" si="0"/>
        <v>0.19200000000000017</v>
      </c>
    </row>
    <row r="51" spans="2:4" x14ac:dyDescent="0.15">
      <c r="B51" s="1">
        <v>50</v>
      </c>
      <c r="C51" s="1">
        <v>1.4900000000000004</v>
      </c>
      <c r="D51" s="65">
        <f t="shared" si="0"/>
        <v>0.19600000000000017</v>
      </c>
    </row>
    <row r="52" spans="2:4" x14ac:dyDescent="0.15">
      <c r="B52" s="1">
        <v>51</v>
      </c>
      <c r="C52" s="1">
        <v>1.5000000000000004</v>
      </c>
      <c r="D52" s="65">
        <f t="shared" si="0"/>
        <v>0.20000000000000018</v>
      </c>
    </row>
    <row r="53" spans="2:4" x14ac:dyDescent="0.15">
      <c r="B53" s="1">
        <v>52</v>
      </c>
      <c r="C53" s="1">
        <v>1.5100000000000005</v>
      </c>
      <c r="D53" s="65">
        <f t="shared" si="0"/>
        <v>0.20400000000000018</v>
      </c>
    </row>
    <row r="54" spans="2:4" x14ac:dyDescent="0.15">
      <c r="B54" s="1">
        <v>53</v>
      </c>
      <c r="C54" s="1">
        <v>1.5200000000000005</v>
      </c>
      <c r="D54" s="65">
        <f t="shared" si="0"/>
        <v>0.20800000000000018</v>
      </c>
    </row>
    <row r="55" spans="2:4" x14ac:dyDescent="0.15">
      <c r="B55" s="1">
        <v>54</v>
      </c>
      <c r="C55" s="1">
        <v>1.5300000000000005</v>
      </c>
      <c r="D55" s="65">
        <f t="shared" si="0"/>
        <v>0.21200000000000019</v>
      </c>
    </row>
    <row r="56" spans="2:4" x14ac:dyDescent="0.15">
      <c r="B56" s="1">
        <v>55</v>
      </c>
      <c r="C56" s="1">
        <v>1.5400000000000005</v>
      </c>
      <c r="D56" s="65">
        <f t="shared" si="0"/>
        <v>0.21600000000000019</v>
      </c>
    </row>
    <row r="57" spans="2:4" x14ac:dyDescent="0.15">
      <c r="B57" s="1">
        <v>56</v>
      </c>
      <c r="C57" s="1">
        <v>1.5500000000000005</v>
      </c>
      <c r="D57" s="65">
        <f t="shared" si="0"/>
        <v>0.2200000000000002</v>
      </c>
    </row>
    <row r="58" spans="2:4" x14ac:dyDescent="0.15">
      <c r="B58" s="1">
        <v>57</v>
      </c>
      <c r="C58" s="1">
        <v>1.5600000000000005</v>
      </c>
      <c r="D58" s="65">
        <f t="shared" si="0"/>
        <v>0.2240000000000002</v>
      </c>
    </row>
    <row r="59" spans="2:4" x14ac:dyDescent="0.15">
      <c r="B59" s="1">
        <v>58</v>
      </c>
      <c r="C59" s="1">
        <v>1.5700000000000005</v>
      </c>
      <c r="D59" s="65">
        <f t="shared" si="0"/>
        <v>0.2280000000000002</v>
      </c>
    </row>
    <row r="60" spans="2:4" x14ac:dyDescent="0.15">
      <c r="B60" s="1">
        <v>59</v>
      </c>
      <c r="C60" s="1">
        <v>1.5800000000000005</v>
      </c>
      <c r="D60" s="65">
        <f t="shared" si="0"/>
        <v>0.23200000000000021</v>
      </c>
    </row>
    <row r="61" spans="2:4" x14ac:dyDescent="0.15">
      <c r="B61" s="1">
        <v>60</v>
      </c>
      <c r="C61" s="1">
        <v>1.5900000000000005</v>
      </c>
      <c r="D61" s="65">
        <f t="shared" si="0"/>
        <v>0.23600000000000021</v>
      </c>
    </row>
    <row r="62" spans="2:4" x14ac:dyDescent="0.15">
      <c r="B62" s="1">
        <v>61</v>
      </c>
      <c r="C62" s="1">
        <v>1.6000000000000005</v>
      </c>
      <c r="D62" s="65">
        <f t="shared" si="0"/>
        <v>0.24000000000000021</v>
      </c>
    </row>
    <row r="63" spans="2:4" x14ac:dyDescent="0.15">
      <c r="B63" s="1">
        <v>62</v>
      </c>
      <c r="C63" s="1">
        <v>1.6100000000000005</v>
      </c>
      <c r="D63" s="65">
        <f t="shared" si="0"/>
        <v>0.24400000000000022</v>
      </c>
    </row>
    <row r="64" spans="2:4" x14ac:dyDescent="0.15">
      <c r="B64" s="1">
        <v>63</v>
      </c>
      <c r="C64" s="1">
        <v>1.6200000000000006</v>
      </c>
      <c r="D64" s="65">
        <f t="shared" si="0"/>
        <v>0.24800000000000022</v>
      </c>
    </row>
    <row r="65" spans="2:4" x14ac:dyDescent="0.15">
      <c r="B65" s="1">
        <v>64</v>
      </c>
      <c r="C65" s="1">
        <v>1.6300000000000006</v>
      </c>
      <c r="D65" s="65">
        <f t="shared" si="0"/>
        <v>0.25200000000000022</v>
      </c>
    </row>
    <row r="66" spans="2:4" x14ac:dyDescent="0.15">
      <c r="B66" s="1">
        <v>65</v>
      </c>
      <c r="C66" s="1">
        <v>1.6400000000000006</v>
      </c>
      <c r="D66" s="65">
        <f t="shared" si="0"/>
        <v>0.25600000000000023</v>
      </c>
    </row>
    <row r="67" spans="2:4" x14ac:dyDescent="0.15">
      <c r="B67" s="1">
        <v>66</v>
      </c>
      <c r="C67" s="1">
        <v>1.6500000000000006</v>
      </c>
      <c r="D67" s="65">
        <f t="shared" ref="D67:D101" si="1">(C67-1)*2/5</f>
        <v>0.26000000000000023</v>
      </c>
    </row>
    <row r="68" spans="2:4" x14ac:dyDescent="0.15">
      <c r="B68" s="1">
        <v>67</v>
      </c>
      <c r="C68" s="1">
        <v>1.6600000000000006</v>
      </c>
      <c r="D68" s="65">
        <f t="shared" si="1"/>
        <v>0.26400000000000023</v>
      </c>
    </row>
    <row r="69" spans="2:4" x14ac:dyDescent="0.15">
      <c r="B69" s="1">
        <v>68</v>
      </c>
      <c r="C69" s="1">
        <v>1.6700000000000006</v>
      </c>
      <c r="D69" s="65">
        <f t="shared" si="1"/>
        <v>0.26800000000000024</v>
      </c>
    </row>
    <row r="70" spans="2:4" x14ac:dyDescent="0.15">
      <c r="B70" s="1">
        <v>69</v>
      </c>
      <c r="C70" s="1">
        <v>1.6800000000000006</v>
      </c>
      <c r="D70" s="65">
        <f t="shared" si="1"/>
        <v>0.27200000000000024</v>
      </c>
    </row>
    <row r="71" spans="2:4" x14ac:dyDescent="0.15">
      <c r="B71" s="1">
        <v>70</v>
      </c>
      <c r="C71" s="1">
        <v>1.6900000000000006</v>
      </c>
      <c r="D71" s="65">
        <f t="shared" si="1"/>
        <v>0.27600000000000025</v>
      </c>
    </row>
    <row r="72" spans="2:4" x14ac:dyDescent="0.15">
      <c r="B72" s="1">
        <v>71</v>
      </c>
      <c r="C72" s="1">
        <v>1.7000000000000006</v>
      </c>
      <c r="D72" s="65">
        <f t="shared" si="1"/>
        <v>0.28000000000000025</v>
      </c>
    </row>
    <row r="73" spans="2:4" x14ac:dyDescent="0.15">
      <c r="B73" s="1">
        <v>72</v>
      </c>
      <c r="C73" s="1">
        <v>1.7100000000000006</v>
      </c>
      <c r="D73" s="65">
        <f t="shared" si="1"/>
        <v>0.28400000000000025</v>
      </c>
    </row>
    <row r="74" spans="2:4" x14ac:dyDescent="0.15">
      <c r="B74" s="1">
        <v>73</v>
      </c>
      <c r="C74" s="1">
        <v>1.7200000000000006</v>
      </c>
      <c r="D74" s="65">
        <f t="shared" si="1"/>
        <v>0.28800000000000026</v>
      </c>
    </row>
    <row r="75" spans="2:4" x14ac:dyDescent="0.15">
      <c r="B75" s="1">
        <v>74</v>
      </c>
      <c r="C75" s="1">
        <v>1.7300000000000006</v>
      </c>
      <c r="D75" s="65">
        <f t="shared" si="1"/>
        <v>0.29200000000000026</v>
      </c>
    </row>
    <row r="76" spans="2:4" x14ac:dyDescent="0.15">
      <c r="B76" s="1">
        <v>75</v>
      </c>
      <c r="C76" s="1">
        <v>1.7400000000000007</v>
      </c>
      <c r="D76" s="65">
        <f t="shared" si="1"/>
        <v>0.29600000000000026</v>
      </c>
    </row>
    <row r="77" spans="2:4" x14ac:dyDescent="0.15">
      <c r="B77" s="1">
        <v>76</v>
      </c>
      <c r="C77" s="1">
        <v>1.7500000000000007</v>
      </c>
      <c r="D77" s="65">
        <f t="shared" si="1"/>
        <v>0.30000000000000027</v>
      </c>
    </row>
    <row r="78" spans="2:4" x14ac:dyDescent="0.15">
      <c r="B78" s="1">
        <v>77</v>
      </c>
      <c r="C78" s="1">
        <v>1.7600000000000007</v>
      </c>
      <c r="D78" s="65">
        <f t="shared" si="1"/>
        <v>0.30400000000000027</v>
      </c>
    </row>
    <row r="79" spans="2:4" x14ac:dyDescent="0.15">
      <c r="B79" s="1">
        <v>78</v>
      </c>
      <c r="C79" s="1">
        <v>1.7700000000000007</v>
      </c>
      <c r="D79" s="65">
        <f t="shared" si="1"/>
        <v>0.30800000000000027</v>
      </c>
    </row>
    <row r="80" spans="2:4" x14ac:dyDescent="0.15">
      <c r="B80" s="1">
        <v>79</v>
      </c>
      <c r="C80" s="1">
        <v>1.7800000000000007</v>
      </c>
      <c r="D80" s="65">
        <f t="shared" si="1"/>
        <v>0.31200000000000028</v>
      </c>
    </row>
    <row r="81" spans="2:4" x14ac:dyDescent="0.15">
      <c r="B81" s="1">
        <v>80</v>
      </c>
      <c r="C81" s="1">
        <v>1.7900000000000007</v>
      </c>
      <c r="D81" s="65">
        <f t="shared" si="1"/>
        <v>0.31600000000000028</v>
      </c>
    </row>
    <row r="82" spans="2:4" x14ac:dyDescent="0.15">
      <c r="B82" s="1">
        <v>81</v>
      </c>
      <c r="C82" s="1">
        <v>1.8000000000000007</v>
      </c>
      <c r="D82" s="65">
        <f t="shared" si="1"/>
        <v>0.32000000000000028</v>
      </c>
    </row>
    <row r="83" spans="2:4" x14ac:dyDescent="0.15">
      <c r="B83" s="1">
        <v>82</v>
      </c>
      <c r="C83" s="1">
        <v>1.8100000000000007</v>
      </c>
      <c r="D83" s="65">
        <f t="shared" si="1"/>
        <v>0.32400000000000029</v>
      </c>
    </row>
    <row r="84" spans="2:4" x14ac:dyDescent="0.15">
      <c r="B84" s="1">
        <v>83</v>
      </c>
      <c r="C84" s="1">
        <v>1.8200000000000007</v>
      </c>
      <c r="D84" s="65">
        <f t="shared" si="1"/>
        <v>0.32800000000000029</v>
      </c>
    </row>
    <row r="85" spans="2:4" x14ac:dyDescent="0.15">
      <c r="B85" s="1">
        <v>84</v>
      </c>
      <c r="C85" s="1">
        <v>1.8300000000000007</v>
      </c>
      <c r="D85" s="65">
        <f t="shared" si="1"/>
        <v>0.33200000000000029</v>
      </c>
    </row>
    <row r="86" spans="2:4" x14ac:dyDescent="0.15">
      <c r="B86" s="1">
        <v>85</v>
      </c>
      <c r="C86" s="1">
        <v>1.8400000000000007</v>
      </c>
      <c r="D86" s="65">
        <f t="shared" si="1"/>
        <v>0.3360000000000003</v>
      </c>
    </row>
    <row r="87" spans="2:4" x14ac:dyDescent="0.15">
      <c r="B87" s="1">
        <v>86</v>
      </c>
      <c r="C87" s="1">
        <v>1.8500000000000008</v>
      </c>
      <c r="D87" s="65">
        <f t="shared" si="1"/>
        <v>0.3400000000000003</v>
      </c>
    </row>
    <row r="88" spans="2:4" x14ac:dyDescent="0.15">
      <c r="B88" s="1">
        <v>87</v>
      </c>
      <c r="C88" s="1">
        <v>1.8600000000000008</v>
      </c>
      <c r="D88" s="65">
        <f t="shared" si="1"/>
        <v>0.34400000000000031</v>
      </c>
    </row>
    <row r="89" spans="2:4" x14ac:dyDescent="0.15">
      <c r="B89" s="1">
        <v>88</v>
      </c>
      <c r="C89" s="1">
        <v>1.8700000000000008</v>
      </c>
      <c r="D89" s="65">
        <f t="shared" si="1"/>
        <v>0.34800000000000031</v>
      </c>
    </row>
    <row r="90" spans="2:4" x14ac:dyDescent="0.15">
      <c r="B90" s="1">
        <v>89</v>
      </c>
      <c r="C90" s="1">
        <v>1.8800000000000008</v>
      </c>
      <c r="D90" s="65">
        <f t="shared" si="1"/>
        <v>0.35200000000000031</v>
      </c>
    </row>
    <row r="91" spans="2:4" x14ac:dyDescent="0.15">
      <c r="B91" s="1">
        <v>90</v>
      </c>
      <c r="C91" s="1">
        <v>1.8900000000000008</v>
      </c>
      <c r="D91" s="65">
        <f t="shared" si="1"/>
        <v>0.35600000000000032</v>
      </c>
    </row>
    <row r="92" spans="2:4" x14ac:dyDescent="0.15">
      <c r="B92" s="1">
        <v>91</v>
      </c>
      <c r="C92" s="1">
        <v>1.9000000000000008</v>
      </c>
      <c r="D92" s="65">
        <f t="shared" si="1"/>
        <v>0.36000000000000032</v>
      </c>
    </row>
    <row r="93" spans="2:4" x14ac:dyDescent="0.15">
      <c r="B93" s="1">
        <v>92</v>
      </c>
      <c r="C93" s="1">
        <v>1.9100000000000008</v>
      </c>
      <c r="D93" s="65">
        <f t="shared" si="1"/>
        <v>0.36400000000000032</v>
      </c>
    </row>
    <row r="94" spans="2:4" x14ac:dyDescent="0.15">
      <c r="B94" s="1">
        <v>93</v>
      </c>
      <c r="C94" s="1">
        <v>1.9200000000000008</v>
      </c>
      <c r="D94" s="65">
        <f t="shared" si="1"/>
        <v>0.36800000000000033</v>
      </c>
    </row>
    <row r="95" spans="2:4" x14ac:dyDescent="0.15">
      <c r="B95" s="1">
        <v>94</v>
      </c>
      <c r="C95" s="1">
        <v>1.9300000000000008</v>
      </c>
      <c r="D95" s="65">
        <f t="shared" si="1"/>
        <v>0.37200000000000033</v>
      </c>
    </row>
    <row r="96" spans="2:4" x14ac:dyDescent="0.15">
      <c r="B96" s="1">
        <v>95</v>
      </c>
      <c r="C96" s="1">
        <v>1.9400000000000008</v>
      </c>
      <c r="D96" s="65">
        <f t="shared" si="1"/>
        <v>0.37600000000000033</v>
      </c>
    </row>
    <row r="97" spans="2:4" x14ac:dyDescent="0.15">
      <c r="B97" s="1">
        <v>96</v>
      </c>
      <c r="C97" s="1">
        <v>1.9500000000000008</v>
      </c>
      <c r="D97" s="65">
        <f t="shared" si="1"/>
        <v>0.38000000000000034</v>
      </c>
    </row>
    <row r="98" spans="2:4" x14ac:dyDescent="0.15">
      <c r="B98" s="1">
        <v>97</v>
      </c>
      <c r="C98" s="1">
        <v>1.9600000000000009</v>
      </c>
      <c r="D98" s="65">
        <f t="shared" si="1"/>
        <v>0.38400000000000034</v>
      </c>
    </row>
    <row r="99" spans="2:4" x14ac:dyDescent="0.15">
      <c r="B99" s="1">
        <v>98</v>
      </c>
      <c r="C99" s="1">
        <v>1.9700000000000009</v>
      </c>
      <c r="D99" s="65">
        <f t="shared" si="1"/>
        <v>0.38800000000000034</v>
      </c>
    </row>
    <row r="100" spans="2:4" x14ac:dyDescent="0.15">
      <c r="B100" s="1">
        <v>99</v>
      </c>
      <c r="C100" s="1">
        <v>1.9800000000000009</v>
      </c>
      <c r="D100" s="65">
        <f t="shared" si="1"/>
        <v>0.39200000000000035</v>
      </c>
    </row>
    <row r="101" spans="2:4" x14ac:dyDescent="0.15">
      <c r="B101" s="1">
        <v>100</v>
      </c>
      <c r="C101" s="1">
        <v>1.9900000000000009</v>
      </c>
      <c r="D101" s="65">
        <f t="shared" si="1"/>
        <v>0.39600000000000035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1"/>
  <sheetViews>
    <sheetView workbookViewId="0">
      <selection activeCell="P34" sqref="P34"/>
    </sheetView>
  </sheetViews>
  <sheetFormatPr defaultRowHeight="11.25" x14ac:dyDescent="0.15"/>
  <cols>
    <col min="1" max="1" width="12.25" style="1" bestFit="1" customWidth="1"/>
    <col min="2" max="16384" width="9" style="1"/>
  </cols>
  <sheetData>
    <row r="1" spans="1:26" ht="12" x14ac:dyDescent="0.15">
      <c r="A1" s="39" t="s">
        <v>91</v>
      </c>
      <c r="D1" s="31" t="s">
        <v>50</v>
      </c>
      <c r="E1" s="32" t="s">
        <v>51</v>
      </c>
      <c r="F1" s="32" t="s">
        <v>52</v>
      </c>
      <c r="G1" s="32" t="s">
        <v>53</v>
      </c>
      <c r="H1" s="33" t="s">
        <v>54</v>
      </c>
      <c r="I1" s="33" t="s">
        <v>55</v>
      </c>
      <c r="J1" s="33" t="s">
        <v>56</v>
      </c>
      <c r="K1" s="33" t="s">
        <v>57</v>
      </c>
      <c r="L1" s="33" t="s">
        <v>58</v>
      </c>
      <c r="M1" s="31" t="s">
        <v>59</v>
      </c>
      <c r="N1" s="33" t="s">
        <v>60</v>
      </c>
      <c r="O1" s="31" t="s">
        <v>61</v>
      </c>
      <c r="P1" s="31" t="s">
        <v>62</v>
      </c>
      <c r="Q1" s="31" t="s">
        <v>63</v>
      </c>
      <c r="R1" s="33" t="s">
        <v>64</v>
      </c>
      <c r="S1" s="31" t="s">
        <v>65</v>
      </c>
      <c r="T1" s="31" t="s">
        <v>66</v>
      </c>
      <c r="U1" s="33" t="s">
        <v>67</v>
      </c>
      <c r="V1" s="31" t="s">
        <v>68</v>
      </c>
      <c r="W1" s="34" t="s">
        <v>69</v>
      </c>
      <c r="X1" s="31" t="s">
        <v>70</v>
      </c>
      <c r="Y1" s="33" t="s">
        <v>71</v>
      </c>
      <c r="Z1" s="31" t="s">
        <v>72</v>
      </c>
    </row>
    <row r="2" spans="1:26" x14ac:dyDescent="0.15">
      <c r="A2" s="37">
        <f>[2]技能伤害!$T3</f>
        <v>1</v>
      </c>
      <c r="B2" s="37"/>
      <c r="D2" s="1">
        <v>1</v>
      </c>
      <c r="E2" s="35">
        <f>ROUND(角色属性!$AL8*A2,0)</f>
        <v>90</v>
      </c>
      <c r="F2" s="35">
        <f>ROUND(角色属性!$AL8,0)</f>
        <v>90</v>
      </c>
      <c r="G2" s="35">
        <f>ROUND(角色属性!$AL8,0)</f>
        <v>90</v>
      </c>
      <c r="H2" s="35">
        <f>ROUND(角色属性!$AL8,0)</f>
        <v>90</v>
      </c>
      <c r="I2" s="35">
        <f>ROUND(角色属性!$AL8,0)</f>
        <v>90</v>
      </c>
      <c r="J2" s="35">
        <f>ROUND(角色属性!$AL8,0)</f>
        <v>90</v>
      </c>
      <c r="K2" s="35">
        <f>ROUND(角色属性!$AL8,0)</f>
        <v>90</v>
      </c>
      <c r="L2" s="35">
        <f>ROUND(角色属性!$AL8,0)</f>
        <v>90</v>
      </c>
      <c r="M2" s="35">
        <f>ROUND(角色属性!$AL8,0)</f>
        <v>90</v>
      </c>
      <c r="N2" s="35">
        <f>ROUND(角色属性!$AL8,0)</f>
        <v>90</v>
      </c>
      <c r="O2" s="35">
        <f>ROUND(角色属性!$AL8,0)</f>
        <v>90</v>
      </c>
      <c r="P2" s="35">
        <f>ROUND(角色属性!$AL8,0)</f>
        <v>90</v>
      </c>
      <c r="Q2" s="35">
        <f>ROUND(角色属性!$AL8,0)</f>
        <v>90</v>
      </c>
      <c r="R2" s="35">
        <f>ROUND(角色属性!$AL8,0)</f>
        <v>90</v>
      </c>
      <c r="S2" s="35">
        <f>ROUND(角色属性!$AL8,0)</f>
        <v>90</v>
      </c>
      <c r="T2" s="35">
        <f>ROUND(角色属性!$AL8,0)</f>
        <v>90</v>
      </c>
      <c r="U2" s="35">
        <f>ROUND(角色属性!$AL8,0)</f>
        <v>90</v>
      </c>
      <c r="V2" s="35">
        <f>ROUND(角色属性!$AL8,0)</f>
        <v>90</v>
      </c>
      <c r="W2" s="35">
        <f>ROUND(角色属性!$AL8,0)</f>
        <v>90</v>
      </c>
      <c r="X2" s="35">
        <f>ROUND(角色属性!$AL8,0)</f>
        <v>90</v>
      </c>
      <c r="Y2" s="35">
        <f>ROUND(角色属性!$AL8,0)</f>
        <v>90</v>
      </c>
      <c r="Z2" s="35">
        <f>ROUND(角色属性!$AL8,0)</f>
        <v>90</v>
      </c>
    </row>
    <row r="3" spans="1:26" x14ac:dyDescent="0.15">
      <c r="A3" s="37">
        <f>[2]技能伤害!$T4</f>
        <v>1.026261174676933</v>
      </c>
      <c r="B3" s="37"/>
      <c r="D3" s="1">
        <v>2</v>
      </c>
      <c r="E3" s="35">
        <f>ROUND(角色属性!$AL9*A3,0)</f>
        <v>55</v>
      </c>
      <c r="F3" s="35">
        <f>ROUND(角色属性!$AL9,0)</f>
        <v>54</v>
      </c>
      <c r="G3" s="35">
        <f>ROUND(角色属性!$AL9,0)</f>
        <v>54</v>
      </c>
      <c r="H3" s="35">
        <f>ROUND(角色属性!$AL9,0)</f>
        <v>54</v>
      </c>
      <c r="I3" s="35">
        <f>ROUND(角色属性!$AL9,0)</f>
        <v>54</v>
      </c>
      <c r="J3" s="35">
        <f>ROUND(角色属性!$AL9,0)</f>
        <v>54</v>
      </c>
      <c r="K3" s="35">
        <f>ROUND(角色属性!$AL9,0)</f>
        <v>54</v>
      </c>
      <c r="L3" s="35">
        <f>ROUND(角色属性!$AL9,0)</f>
        <v>54</v>
      </c>
      <c r="M3" s="35">
        <f>ROUND(角色属性!$AL9,0)</f>
        <v>54</v>
      </c>
      <c r="N3" s="35">
        <f>ROUND(角色属性!$AL9,0)</f>
        <v>54</v>
      </c>
      <c r="O3" s="35">
        <f>ROUND(角色属性!$AL9,0)</f>
        <v>54</v>
      </c>
      <c r="P3" s="35">
        <f>ROUND(角色属性!$AL9,0)</f>
        <v>54</v>
      </c>
      <c r="Q3" s="35">
        <f>ROUND(角色属性!$AL9,0)</f>
        <v>54</v>
      </c>
      <c r="R3" s="35">
        <f>ROUND(角色属性!$AL9,0)</f>
        <v>54</v>
      </c>
      <c r="S3" s="35">
        <f>ROUND(角色属性!$AL9,0)</f>
        <v>54</v>
      </c>
      <c r="T3" s="35">
        <f>ROUND(角色属性!$AL9,0)</f>
        <v>54</v>
      </c>
      <c r="U3" s="35">
        <f>ROUND(角色属性!$AL9,0)</f>
        <v>54</v>
      </c>
      <c r="V3" s="35">
        <f>ROUND(角色属性!$AL9,0)</f>
        <v>54</v>
      </c>
      <c r="W3" s="35">
        <f>ROUND(角色属性!$AL9,0)</f>
        <v>54</v>
      </c>
      <c r="X3" s="35">
        <f>ROUND(角色属性!$AL9,0)</f>
        <v>54</v>
      </c>
      <c r="Y3" s="35">
        <f>ROUND(角色属性!$AL9,0)</f>
        <v>54</v>
      </c>
      <c r="Z3" s="35">
        <f>ROUND(角色属性!$AL9,0)</f>
        <v>54</v>
      </c>
    </row>
    <row r="4" spans="1:26" x14ac:dyDescent="0.15">
      <c r="A4" s="37">
        <f>[2]技能伤害!$T5</f>
        <v>1.0433425797503464</v>
      </c>
      <c r="B4" s="37"/>
      <c r="D4" s="1">
        <v>3</v>
      </c>
      <c r="E4" s="35">
        <f>ROUND(角色属性!$AL10*A4,0)</f>
        <v>69</v>
      </c>
      <c r="F4" s="35">
        <f>ROUND(角色属性!$AL10,0)</f>
        <v>66</v>
      </c>
      <c r="G4" s="35">
        <f>ROUND(角色属性!$AL10,0)</f>
        <v>66</v>
      </c>
      <c r="H4" s="35">
        <f>ROUND(角色属性!$AL10,0)</f>
        <v>66</v>
      </c>
      <c r="I4" s="35">
        <f>ROUND(角色属性!$AL10,0)</f>
        <v>66</v>
      </c>
      <c r="J4" s="35">
        <f>ROUND(角色属性!$AL10,0)</f>
        <v>66</v>
      </c>
      <c r="K4" s="35">
        <f>ROUND(角色属性!$AL10,0)</f>
        <v>66</v>
      </c>
      <c r="L4" s="35">
        <f>ROUND(角色属性!$AL10,0)</f>
        <v>66</v>
      </c>
      <c r="M4" s="35">
        <f>ROUND(角色属性!$AL10,0)</f>
        <v>66</v>
      </c>
      <c r="N4" s="35">
        <f>ROUND(角色属性!$AL10,0)</f>
        <v>66</v>
      </c>
      <c r="O4" s="35">
        <f>ROUND(角色属性!$AL10,0)</f>
        <v>66</v>
      </c>
      <c r="P4" s="35">
        <f>ROUND(角色属性!$AL10,0)</f>
        <v>66</v>
      </c>
      <c r="Q4" s="35">
        <f>ROUND(角色属性!$AL10,0)</f>
        <v>66</v>
      </c>
      <c r="R4" s="35">
        <f>ROUND(角色属性!$AL10,0)</f>
        <v>66</v>
      </c>
      <c r="S4" s="35">
        <f>ROUND(角色属性!$AL10,0)</f>
        <v>66</v>
      </c>
      <c r="T4" s="35">
        <f>ROUND(角色属性!$AL10,0)</f>
        <v>66</v>
      </c>
      <c r="U4" s="35">
        <f>ROUND(角色属性!$AL10,0)</f>
        <v>66</v>
      </c>
      <c r="V4" s="35">
        <f>ROUND(角色属性!$AL10,0)</f>
        <v>66</v>
      </c>
      <c r="W4" s="35">
        <f>ROUND(角色属性!$AL10,0)</f>
        <v>66</v>
      </c>
      <c r="X4" s="35">
        <f>ROUND(角色属性!$AL10,0)</f>
        <v>66</v>
      </c>
      <c r="Y4" s="35">
        <f>ROUND(角色属性!$AL10,0)</f>
        <v>66</v>
      </c>
      <c r="Z4" s="35">
        <f>ROUND(角色属性!$AL10,0)</f>
        <v>66</v>
      </c>
    </row>
    <row r="5" spans="1:26" x14ac:dyDescent="0.15">
      <c r="A5" s="37">
        <f>[2]技能伤害!$T6</f>
        <v>1.0546238514009978</v>
      </c>
      <c r="B5" s="37"/>
      <c r="D5" s="1">
        <v>4</v>
      </c>
      <c r="E5" s="35">
        <f>ROUND(角色属性!$AL11*A5,0)</f>
        <v>83</v>
      </c>
      <c r="F5" s="35">
        <f>ROUND(角色属性!$AL11,0)</f>
        <v>79</v>
      </c>
      <c r="G5" s="35">
        <f>ROUND(角色属性!$AL11,0)</f>
        <v>79</v>
      </c>
      <c r="H5" s="35">
        <f>ROUND(角色属性!$AL11,0)</f>
        <v>79</v>
      </c>
      <c r="I5" s="35">
        <f>ROUND(角色属性!$AL11,0)</f>
        <v>79</v>
      </c>
      <c r="J5" s="35">
        <f>ROUND(角色属性!$AL11,0)</f>
        <v>79</v>
      </c>
      <c r="K5" s="35">
        <f>ROUND(角色属性!$AL11,0)</f>
        <v>79</v>
      </c>
      <c r="L5" s="35">
        <f>ROUND(角色属性!$AL11,0)</f>
        <v>79</v>
      </c>
      <c r="M5" s="35">
        <f>ROUND(角色属性!$AL11,0)</f>
        <v>79</v>
      </c>
      <c r="N5" s="35">
        <f>ROUND(角色属性!$AL11,0)</f>
        <v>79</v>
      </c>
      <c r="O5" s="35">
        <f>ROUND(角色属性!$AL11,0)</f>
        <v>79</v>
      </c>
      <c r="P5" s="35">
        <f>ROUND(角色属性!$AL11,0)</f>
        <v>79</v>
      </c>
      <c r="Q5" s="35">
        <f>ROUND(角色属性!$AL11,0)</f>
        <v>79</v>
      </c>
      <c r="R5" s="35">
        <f>ROUND(角色属性!$AL11,0)</f>
        <v>79</v>
      </c>
      <c r="S5" s="35">
        <f>ROUND(角色属性!$AL11,0)</f>
        <v>79</v>
      </c>
      <c r="T5" s="35">
        <f>ROUND(角色属性!$AL11,0)</f>
        <v>79</v>
      </c>
      <c r="U5" s="35">
        <f>ROUND(角色属性!$AL11,0)</f>
        <v>79</v>
      </c>
      <c r="V5" s="35">
        <f>ROUND(角色属性!$AL11,0)</f>
        <v>79</v>
      </c>
      <c r="W5" s="35">
        <f>ROUND(角色属性!$AL11,0)</f>
        <v>79</v>
      </c>
      <c r="X5" s="35">
        <f>ROUND(角色属性!$AL11,0)</f>
        <v>79</v>
      </c>
      <c r="Y5" s="35">
        <f>ROUND(角色属性!$AL11,0)</f>
        <v>79</v>
      </c>
      <c r="Z5" s="35">
        <f>ROUND(角色属性!$AL11,0)</f>
        <v>79</v>
      </c>
    </row>
    <row r="6" spans="1:26" x14ac:dyDescent="0.15">
      <c r="A6" s="37">
        <f>[2]技能伤害!$T7</f>
        <v>1.0773922500224156</v>
      </c>
      <c r="B6" s="37"/>
      <c r="D6" s="1">
        <v>5</v>
      </c>
      <c r="E6" s="35">
        <f>ROUND(角色属性!$AL12*A6,0)</f>
        <v>101</v>
      </c>
      <c r="F6" s="35">
        <f>ROUND(角色属性!$AL12,0)</f>
        <v>94</v>
      </c>
      <c r="G6" s="35">
        <f>ROUND(角色属性!$AL12,0)</f>
        <v>94</v>
      </c>
      <c r="H6" s="35">
        <f>ROUND(角色属性!$AL12,0)</f>
        <v>94</v>
      </c>
      <c r="I6" s="35">
        <f>ROUND(角色属性!$AL12,0)</f>
        <v>94</v>
      </c>
      <c r="J6" s="35">
        <f>ROUND(角色属性!$AL12,0)</f>
        <v>94</v>
      </c>
      <c r="K6" s="35">
        <f>ROUND(角色属性!$AL12,0)</f>
        <v>94</v>
      </c>
      <c r="L6" s="35">
        <f>ROUND(角色属性!$AL12,0)</f>
        <v>94</v>
      </c>
      <c r="M6" s="35">
        <f>ROUND(角色属性!$AL12,0)</f>
        <v>94</v>
      </c>
      <c r="N6" s="35">
        <f>ROUND(角色属性!$AL12,0)</f>
        <v>94</v>
      </c>
      <c r="O6" s="35">
        <f>ROUND(角色属性!$AL12,0)</f>
        <v>94</v>
      </c>
      <c r="P6" s="35">
        <f>ROUND(角色属性!$AL12,0)</f>
        <v>94</v>
      </c>
      <c r="Q6" s="35">
        <f>ROUND(角色属性!$AL12,0)</f>
        <v>94</v>
      </c>
      <c r="R6" s="35">
        <f>ROUND(角色属性!$AL12,0)</f>
        <v>94</v>
      </c>
      <c r="S6" s="35">
        <f>ROUND(角色属性!$AL12,0)</f>
        <v>94</v>
      </c>
      <c r="T6" s="35">
        <f>ROUND(角色属性!$AL12,0)</f>
        <v>94</v>
      </c>
      <c r="U6" s="35">
        <f>ROUND(角色属性!$AL12,0)</f>
        <v>94</v>
      </c>
      <c r="V6" s="35">
        <f>ROUND(角色属性!$AL12,0)</f>
        <v>94</v>
      </c>
      <c r="W6" s="35">
        <f>ROUND(角色属性!$AL12,0)</f>
        <v>94</v>
      </c>
      <c r="X6" s="35">
        <f>ROUND(角色属性!$AL12,0)</f>
        <v>94</v>
      </c>
      <c r="Y6" s="35">
        <f>ROUND(角色属性!$AL12,0)</f>
        <v>94</v>
      </c>
      <c r="Z6" s="35">
        <f>ROUND(角色属性!$AL12,0)</f>
        <v>94</v>
      </c>
    </row>
    <row r="7" spans="1:26" x14ac:dyDescent="0.15">
      <c r="A7" s="37">
        <f>[2]技能伤害!$T8</f>
        <v>1.1047155506781379</v>
      </c>
      <c r="B7" s="37"/>
      <c r="D7" s="1">
        <v>6</v>
      </c>
      <c r="E7" s="35">
        <f>ROUND(角色属性!$AL13*A7,0)</f>
        <v>116</v>
      </c>
      <c r="F7" s="35">
        <f>ROUND(角色属性!$AL13,0)</f>
        <v>105</v>
      </c>
      <c r="G7" s="35">
        <f>ROUND(角色属性!$AL13,0)</f>
        <v>105</v>
      </c>
      <c r="H7" s="35">
        <f>ROUND(角色属性!$AL13,0)</f>
        <v>105</v>
      </c>
      <c r="I7" s="35">
        <f>ROUND(角色属性!$AL13,0)</f>
        <v>105</v>
      </c>
      <c r="J7" s="35">
        <f>ROUND(角色属性!$AL13,0)</f>
        <v>105</v>
      </c>
      <c r="K7" s="35">
        <f>ROUND(角色属性!$AL13,0)</f>
        <v>105</v>
      </c>
      <c r="L7" s="35">
        <f>ROUND(角色属性!$AL13,0)</f>
        <v>105</v>
      </c>
      <c r="M7" s="35">
        <f>ROUND(角色属性!$AL13,0)</f>
        <v>105</v>
      </c>
      <c r="N7" s="35">
        <f>ROUND(角色属性!$AL13,0)</f>
        <v>105</v>
      </c>
      <c r="O7" s="35">
        <f>ROUND(角色属性!$AL13,0)</f>
        <v>105</v>
      </c>
      <c r="P7" s="35">
        <f>ROUND(角色属性!$AL13,0)</f>
        <v>105</v>
      </c>
      <c r="Q7" s="35">
        <f>ROUND(角色属性!$AL13,0)</f>
        <v>105</v>
      </c>
      <c r="R7" s="35">
        <f>ROUND(角色属性!$AL13,0)</f>
        <v>105</v>
      </c>
      <c r="S7" s="35">
        <f>ROUND(角色属性!$AL13,0)</f>
        <v>105</v>
      </c>
      <c r="T7" s="35">
        <f>ROUND(角色属性!$AL13,0)</f>
        <v>105</v>
      </c>
      <c r="U7" s="35">
        <f>ROUND(角色属性!$AL13,0)</f>
        <v>105</v>
      </c>
      <c r="V7" s="35">
        <f>ROUND(角色属性!$AL13,0)</f>
        <v>105</v>
      </c>
      <c r="W7" s="35">
        <f>ROUND(角色属性!$AL13,0)</f>
        <v>105</v>
      </c>
      <c r="X7" s="35">
        <f>ROUND(角色属性!$AL13,0)</f>
        <v>105</v>
      </c>
      <c r="Y7" s="35">
        <f>ROUND(角色属性!$AL13,0)</f>
        <v>105</v>
      </c>
      <c r="Z7" s="35">
        <f>ROUND(角色属性!$AL13,0)</f>
        <v>105</v>
      </c>
    </row>
    <row r="8" spans="1:26" x14ac:dyDescent="0.15">
      <c r="A8" s="37">
        <f>[2]技能伤害!$T9</f>
        <v>1.1281463296193377</v>
      </c>
      <c r="B8" s="37"/>
      <c r="D8" s="1">
        <v>7</v>
      </c>
      <c r="E8" s="35">
        <f>ROUND(角色属性!$AL14*A8,0)</f>
        <v>124</v>
      </c>
      <c r="F8" s="35">
        <f>ROUND(角色属性!$AL14,0)</f>
        <v>110</v>
      </c>
      <c r="G8" s="35">
        <f>ROUND(角色属性!$AL14,0)</f>
        <v>110</v>
      </c>
      <c r="H8" s="35">
        <f>ROUND(角色属性!$AL14,0)</f>
        <v>110</v>
      </c>
      <c r="I8" s="35">
        <f>ROUND(角色属性!$AL14,0)</f>
        <v>110</v>
      </c>
      <c r="J8" s="35">
        <f>ROUND(角色属性!$AL14,0)</f>
        <v>110</v>
      </c>
      <c r="K8" s="35">
        <f>ROUND(角色属性!$AL14,0)</f>
        <v>110</v>
      </c>
      <c r="L8" s="35">
        <f>ROUND(角色属性!$AL14,0)</f>
        <v>110</v>
      </c>
      <c r="M8" s="35">
        <f>ROUND(角色属性!$AL14,0)</f>
        <v>110</v>
      </c>
      <c r="N8" s="35">
        <f>ROUND(角色属性!$AL14,0)</f>
        <v>110</v>
      </c>
      <c r="O8" s="35">
        <f>ROUND(角色属性!$AL14,0)</f>
        <v>110</v>
      </c>
      <c r="P8" s="35">
        <f>ROUND(角色属性!$AL14,0)</f>
        <v>110</v>
      </c>
      <c r="Q8" s="35">
        <f>ROUND(角色属性!$AL14,0)</f>
        <v>110</v>
      </c>
      <c r="R8" s="35">
        <f>ROUND(角色属性!$AL14,0)</f>
        <v>110</v>
      </c>
      <c r="S8" s="35">
        <f>ROUND(角色属性!$AL14,0)</f>
        <v>110</v>
      </c>
      <c r="T8" s="35">
        <f>ROUND(角色属性!$AL14,0)</f>
        <v>110</v>
      </c>
      <c r="U8" s="35">
        <f>ROUND(角色属性!$AL14,0)</f>
        <v>110</v>
      </c>
      <c r="V8" s="35">
        <f>ROUND(角色属性!$AL14,0)</f>
        <v>110</v>
      </c>
      <c r="W8" s="35">
        <f>ROUND(角色属性!$AL14,0)</f>
        <v>110</v>
      </c>
      <c r="X8" s="35">
        <f>ROUND(角色属性!$AL14,0)</f>
        <v>110</v>
      </c>
      <c r="Y8" s="35">
        <f>ROUND(角色属性!$AL14,0)</f>
        <v>110</v>
      </c>
      <c r="Z8" s="35">
        <f>ROUND(角色属性!$AL14,0)</f>
        <v>110</v>
      </c>
    </row>
    <row r="9" spans="1:26" x14ac:dyDescent="0.15">
      <c r="A9" s="37">
        <f>[2]技能伤害!$T10</f>
        <v>1.1466157817768297</v>
      </c>
      <c r="B9" s="37"/>
      <c r="D9" s="1">
        <v>8</v>
      </c>
      <c r="E9" s="35">
        <f>ROUND(角色属性!$AL15*A9,0)</f>
        <v>140</v>
      </c>
      <c r="F9" s="35">
        <f>ROUND(角色属性!$AL15,0)</f>
        <v>122</v>
      </c>
      <c r="G9" s="35">
        <f>ROUND(角色属性!$AL15,0)</f>
        <v>122</v>
      </c>
      <c r="H9" s="35">
        <f>ROUND(角色属性!$AL15,0)</f>
        <v>122</v>
      </c>
      <c r="I9" s="35">
        <f>ROUND(角色属性!$AL15,0)</f>
        <v>122</v>
      </c>
      <c r="J9" s="35">
        <f>ROUND(角色属性!$AL15,0)</f>
        <v>122</v>
      </c>
      <c r="K9" s="35">
        <f>ROUND(角色属性!$AL15,0)</f>
        <v>122</v>
      </c>
      <c r="L9" s="35">
        <f>ROUND(角色属性!$AL15,0)</f>
        <v>122</v>
      </c>
      <c r="M9" s="35">
        <f>ROUND(角色属性!$AL15,0)</f>
        <v>122</v>
      </c>
      <c r="N9" s="35">
        <f>ROUND(角色属性!$AL15,0)</f>
        <v>122</v>
      </c>
      <c r="O9" s="35">
        <f>ROUND(角色属性!$AL15,0)</f>
        <v>122</v>
      </c>
      <c r="P9" s="35">
        <f>ROUND(角色属性!$AL15,0)</f>
        <v>122</v>
      </c>
      <c r="Q9" s="35">
        <f>ROUND(角色属性!$AL15,0)</f>
        <v>122</v>
      </c>
      <c r="R9" s="35">
        <f>ROUND(角色属性!$AL15,0)</f>
        <v>122</v>
      </c>
      <c r="S9" s="35">
        <f>ROUND(角色属性!$AL15,0)</f>
        <v>122</v>
      </c>
      <c r="T9" s="35">
        <f>ROUND(角色属性!$AL15,0)</f>
        <v>122</v>
      </c>
      <c r="U9" s="35">
        <f>ROUND(角色属性!$AL15,0)</f>
        <v>122</v>
      </c>
      <c r="V9" s="35">
        <f>ROUND(角色属性!$AL15,0)</f>
        <v>122</v>
      </c>
      <c r="W9" s="35">
        <f>ROUND(角色属性!$AL15,0)</f>
        <v>122</v>
      </c>
      <c r="X9" s="35">
        <f>ROUND(角色属性!$AL15,0)</f>
        <v>122</v>
      </c>
      <c r="Y9" s="35">
        <f>ROUND(角色属性!$AL15,0)</f>
        <v>122</v>
      </c>
      <c r="Z9" s="35">
        <f>ROUND(角色属性!$AL15,0)</f>
        <v>122</v>
      </c>
    </row>
    <row r="10" spans="1:26" x14ac:dyDescent="0.15">
      <c r="A10" s="37">
        <f>[2]技能伤害!$T11</f>
        <v>1.1702076844649194</v>
      </c>
      <c r="B10" s="37"/>
      <c r="D10" s="1">
        <v>9</v>
      </c>
      <c r="E10" s="35">
        <f>ROUND(角色属性!$AL16*A10,0)</f>
        <v>166</v>
      </c>
      <c r="F10" s="35">
        <f>ROUND(角色属性!$AL16,0)</f>
        <v>142</v>
      </c>
      <c r="G10" s="35">
        <f>ROUND(角色属性!$AL16,0)</f>
        <v>142</v>
      </c>
      <c r="H10" s="35">
        <f>ROUND(角色属性!$AL16,0)</f>
        <v>142</v>
      </c>
      <c r="I10" s="35">
        <f>ROUND(角色属性!$AL16,0)</f>
        <v>142</v>
      </c>
      <c r="J10" s="35">
        <f>ROUND(角色属性!$AL16,0)</f>
        <v>142</v>
      </c>
      <c r="K10" s="35">
        <f>ROUND(角色属性!$AL16,0)</f>
        <v>142</v>
      </c>
      <c r="L10" s="35">
        <f>ROUND(角色属性!$AL16,0)</f>
        <v>142</v>
      </c>
      <c r="M10" s="35">
        <f>ROUND(角色属性!$AL16,0)</f>
        <v>142</v>
      </c>
      <c r="N10" s="35">
        <f>ROUND(角色属性!$AL16,0)</f>
        <v>142</v>
      </c>
      <c r="O10" s="35">
        <f>ROUND(角色属性!$AL16,0)</f>
        <v>142</v>
      </c>
      <c r="P10" s="35">
        <f>ROUND(角色属性!$AL16,0)</f>
        <v>142</v>
      </c>
      <c r="Q10" s="35">
        <f>ROUND(角色属性!$AL16,0)</f>
        <v>142</v>
      </c>
      <c r="R10" s="35">
        <f>ROUND(角色属性!$AL16,0)</f>
        <v>142</v>
      </c>
      <c r="S10" s="35">
        <f>ROUND(角色属性!$AL16,0)</f>
        <v>142</v>
      </c>
      <c r="T10" s="35">
        <f>ROUND(角色属性!$AL16,0)</f>
        <v>142</v>
      </c>
      <c r="U10" s="35">
        <f>ROUND(角色属性!$AL16,0)</f>
        <v>142</v>
      </c>
      <c r="V10" s="35">
        <f>ROUND(角色属性!$AL16,0)</f>
        <v>142</v>
      </c>
      <c r="W10" s="35">
        <f>ROUND(角色属性!$AL16,0)</f>
        <v>142</v>
      </c>
      <c r="X10" s="35">
        <f>ROUND(角色属性!$AL16,0)</f>
        <v>142</v>
      </c>
      <c r="Y10" s="35">
        <f>ROUND(角色属性!$AL16,0)</f>
        <v>142</v>
      </c>
      <c r="Z10" s="35">
        <f>ROUND(角色属性!$AL16,0)</f>
        <v>142</v>
      </c>
    </row>
    <row r="11" spans="1:26" x14ac:dyDescent="0.15">
      <c r="A11" s="37">
        <f>[2]技能伤害!$T12</f>
        <v>1.1879379976419588</v>
      </c>
      <c r="B11" s="37"/>
      <c r="D11" s="1">
        <v>10</v>
      </c>
      <c r="E11" s="35">
        <f>ROUND(角色属性!$AL17*A11,0)</f>
        <v>207</v>
      </c>
      <c r="F11" s="35">
        <f>ROUND(角色属性!$AL17,0)</f>
        <v>174</v>
      </c>
      <c r="G11" s="35">
        <f>ROUND(角色属性!$AL17,0)</f>
        <v>174</v>
      </c>
      <c r="H11" s="35">
        <f>ROUND(角色属性!$AL17,0)</f>
        <v>174</v>
      </c>
      <c r="I11" s="35">
        <f>ROUND(角色属性!$AL17,0)</f>
        <v>174</v>
      </c>
      <c r="J11" s="35">
        <f>ROUND(角色属性!$AL17,0)</f>
        <v>174</v>
      </c>
      <c r="K11" s="35">
        <f>ROUND(角色属性!$AL17,0)</f>
        <v>174</v>
      </c>
      <c r="L11" s="35">
        <f>ROUND(角色属性!$AL17,0)</f>
        <v>174</v>
      </c>
      <c r="M11" s="35">
        <f>ROUND(角色属性!$AL17,0)</f>
        <v>174</v>
      </c>
      <c r="N11" s="35">
        <f>ROUND(角色属性!$AL17,0)</f>
        <v>174</v>
      </c>
      <c r="O11" s="35">
        <f>ROUND(角色属性!$AL17,0)</f>
        <v>174</v>
      </c>
      <c r="P11" s="35">
        <f>ROUND(角色属性!$AL17,0)</f>
        <v>174</v>
      </c>
      <c r="Q11" s="35">
        <f>ROUND(角色属性!$AL17,0)</f>
        <v>174</v>
      </c>
      <c r="R11" s="35">
        <f>ROUND(角色属性!$AL17,0)</f>
        <v>174</v>
      </c>
      <c r="S11" s="35">
        <f>ROUND(角色属性!$AL17,0)</f>
        <v>174</v>
      </c>
      <c r="T11" s="35">
        <f>ROUND(角色属性!$AL17,0)</f>
        <v>174</v>
      </c>
      <c r="U11" s="35">
        <f>ROUND(角色属性!$AL17,0)</f>
        <v>174</v>
      </c>
      <c r="V11" s="35">
        <f>ROUND(角色属性!$AL17,0)</f>
        <v>174</v>
      </c>
      <c r="W11" s="35">
        <f>ROUND(角色属性!$AL17,0)</f>
        <v>174</v>
      </c>
      <c r="X11" s="35">
        <f>ROUND(角色属性!$AL17,0)</f>
        <v>174</v>
      </c>
      <c r="Y11" s="35">
        <f>ROUND(角色属性!$AL17,0)</f>
        <v>174</v>
      </c>
      <c r="Z11" s="35">
        <f>ROUND(角色属性!$AL17,0)</f>
        <v>174</v>
      </c>
    </row>
    <row r="12" spans="1:26" x14ac:dyDescent="0.15">
      <c r="A12" s="37">
        <f>[2]技能伤害!$T13</f>
        <v>1.2111908223641115</v>
      </c>
      <c r="B12" s="37"/>
      <c r="D12" s="1">
        <v>11</v>
      </c>
      <c r="E12" s="35">
        <f>ROUND(角色属性!$AL18*A12,0)</f>
        <v>233</v>
      </c>
      <c r="F12" s="35">
        <f>ROUND(角色属性!$AL18,0)</f>
        <v>192</v>
      </c>
      <c r="G12" s="35">
        <f>ROUND(角色属性!$AL18,0)</f>
        <v>192</v>
      </c>
      <c r="H12" s="35">
        <f>ROUND(角色属性!$AL18,0)</f>
        <v>192</v>
      </c>
      <c r="I12" s="35">
        <f>ROUND(角色属性!$AL18,0)</f>
        <v>192</v>
      </c>
      <c r="J12" s="35">
        <f>ROUND(角色属性!$AL18,0)</f>
        <v>192</v>
      </c>
      <c r="K12" s="35">
        <f>ROUND(角色属性!$AL18,0)</f>
        <v>192</v>
      </c>
      <c r="L12" s="35">
        <f>ROUND(角色属性!$AL18,0)</f>
        <v>192</v>
      </c>
      <c r="M12" s="35">
        <f>ROUND(角色属性!$AL18,0)</f>
        <v>192</v>
      </c>
      <c r="N12" s="35">
        <f>ROUND(角色属性!$AL18,0)</f>
        <v>192</v>
      </c>
      <c r="O12" s="35">
        <f>ROUND(角色属性!$AL18,0)</f>
        <v>192</v>
      </c>
      <c r="P12" s="35">
        <f>ROUND(角色属性!$AL18,0)</f>
        <v>192</v>
      </c>
      <c r="Q12" s="35">
        <f>ROUND(角色属性!$AL18,0)</f>
        <v>192</v>
      </c>
      <c r="R12" s="35">
        <f>ROUND(角色属性!$AL18,0)</f>
        <v>192</v>
      </c>
      <c r="S12" s="35">
        <f>ROUND(角色属性!$AL18,0)</f>
        <v>192</v>
      </c>
      <c r="T12" s="35">
        <f>ROUND(角色属性!$AL18,0)</f>
        <v>192</v>
      </c>
      <c r="U12" s="35">
        <f>ROUND(角色属性!$AL18,0)</f>
        <v>192</v>
      </c>
      <c r="V12" s="35">
        <f>ROUND(角色属性!$AL18,0)</f>
        <v>192</v>
      </c>
      <c r="W12" s="35">
        <f>ROUND(角色属性!$AL18,0)</f>
        <v>192</v>
      </c>
      <c r="X12" s="35">
        <f>ROUND(角色属性!$AL18,0)</f>
        <v>192</v>
      </c>
      <c r="Y12" s="35">
        <f>ROUND(角色属性!$AL18,0)</f>
        <v>192</v>
      </c>
      <c r="Z12" s="35">
        <f>ROUND(角色属性!$AL18,0)</f>
        <v>192</v>
      </c>
    </row>
    <row r="13" spans="1:26" x14ac:dyDescent="0.15">
      <c r="A13" s="37">
        <f>[2]技能伤害!$T14</f>
        <v>1.2356488905171572</v>
      </c>
      <c r="B13" s="37"/>
      <c r="D13" s="1">
        <v>12</v>
      </c>
      <c r="E13" s="35">
        <f>ROUND(角色属性!$AL19*A13,0)</f>
        <v>259</v>
      </c>
      <c r="F13" s="35">
        <f>ROUND(角色属性!$AL19,0)</f>
        <v>210</v>
      </c>
      <c r="G13" s="35">
        <f>ROUND(角色属性!$AL19,0)</f>
        <v>210</v>
      </c>
      <c r="H13" s="35">
        <f>ROUND(角色属性!$AL19,0)</f>
        <v>210</v>
      </c>
      <c r="I13" s="35">
        <f>ROUND(角色属性!$AL19,0)</f>
        <v>210</v>
      </c>
      <c r="J13" s="35">
        <f>ROUND(角色属性!$AL19,0)</f>
        <v>210</v>
      </c>
      <c r="K13" s="35">
        <f>ROUND(角色属性!$AL19,0)</f>
        <v>210</v>
      </c>
      <c r="L13" s="35">
        <f>ROUND(角色属性!$AL19,0)</f>
        <v>210</v>
      </c>
      <c r="M13" s="35">
        <f>ROUND(角色属性!$AL19,0)</f>
        <v>210</v>
      </c>
      <c r="N13" s="35">
        <f>ROUND(角色属性!$AL19,0)</f>
        <v>210</v>
      </c>
      <c r="O13" s="35">
        <f>ROUND(角色属性!$AL19,0)</f>
        <v>210</v>
      </c>
      <c r="P13" s="35">
        <f>ROUND(角色属性!$AL19,0)</f>
        <v>210</v>
      </c>
      <c r="Q13" s="35">
        <f>ROUND(角色属性!$AL19,0)</f>
        <v>210</v>
      </c>
      <c r="R13" s="35">
        <f>ROUND(角色属性!$AL19,0)</f>
        <v>210</v>
      </c>
      <c r="S13" s="35">
        <f>ROUND(角色属性!$AL19,0)</f>
        <v>210</v>
      </c>
      <c r="T13" s="35">
        <f>ROUND(角色属性!$AL19,0)</f>
        <v>210</v>
      </c>
      <c r="U13" s="35">
        <f>ROUND(角色属性!$AL19,0)</f>
        <v>210</v>
      </c>
      <c r="V13" s="35">
        <f>ROUND(角色属性!$AL19,0)</f>
        <v>210</v>
      </c>
      <c r="W13" s="35">
        <f>ROUND(角色属性!$AL19,0)</f>
        <v>210</v>
      </c>
      <c r="X13" s="35">
        <f>ROUND(角色属性!$AL19,0)</f>
        <v>210</v>
      </c>
      <c r="Y13" s="35">
        <f>ROUND(角色属性!$AL19,0)</f>
        <v>210</v>
      </c>
      <c r="Z13" s="35">
        <f>ROUND(角色属性!$AL19,0)</f>
        <v>210</v>
      </c>
    </row>
    <row r="14" spans="1:26" x14ac:dyDescent="0.15">
      <c r="A14" s="37">
        <f>[2]技能伤害!$T15</f>
        <v>1.2559965507833157</v>
      </c>
      <c r="B14" s="37"/>
      <c r="D14" s="1">
        <v>13</v>
      </c>
      <c r="E14" s="35">
        <f>ROUND(角色属性!$AL20*A14,0)</f>
        <v>290</v>
      </c>
      <c r="F14" s="35">
        <f>ROUND(角色属性!$AL20,0)</f>
        <v>231</v>
      </c>
      <c r="G14" s="35">
        <f>ROUND(角色属性!$AL20,0)</f>
        <v>231</v>
      </c>
      <c r="H14" s="35">
        <f>ROUND(角色属性!$AL20,0)</f>
        <v>231</v>
      </c>
      <c r="I14" s="35">
        <f>ROUND(角色属性!$AL20,0)</f>
        <v>231</v>
      </c>
      <c r="J14" s="35">
        <f>ROUND(角色属性!$AL20,0)</f>
        <v>231</v>
      </c>
      <c r="K14" s="35">
        <f>ROUND(角色属性!$AL20,0)</f>
        <v>231</v>
      </c>
      <c r="L14" s="35">
        <f>ROUND(角色属性!$AL20,0)</f>
        <v>231</v>
      </c>
      <c r="M14" s="35">
        <f>ROUND(角色属性!$AL20,0)</f>
        <v>231</v>
      </c>
      <c r="N14" s="35">
        <f>ROUND(角色属性!$AL20,0)</f>
        <v>231</v>
      </c>
      <c r="O14" s="35">
        <f>ROUND(角色属性!$AL20,0)</f>
        <v>231</v>
      </c>
      <c r="P14" s="35">
        <f>ROUND(角色属性!$AL20,0)</f>
        <v>231</v>
      </c>
      <c r="Q14" s="35">
        <f>ROUND(角色属性!$AL20,0)</f>
        <v>231</v>
      </c>
      <c r="R14" s="35">
        <f>ROUND(角色属性!$AL20,0)</f>
        <v>231</v>
      </c>
      <c r="S14" s="35">
        <f>ROUND(角色属性!$AL20,0)</f>
        <v>231</v>
      </c>
      <c r="T14" s="35">
        <f>ROUND(角色属性!$AL20,0)</f>
        <v>231</v>
      </c>
      <c r="U14" s="35">
        <f>ROUND(角色属性!$AL20,0)</f>
        <v>231</v>
      </c>
      <c r="V14" s="35">
        <f>ROUND(角色属性!$AL20,0)</f>
        <v>231</v>
      </c>
      <c r="W14" s="35">
        <f>ROUND(角色属性!$AL20,0)</f>
        <v>231</v>
      </c>
      <c r="X14" s="35">
        <f>ROUND(角色属性!$AL20,0)</f>
        <v>231</v>
      </c>
      <c r="Y14" s="35">
        <f>ROUND(角色属性!$AL20,0)</f>
        <v>231</v>
      </c>
      <c r="Z14" s="35">
        <f>ROUND(角色属性!$AL20,0)</f>
        <v>231</v>
      </c>
    </row>
    <row r="15" spans="1:26" x14ac:dyDescent="0.15">
      <c r="A15" s="37">
        <f>[2]技能伤害!$T16</f>
        <v>1.2791254231885261</v>
      </c>
      <c r="B15" s="37"/>
      <c r="D15" s="1">
        <v>14</v>
      </c>
      <c r="E15" s="35">
        <f>ROUND(角色属性!$AL21*A15,0)</f>
        <v>324</v>
      </c>
      <c r="F15" s="35">
        <f>ROUND(角色属性!$AL21,0)</f>
        <v>253</v>
      </c>
      <c r="G15" s="35">
        <f>ROUND(角色属性!$AL21,0)</f>
        <v>253</v>
      </c>
      <c r="H15" s="35">
        <f>ROUND(角色属性!$AL21,0)</f>
        <v>253</v>
      </c>
      <c r="I15" s="35">
        <f>ROUND(角色属性!$AL21,0)</f>
        <v>253</v>
      </c>
      <c r="J15" s="35">
        <f>ROUND(角色属性!$AL21,0)</f>
        <v>253</v>
      </c>
      <c r="K15" s="35">
        <f>ROUND(角色属性!$AL21,0)</f>
        <v>253</v>
      </c>
      <c r="L15" s="35">
        <f>ROUND(角色属性!$AL21,0)</f>
        <v>253</v>
      </c>
      <c r="M15" s="35">
        <f>ROUND(角色属性!$AL21,0)</f>
        <v>253</v>
      </c>
      <c r="N15" s="35">
        <f>ROUND(角色属性!$AL21,0)</f>
        <v>253</v>
      </c>
      <c r="O15" s="35">
        <f>ROUND(角色属性!$AL21,0)</f>
        <v>253</v>
      </c>
      <c r="P15" s="35">
        <f>ROUND(角色属性!$AL21,0)</f>
        <v>253</v>
      </c>
      <c r="Q15" s="35">
        <f>ROUND(角色属性!$AL21,0)</f>
        <v>253</v>
      </c>
      <c r="R15" s="35">
        <f>ROUND(角色属性!$AL21,0)</f>
        <v>253</v>
      </c>
      <c r="S15" s="35">
        <f>ROUND(角色属性!$AL21,0)</f>
        <v>253</v>
      </c>
      <c r="T15" s="35">
        <f>ROUND(角色属性!$AL21,0)</f>
        <v>253</v>
      </c>
      <c r="U15" s="35">
        <f>ROUND(角色属性!$AL21,0)</f>
        <v>253</v>
      </c>
      <c r="V15" s="35">
        <f>ROUND(角色属性!$AL21,0)</f>
        <v>253</v>
      </c>
      <c r="W15" s="35">
        <f>ROUND(角色属性!$AL21,0)</f>
        <v>253</v>
      </c>
      <c r="X15" s="35">
        <f>ROUND(角色属性!$AL21,0)</f>
        <v>253</v>
      </c>
      <c r="Y15" s="35">
        <f>ROUND(角色属性!$AL21,0)</f>
        <v>253</v>
      </c>
      <c r="Z15" s="35">
        <f>ROUND(角色属性!$AL21,0)</f>
        <v>253</v>
      </c>
    </row>
    <row r="16" spans="1:26" x14ac:dyDescent="0.15">
      <c r="A16" s="37">
        <f>[2]技能伤害!$T17</f>
        <v>1.3002037096601269</v>
      </c>
      <c r="B16" s="37"/>
      <c r="D16" s="1">
        <v>15</v>
      </c>
      <c r="E16" s="35">
        <f>ROUND(角色属性!$AL22*A16,0)</f>
        <v>359</v>
      </c>
      <c r="F16" s="35">
        <f>ROUND(角色属性!$AL22,0)</f>
        <v>276</v>
      </c>
      <c r="G16" s="35">
        <f>ROUND(角色属性!$AL22,0)</f>
        <v>276</v>
      </c>
      <c r="H16" s="35">
        <f>ROUND(角色属性!$AL22,0)</f>
        <v>276</v>
      </c>
      <c r="I16" s="35">
        <f>ROUND(角色属性!$AL22,0)</f>
        <v>276</v>
      </c>
      <c r="J16" s="35">
        <f>ROUND(角色属性!$AL22,0)</f>
        <v>276</v>
      </c>
      <c r="K16" s="35">
        <f>ROUND(角色属性!$AL22,0)</f>
        <v>276</v>
      </c>
      <c r="L16" s="35">
        <f>ROUND(角色属性!$AL22,0)</f>
        <v>276</v>
      </c>
      <c r="M16" s="35">
        <f>ROUND(角色属性!$AL22,0)</f>
        <v>276</v>
      </c>
      <c r="N16" s="35">
        <f>ROUND(角色属性!$AL22,0)</f>
        <v>276</v>
      </c>
      <c r="O16" s="35">
        <f>ROUND(角色属性!$AL22,0)</f>
        <v>276</v>
      </c>
      <c r="P16" s="35">
        <f>ROUND(角色属性!$AL22,0)</f>
        <v>276</v>
      </c>
      <c r="Q16" s="35">
        <f>ROUND(角色属性!$AL22,0)</f>
        <v>276</v>
      </c>
      <c r="R16" s="35">
        <f>ROUND(角色属性!$AL22,0)</f>
        <v>276</v>
      </c>
      <c r="S16" s="35">
        <f>ROUND(角色属性!$AL22,0)</f>
        <v>276</v>
      </c>
      <c r="T16" s="35">
        <f>ROUND(角色属性!$AL22,0)</f>
        <v>276</v>
      </c>
      <c r="U16" s="35">
        <f>ROUND(角色属性!$AL22,0)</f>
        <v>276</v>
      </c>
      <c r="V16" s="35">
        <f>ROUND(角色属性!$AL22,0)</f>
        <v>276</v>
      </c>
      <c r="W16" s="35">
        <f>ROUND(角色属性!$AL22,0)</f>
        <v>276</v>
      </c>
      <c r="X16" s="35">
        <f>ROUND(角色属性!$AL22,0)</f>
        <v>276</v>
      </c>
      <c r="Y16" s="35">
        <f>ROUND(角色属性!$AL22,0)</f>
        <v>276</v>
      </c>
      <c r="Z16" s="35">
        <f>ROUND(角色属性!$AL22,0)</f>
        <v>276</v>
      </c>
    </row>
    <row r="17" spans="1:26" x14ac:dyDescent="0.15">
      <c r="A17" s="37">
        <f>[2]技能伤害!$T18</f>
        <v>1.322085964903664</v>
      </c>
      <c r="B17" s="37"/>
      <c r="D17" s="1">
        <v>16</v>
      </c>
      <c r="E17" s="35">
        <f>ROUND(角色属性!$AL23*A17,0)</f>
        <v>398</v>
      </c>
      <c r="F17" s="35">
        <f>ROUND(角色属性!$AL23,0)</f>
        <v>301</v>
      </c>
      <c r="G17" s="35">
        <f>ROUND(角色属性!$AL23,0)</f>
        <v>301</v>
      </c>
      <c r="H17" s="35">
        <f>ROUND(角色属性!$AL23,0)</f>
        <v>301</v>
      </c>
      <c r="I17" s="35">
        <f>ROUND(角色属性!$AL23,0)</f>
        <v>301</v>
      </c>
      <c r="J17" s="35">
        <f>ROUND(角色属性!$AL23,0)</f>
        <v>301</v>
      </c>
      <c r="K17" s="35">
        <f>ROUND(角色属性!$AL23,0)</f>
        <v>301</v>
      </c>
      <c r="L17" s="35">
        <f>ROUND(角色属性!$AL23,0)</f>
        <v>301</v>
      </c>
      <c r="M17" s="35">
        <f>ROUND(角色属性!$AL23,0)</f>
        <v>301</v>
      </c>
      <c r="N17" s="35">
        <f>ROUND(角色属性!$AL23,0)</f>
        <v>301</v>
      </c>
      <c r="O17" s="35">
        <f>ROUND(角色属性!$AL23,0)</f>
        <v>301</v>
      </c>
      <c r="P17" s="35">
        <f>ROUND(角色属性!$AL23,0)</f>
        <v>301</v>
      </c>
      <c r="Q17" s="35">
        <f>ROUND(角色属性!$AL23,0)</f>
        <v>301</v>
      </c>
      <c r="R17" s="35">
        <f>ROUND(角色属性!$AL23,0)</f>
        <v>301</v>
      </c>
      <c r="S17" s="35">
        <f>ROUND(角色属性!$AL23,0)</f>
        <v>301</v>
      </c>
      <c r="T17" s="35">
        <f>ROUND(角色属性!$AL23,0)</f>
        <v>301</v>
      </c>
      <c r="U17" s="35">
        <f>ROUND(角色属性!$AL23,0)</f>
        <v>301</v>
      </c>
      <c r="V17" s="35">
        <f>ROUND(角色属性!$AL23,0)</f>
        <v>301</v>
      </c>
      <c r="W17" s="35">
        <f>ROUND(角色属性!$AL23,0)</f>
        <v>301</v>
      </c>
      <c r="X17" s="35">
        <f>ROUND(角色属性!$AL23,0)</f>
        <v>301</v>
      </c>
      <c r="Y17" s="35">
        <f>ROUND(角色属性!$AL23,0)</f>
        <v>301</v>
      </c>
      <c r="Z17" s="35">
        <f>ROUND(角色属性!$AL23,0)</f>
        <v>301</v>
      </c>
    </row>
    <row r="18" spans="1:26" x14ac:dyDescent="0.15">
      <c r="A18" s="37">
        <f>[2]技能伤害!$T19</f>
        <v>1.3452650983825947</v>
      </c>
      <c r="B18" s="37"/>
      <c r="D18" s="1">
        <v>17</v>
      </c>
      <c r="E18" s="35">
        <f>ROUND(角色属性!$AL24*A18,0)</f>
        <v>443</v>
      </c>
      <c r="F18" s="35">
        <f>ROUND(角色属性!$AL24,0)</f>
        <v>329</v>
      </c>
      <c r="G18" s="35">
        <f>ROUND(角色属性!$AL24,0)</f>
        <v>329</v>
      </c>
      <c r="H18" s="35">
        <f>ROUND(角色属性!$AL24,0)</f>
        <v>329</v>
      </c>
      <c r="I18" s="35">
        <f>ROUND(角色属性!$AL24,0)</f>
        <v>329</v>
      </c>
      <c r="J18" s="35">
        <f>ROUND(角色属性!$AL24,0)</f>
        <v>329</v>
      </c>
      <c r="K18" s="35">
        <f>ROUND(角色属性!$AL24,0)</f>
        <v>329</v>
      </c>
      <c r="L18" s="35">
        <f>ROUND(角色属性!$AL24,0)</f>
        <v>329</v>
      </c>
      <c r="M18" s="35">
        <f>ROUND(角色属性!$AL24,0)</f>
        <v>329</v>
      </c>
      <c r="N18" s="35">
        <f>ROUND(角色属性!$AL24,0)</f>
        <v>329</v>
      </c>
      <c r="O18" s="35">
        <f>ROUND(角色属性!$AL24,0)</f>
        <v>329</v>
      </c>
      <c r="P18" s="35">
        <f>ROUND(角色属性!$AL24,0)</f>
        <v>329</v>
      </c>
      <c r="Q18" s="35">
        <f>ROUND(角色属性!$AL24,0)</f>
        <v>329</v>
      </c>
      <c r="R18" s="35">
        <f>ROUND(角色属性!$AL24,0)</f>
        <v>329</v>
      </c>
      <c r="S18" s="35">
        <f>ROUND(角色属性!$AL24,0)</f>
        <v>329</v>
      </c>
      <c r="T18" s="35">
        <f>ROUND(角色属性!$AL24,0)</f>
        <v>329</v>
      </c>
      <c r="U18" s="35">
        <f>ROUND(角色属性!$AL24,0)</f>
        <v>329</v>
      </c>
      <c r="V18" s="35">
        <f>ROUND(角色属性!$AL24,0)</f>
        <v>329</v>
      </c>
      <c r="W18" s="35">
        <f>ROUND(角色属性!$AL24,0)</f>
        <v>329</v>
      </c>
      <c r="X18" s="35">
        <f>ROUND(角色属性!$AL24,0)</f>
        <v>329</v>
      </c>
      <c r="Y18" s="35">
        <f>ROUND(角色属性!$AL24,0)</f>
        <v>329</v>
      </c>
      <c r="Z18" s="35">
        <f>ROUND(角色属性!$AL24,0)</f>
        <v>329</v>
      </c>
    </row>
    <row r="19" spans="1:26" x14ac:dyDescent="0.15">
      <c r="A19" s="37">
        <f>[2]技能伤害!$T20</f>
        <v>1.3693751696136149</v>
      </c>
      <c r="B19" s="37"/>
      <c r="D19" s="1">
        <v>18</v>
      </c>
      <c r="E19" s="35">
        <f>ROUND(角色属性!$AL25*A19,0)</f>
        <v>490</v>
      </c>
      <c r="F19" s="35">
        <f>ROUND(角色属性!$AL25,0)</f>
        <v>358</v>
      </c>
      <c r="G19" s="35">
        <f>ROUND(角色属性!$AL25,0)</f>
        <v>358</v>
      </c>
      <c r="H19" s="35">
        <f>ROUND(角色属性!$AL25,0)</f>
        <v>358</v>
      </c>
      <c r="I19" s="35">
        <f>ROUND(角色属性!$AL25,0)</f>
        <v>358</v>
      </c>
      <c r="J19" s="35">
        <f>ROUND(角色属性!$AL25,0)</f>
        <v>358</v>
      </c>
      <c r="K19" s="35">
        <f>ROUND(角色属性!$AL25,0)</f>
        <v>358</v>
      </c>
      <c r="L19" s="35">
        <f>ROUND(角色属性!$AL25,0)</f>
        <v>358</v>
      </c>
      <c r="M19" s="35">
        <f>ROUND(角色属性!$AL25,0)</f>
        <v>358</v>
      </c>
      <c r="N19" s="35">
        <f>ROUND(角色属性!$AL25,0)</f>
        <v>358</v>
      </c>
      <c r="O19" s="35">
        <f>ROUND(角色属性!$AL25,0)</f>
        <v>358</v>
      </c>
      <c r="P19" s="35">
        <f>ROUND(角色属性!$AL25,0)</f>
        <v>358</v>
      </c>
      <c r="Q19" s="35">
        <f>ROUND(角色属性!$AL25,0)</f>
        <v>358</v>
      </c>
      <c r="R19" s="35">
        <f>ROUND(角色属性!$AL25,0)</f>
        <v>358</v>
      </c>
      <c r="S19" s="35">
        <f>ROUND(角色属性!$AL25,0)</f>
        <v>358</v>
      </c>
      <c r="T19" s="35">
        <f>ROUND(角色属性!$AL25,0)</f>
        <v>358</v>
      </c>
      <c r="U19" s="35">
        <f>ROUND(角色属性!$AL25,0)</f>
        <v>358</v>
      </c>
      <c r="V19" s="35">
        <f>ROUND(角色属性!$AL25,0)</f>
        <v>358</v>
      </c>
      <c r="W19" s="35">
        <f>ROUND(角色属性!$AL25,0)</f>
        <v>358</v>
      </c>
      <c r="X19" s="35">
        <f>ROUND(角色属性!$AL25,0)</f>
        <v>358</v>
      </c>
      <c r="Y19" s="35">
        <f>ROUND(角色属性!$AL25,0)</f>
        <v>358</v>
      </c>
      <c r="Z19" s="35">
        <f>ROUND(角色属性!$AL25,0)</f>
        <v>358</v>
      </c>
    </row>
    <row r="20" spans="1:26" x14ac:dyDescent="0.15">
      <c r="A20" s="37">
        <f>[2]技能伤害!$T21</f>
        <v>1.393005695922499</v>
      </c>
      <c r="B20" s="37"/>
      <c r="D20" s="1">
        <v>19</v>
      </c>
      <c r="E20" s="35">
        <f>ROUND(角色属性!$AL26*A20,0)</f>
        <v>542</v>
      </c>
      <c r="F20" s="35">
        <f>ROUND(角色属性!$AL26,0)</f>
        <v>389</v>
      </c>
      <c r="G20" s="35">
        <f>ROUND(角色属性!$AL26,0)</f>
        <v>389</v>
      </c>
      <c r="H20" s="35">
        <f>ROUND(角色属性!$AL26,0)</f>
        <v>389</v>
      </c>
      <c r="I20" s="35">
        <f>ROUND(角色属性!$AL26,0)</f>
        <v>389</v>
      </c>
      <c r="J20" s="35">
        <f>ROUND(角色属性!$AL26,0)</f>
        <v>389</v>
      </c>
      <c r="K20" s="35">
        <f>ROUND(角色属性!$AL26,0)</f>
        <v>389</v>
      </c>
      <c r="L20" s="35">
        <f>ROUND(角色属性!$AL26,0)</f>
        <v>389</v>
      </c>
      <c r="M20" s="35">
        <f>ROUND(角色属性!$AL26,0)</f>
        <v>389</v>
      </c>
      <c r="N20" s="35">
        <f>ROUND(角色属性!$AL26,0)</f>
        <v>389</v>
      </c>
      <c r="O20" s="35">
        <f>ROUND(角色属性!$AL26,0)</f>
        <v>389</v>
      </c>
      <c r="P20" s="35">
        <f>ROUND(角色属性!$AL26,0)</f>
        <v>389</v>
      </c>
      <c r="Q20" s="35">
        <f>ROUND(角色属性!$AL26,0)</f>
        <v>389</v>
      </c>
      <c r="R20" s="35">
        <f>ROUND(角色属性!$AL26,0)</f>
        <v>389</v>
      </c>
      <c r="S20" s="35">
        <f>ROUND(角色属性!$AL26,0)</f>
        <v>389</v>
      </c>
      <c r="T20" s="35">
        <f>ROUND(角色属性!$AL26,0)</f>
        <v>389</v>
      </c>
      <c r="U20" s="35">
        <f>ROUND(角色属性!$AL26,0)</f>
        <v>389</v>
      </c>
      <c r="V20" s="35">
        <f>ROUND(角色属性!$AL26,0)</f>
        <v>389</v>
      </c>
      <c r="W20" s="35">
        <f>ROUND(角色属性!$AL26,0)</f>
        <v>389</v>
      </c>
      <c r="X20" s="35">
        <f>ROUND(角色属性!$AL26,0)</f>
        <v>389</v>
      </c>
      <c r="Y20" s="35">
        <f>ROUND(角色属性!$AL26,0)</f>
        <v>389</v>
      </c>
      <c r="Z20" s="35">
        <f>ROUND(角色属性!$AL26,0)</f>
        <v>389</v>
      </c>
    </row>
    <row r="21" spans="1:26" x14ac:dyDescent="0.15">
      <c r="A21" s="37">
        <f>[2]技能伤害!$T22</f>
        <v>1.4161695306879183</v>
      </c>
      <c r="B21" s="37"/>
      <c r="D21" s="1">
        <v>20</v>
      </c>
      <c r="E21" s="35">
        <f>ROUND(角色属性!$AL27*A21,0)</f>
        <v>598</v>
      </c>
      <c r="F21" s="35">
        <f>ROUND(角色属性!$AL27,0)</f>
        <v>422</v>
      </c>
      <c r="G21" s="35">
        <f>ROUND(角色属性!$AL27,0)</f>
        <v>422</v>
      </c>
      <c r="H21" s="35">
        <f>ROUND(角色属性!$AL27,0)</f>
        <v>422</v>
      </c>
      <c r="I21" s="35">
        <f>ROUND(角色属性!$AL27,0)</f>
        <v>422</v>
      </c>
      <c r="J21" s="35">
        <f>ROUND(角色属性!$AL27,0)</f>
        <v>422</v>
      </c>
      <c r="K21" s="35">
        <f>ROUND(角色属性!$AL27,0)</f>
        <v>422</v>
      </c>
      <c r="L21" s="35">
        <f>ROUND(角色属性!$AL27,0)</f>
        <v>422</v>
      </c>
      <c r="M21" s="35">
        <f>ROUND(角色属性!$AL27,0)</f>
        <v>422</v>
      </c>
      <c r="N21" s="35">
        <f>ROUND(角色属性!$AL27,0)</f>
        <v>422</v>
      </c>
      <c r="O21" s="35">
        <f>ROUND(角色属性!$AL27,0)</f>
        <v>422</v>
      </c>
      <c r="P21" s="35">
        <f>ROUND(角色属性!$AL27,0)</f>
        <v>422</v>
      </c>
      <c r="Q21" s="35">
        <f>ROUND(角色属性!$AL27,0)</f>
        <v>422</v>
      </c>
      <c r="R21" s="35">
        <f>ROUND(角色属性!$AL27,0)</f>
        <v>422</v>
      </c>
      <c r="S21" s="35">
        <f>ROUND(角色属性!$AL27,0)</f>
        <v>422</v>
      </c>
      <c r="T21" s="35">
        <f>ROUND(角色属性!$AL27,0)</f>
        <v>422</v>
      </c>
      <c r="U21" s="35">
        <f>ROUND(角色属性!$AL27,0)</f>
        <v>422</v>
      </c>
      <c r="V21" s="35">
        <f>ROUND(角色属性!$AL27,0)</f>
        <v>422</v>
      </c>
      <c r="W21" s="35">
        <f>ROUND(角色属性!$AL27,0)</f>
        <v>422</v>
      </c>
      <c r="X21" s="35">
        <f>ROUND(角色属性!$AL27,0)</f>
        <v>422</v>
      </c>
      <c r="Y21" s="35">
        <f>ROUND(角色属性!$AL27,0)</f>
        <v>422</v>
      </c>
      <c r="Z21" s="35">
        <f>ROUND(角色属性!$AL27,0)</f>
        <v>422</v>
      </c>
    </row>
    <row r="22" spans="1:26" x14ac:dyDescent="0.15">
      <c r="A22" s="37">
        <f>[2]技能伤害!$T23</f>
        <v>1.4403239170437123</v>
      </c>
      <c r="B22" s="37"/>
      <c r="D22" s="1">
        <v>21</v>
      </c>
      <c r="E22" s="35">
        <f>ROUND(角色属性!$AL28*A22,0)</f>
        <v>660</v>
      </c>
      <c r="F22" s="35">
        <f>ROUND(角色属性!$AL28,0)</f>
        <v>458</v>
      </c>
      <c r="G22" s="35">
        <f>ROUND(角色属性!$AL28,0)</f>
        <v>458</v>
      </c>
      <c r="H22" s="35">
        <f>ROUND(角色属性!$AL28,0)</f>
        <v>458</v>
      </c>
      <c r="I22" s="35">
        <f>ROUND(角色属性!$AL28,0)</f>
        <v>458</v>
      </c>
      <c r="J22" s="35">
        <f>ROUND(角色属性!$AL28,0)</f>
        <v>458</v>
      </c>
      <c r="K22" s="35">
        <f>ROUND(角色属性!$AL28,0)</f>
        <v>458</v>
      </c>
      <c r="L22" s="35">
        <f>ROUND(角色属性!$AL28,0)</f>
        <v>458</v>
      </c>
      <c r="M22" s="35">
        <f>ROUND(角色属性!$AL28,0)</f>
        <v>458</v>
      </c>
      <c r="N22" s="35">
        <f>ROUND(角色属性!$AL28,0)</f>
        <v>458</v>
      </c>
      <c r="O22" s="35">
        <f>ROUND(角色属性!$AL28,0)</f>
        <v>458</v>
      </c>
      <c r="P22" s="35">
        <f>ROUND(角色属性!$AL28,0)</f>
        <v>458</v>
      </c>
      <c r="Q22" s="35">
        <f>ROUND(角色属性!$AL28,0)</f>
        <v>458</v>
      </c>
      <c r="R22" s="35">
        <f>ROUND(角色属性!$AL28,0)</f>
        <v>458</v>
      </c>
      <c r="S22" s="35">
        <f>ROUND(角色属性!$AL28,0)</f>
        <v>458</v>
      </c>
      <c r="T22" s="35">
        <f>ROUND(角色属性!$AL28,0)</f>
        <v>458</v>
      </c>
      <c r="U22" s="35">
        <f>ROUND(角色属性!$AL28,0)</f>
        <v>458</v>
      </c>
      <c r="V22" s="35">
        <f>ROUND(角色属性!$AL28,0)</f>
        <v>458</v>
      </c>
      <c r="W22" s="35">
        <f>ROUND(角色属性!$AL28,0)</f>
        <v>458</v>
      </c>
      <c r="X22" s="35">
        <f>ROUND(角色属性!$AL28,0)</f>
        <v>458</v>
      </c>
      <c r="Y22" s="35">
        <f>ROUND(角色属性!$AL28,0)</f>
        <v>458</v>
      </c>
      <c r="Z22" s="35">
        <f>ROUND(角色属性!$AL28,0)</f>
        <v>458</v>
      </c>
    </row>
    <row r="23" spans="1:26" x14ac:dyDescent="0.15">
      <c r="A23" s="37">
        <f>[2]技能伤害!$T24</f>
        <v>1.4632843273164526</v>
      </c>
      <c r="B23" s="37"/>
      <c r="D23" s="1">
        <v>22</v>
      </c>
      <c r="E23" s="35">
        <f>ROUND(角色属性!$AL29*A23,0)</f>
        <v>726</v>
      </c>
      <c r="F23" s="35">
        <f>ROUND(角色属性!$AL29,0)</f>
        <v>496</v>
      </c>
      <c r="G23" s="35">
        <f>ROUND(角色属性!$AL29,0)</f>
        <v>496</v>
      </c>
      <c r="H23" s="35">
        <f>ROUND(角色属性!$AL29,0)</f>
        <v>496</v>
      </c>
      <c r="I23" s="35">
        <f>ROUND(角色属性!$AL29,0)</f>
        <v>496</v>
      </c>
      <c r="J23" s="35">
        <f>ROUND(角色属性!$AL29,0)</f>
        <v>496</v>
      </c>
      <c r="K23" s="35">
        <f>ROUND(角色属性!$AL29,0)</f>
        <v>496</v>
      </c>
      <c r="L23" s="35">
        <f>ROUND(角色属性!$AL29,0)</f>
        <v>496</v>
      </c>
      <c r="M23" s="35">
        <f>ROUND(角色属性!$AL29,0)</f>
        <v>496</v>
      </c>
      <c r="N23" s="35">
        <f>ROUND(角色属性!$AL29,0)</f>
        <v>496</v>
      </c>
      <c r="O23" s="35">
        <f>ROUND(角色属性!$AL29,0)</f>
        <v>496</v>
      </c>
      <c r="P23" s="35">
        <f>ROUND(角色属性!$AL29,0)</f>
        <v>496</v>
      </c>
      <c r="Q23" s="35">
        <f>ROUND(角色属性!$AL29,0)</f>
        <v>496</v>
      </c>
      <c r="R23" s="35">
        <f>ROUND(角色属性!$AL29,0)</f>
        <v>496</v>
      </c>
      <c r="S23" s="35">
        <f>ROUND(角色属性!$AL29,0)</f>
        <v>496</v>
      </c>
      <c r="T23" s="35">
        <f>ROUND(角色属性!$AL29,0)</f>
        <v>496</v>
      </c>
      <c r="U23" s="35">
        <f>ROUND(角色属性!$AL29,0)</f>
        <v>496</v>
      </c>
      <c r="V23" s="35">
        <f>ROUND(角色属性!$AL29,0)</f>
        <v>496</v>
      </c>
      <c r="W23" s="35">
        <f>ROUND(角色属性!$AL29,0)</f>
        <v>496</v>
      </c>
      <c r="X23" s="35">
        <f>ROUND(角色属性!$AL29,0)</f>
        <v>496</v>
      </c>
      <c r="Y23" s="35">
        <f>ROUND(角色属性!$AL29,0)</f>
        <v>496</v>
      </c>
      <c r="Z23" s="35">
        <f>ROUND(角色属性!$AL29,0)</f>
        <v>496</v>
      </c>
    </row>
    <row r="24" spans="1:26" x14ac:dyDescent="0.15">
      <c r="A24" s="37">
        <f>[2]技能伤害!$T25</f>
        <v>1.4877512940432716</v>
      </c>
      <c r="B24" s="37"/>
      <c r="D24" s="1">
        <v>23</v>
      </c>
      <c r="E24" s="35">
        <f>ROUND(角色属性!$AL30*A24,0)</f>
        <v>797</v>
      </c>
      <c r="F24" s="35">
        <f>ROUND(角色属性!$AL30,0)</f>
        <v>536</v>
      </c>
      <c r="G24" s="35">
        <f>ROUND(角色属性!$AL30,0)</f>
        <v>536</v>
      </c>
      <c r="H24" s="35">
        <f>ROUND(角色属性!$AL30,0)</f>
        <v>536</v>
      </c>
      <c r="I24" s="35">
        <f>ROUND(角色属性!$AL30,0)</f>
        <v>536</v>
      </c>
      <c r="J24" s="35">
        <f>ROUND(角色属性!$AL30,0)</f>
        <v>536</v>
      </c>
      <c r="K24" s="35">
        <f>ROUND(角色属性!$AL30,0)</f>
        <v>536</v>
      </c>
      <c r="L24" s="35">
        <f>ROUND(角色属性!$AL30,0)</f>
        <v>536</v>
      </c>
      <c r="M24" s="35">
        <f>ROUND(角色属性!$AL30,0)</f>
        <v>536</v>
      </c>
      <c r="N24" s="35">
        <f>ROUND(角色属性!$AL30,0)</f>
        <v>536</v>
      </c>
      <c r="O24" s="35">
        <f>ROUND(角色属性!$AL30,0)</f>
        <v>536</v>
      </c>
      <c r="P24" s="35">
        <f>ROUND(角色属性!$AL30,0)</f>
        <v>536</v>
      </c>
      <c r="Q24" s="35">
        <f>ROUND(角色属性!$AL30,0)</f>
        <v>536</v>
      </c>
      <c r="R24" s="35">
        <f>ROUND(角色属性!$AL30,0)</f>
        <v>536</v>
      </c>
      <c r="S24" s="35">
        <f>ROUND(角色属性!$AL30,0)</f>
        <v>536</v>
      </c>
      <c r="T24" s="35">
        <f>ROUND(角色属性!$AL30,0)</f>
        <v>536</v>
      </c>
      <c r="U24" s="35">
        <f>ROUND(角色属性!$AL30,0)</f>
        <v>536</v>
      </c>
      <c r="V24" s="35">
        <f>ROUND(角色属性!$AL30,0)</f>
        <v>536</v>
      </c>
      <c r="W24" s="35">
        <f>ROUND(角色属性!$AL30,0)</f>
        <v>536</v>
      </c>
      <c r="X24" s="35">
        <f>ROUND(角色属性!$AL30,0)</f>
        <v>536</v>
      </c>
      <c r="Y24" s="35">
        <f>ROUND(角色属性!$AL30,0)</f>
        <v>536</v>
      </c>
      <c r="Z24" s="35">
        <f>ROUND(角色属性!$AL30,0)</f>
        <v>536</v>
      </c>
    </row>
    <row r="25" spans="1:26" x14ac:dyDescent="0.15">
      <c r="A25" s="37">
        <f>[2]技能伤害!$T26</f>
        <v>1.5121477101100933</v>
      </c>
      <c r="B25" s="37"/>
      <c r="D25" s="1">
        <v>24</v>
      </c>
      <c r="E25" s="35">
        <f>ROUND(角色属性!$AL31*A25,0)</f>
        <v>876</v>
      </c>
      <c r="F25" s="35">
        <f>ROUND(角色属性!$AL31,0)</f>
        <v>579</v>
      </c>
      <c r="G25" s="35">
        <f>ROUND(角色属性!$AL31,0)</f>
        <v>579</v>
      </c>
      <c r="H25" s="35">
        <f>ROUND(角色属性!$AL31,0)</f>
        <v>579</v>
      </c>
      <c r="I25" s="35">
        <f>ROUND(角色属性!$AL31,0)</f>
        <v>579</v>
      </c>
      <c r="J25" s="35">
        <f>ROUND(角色属性!$AL31,0)</f>
        <v>579</v>
      </c>
      <c r="K25" s="35">
        <f>ROUND(角色属性!$AL31,0)</f>
        <v>579</v>
      </c>
      <c r="L25" s="35">
        <f>ROUND(角色属性!$AL31,0)</f>
        <v>579</v>
      </c>
      <c r="M25" s="35">
        <f>ROUND(角色属性!$AL31,0)</f>
        <v>579</v>
      </c>
      <c r="N25" s="35">
        <f>ROUND(角色属性!$AL31,0)</f>
        <v>579</v>
      </c>
      <c r="O25" s="35">
        <f>ROUND(角色属性!$AL31,0)</f>
        <v>579</v>
      </c>
      <c r="P25" s="35">
        <f>ROUND(角色属性!$AL31,0)</f>
        <v>579</v>
      </c>
      <c r="Q25" s="35">
        <f>ROUND(角色属性!$AL31,0)</f>
        <v>579</v>
      </c>
      <c r="R25" s="35">
        <f>ROUND(角色属性!$AL31,0)</f>
        <v>579</v>
      </c>
      <c r="S25" s="35">
        <f>ROUND(角色属性!$AL31,0)</f>
        <v>579</v>
      </c>
      <c r="T25" s="35">
        <f>ROUND(角色属性!$AL31,0)</f>
        <v>579</v>
      </c>
      <c r="U25" s="35">
        <f>ROUND(角色属性!$AL31,0)</f>
        <v>579</v>
      </c>
      <c r="V25" s="35">
        <f>ROUND(角色属性!$AL31,0)</f>
        <v>579</v>
      </c>
      <c r="W25" s="35">
        <f>ROUND(角色属性!$AL31,0)</f>
        <v>579</v>
      </c>
      <c r="X25" s="35">
        <f>ROUND(角色属性!$AL31,0)</f>
        <v>579</v>
      </c>
      <c r="Y25" s="35">
        <f>ROUND(角色属性!$AL31,0)</f>
        <v>579</v>
      </c>
      <c r="Z25" s="35">
        <f>ROUND(角色属性!$AL31,0)</f>
        <v>579</v>
      </c>
    </row>
    <row r="26" spans="1:26" x14ac:dyDescent="0.15">
      <c r="A26" s="37">
        <f>[2]技能伤害!$T27</f>
        <v>1.5386301318735036</v>
      </c>
      <c r="B26" s="37"/>
      <c r="D26" s="1">
        <v>25</v>
      </c>
      <c r="E26" s="35">
        <f>ROUND(角色属性!$AL32*A26,0)</f>
        <v>962</v>
      </c>
      <c r="F26" s="35">
        <f>ROUND(角色属性!$AL32,0)</f>
        <v>625</v>
      </c>
      <c r="G26" s="35">
        <f>ROUND(角色属性!$AL32,0)</f>
        <v>625</v>
      </c>
      <c r="H26" s="35">
        <f>ROUND(角色属性!$AL32,0)</f>
        <v>625</v>
      </c>
      <c r="I26" s="35">
        <f>ROUND(角色属性!$AL32,0)</f>
        <v>625</v>
      </c>
      <c r="J26" s="35">
        <f>ROUND(角色属性!$AL32,0)</f>
        <v>625</v>
      </c>
      <c r="K26" s="35">
        <f>ROUND(角色属性!$AL32,0)</f>
        <v>625</v>
      </c>
      <c r="L26" s="35">
        <f>ROUND(角色属性!$AL32,0)</f>
        <v>625</v>
      </c>
      <c r="M26" s="35">
        <f>ROUND(角色属性!$AL32,0)</f>
        <v>625</v>
      </c>
      <c r="N26" s="35">
        <f>ROUND(角色属性!$AL32,0)</f>
        <v>625</v>
      </c>
      <c r="O26" s="35">
        <f>ROUND(角色属性!$AL32,0)</f>
        <v>625</v>
      </c>
      <c r="P26" s="35">
        <f>ROUND(角色属性!$AL32,0)</f>
        <v>625</v>
      </c>
      <c r="Q26" s="35">
        <f>ROUND(角色属性!$AL32,0)</f>
        <v>625</v>
      </c>
      <c r="R26" s="35">
        <f>ROUND(角色属性!$AL32,0)</f>
        <v>625</v>
      </c>
      <c r="S26" s="35">
        <f>ROUND(角色属性!$AL32,0)</f>
        <v>625</v>
      </c>
      <c r="T26" s="35">
        <f>ROUND(角色属性!$AL32,0)</f>
        <v>625</v>
      </c>
      <c r="U26" s="35">
        <f>ROUND(角色属性!$AL32,0)</f>
        <v>625</v>
      </c>
      <c r="V26" s="35">
        <f>ROUND(角色属性!$AL32,0)</f>
        <v>625</v>
      </c>
      <c r="W26" s="35">
        <f>ROUND(角色属性!$AL32,0)</f>
        <v>625</v>
      </c>
      <c r="X26" s="35">
        <f>ROUND(角色属性!$AL32,0)</f>
        <v>625</v>
      </c>
      <c r="Y26" s="35">
        <f>ROUND(角色属性!$AL32,0)</f>
        <v>625</v>
      </c>
      <c r="Z26" s="35">
        <f>ROUND(角色属性!$AL32,0)</f>
        <v>625</v>
      </c>
    </row>
    <row r="27" spans="1:26" x14ac:dyDescent="0.15">
      <c r="A27" s="37">
        <f>[2]技能伤害!$T28</f>
        <v>1.5618300483925776</v>
      </c>
      <c r="B27" s="37"/>
      <c r="D27" s="1">
        <v>26</v>
      </c>
      <c r="E27" s="35">
        <f>ROUND(角色属性!$AL33*A27,0)</f>
        <v>1051</v>
      </c>
      <c r="F27" s="35">
        <f>ROUND(角色属性!$AL33,0)</f>
        <v>673</v>
      </c>
      <c r="G27" s="35">
        <f>ROUND(角色属性!$AL33,0)</f>
        <v>673</v>
      </c>
      <c r="H27" s="35">
        <f>ROUND(角色属性!$AL33,0)</f>
        <v>673</v>
      </c>
      <c r="I27" s="35">
        <f>ROUND(角色属性!$AL33,0)</f>
        <v>673</v>
      </c>
      <c r="J27" s="35">
        <f>ROUND(角色属性!$AL33,0)</f>
        <v>673</v>
      </c>
      <c r="K27" s="35">
        <f>ROUND(角色属性!$AL33,0)</f>
        <v>673</v>
      </c>
      <c r="L27" s="35">
        <f>ROUND(角色属性!$AL33,0)</f>
        <v>673</v>
      </c>
      <c r="M27" s="35">
        <f>ROUND(角色属性!$AL33,0)</f>
        <v>673</v>
      </c>
      <c r="N27" s="35">
        <f>ROUND(角色属性!$AL33,0)</f>
        <v>673</v>
      </c>
      <c r="O27" s="35">
        <f>ROUND(角色属性!$AL33,0)</f>
        <v>673</v>
      </c>
      <c r="P27" s="35">
        <f>ROUND(角色属性!$AL33,0)</f>
        <v>673</v>
      </c>
      <c r="Q27" s="35">
        <f>ROUND(角色属性!$AL33,0)</f>
        <v>673</v>
      </c>
      <c r="R27" s="35">
        <f>ROUND(角色属性!$AL33,0)</f>
        <v>673</v>
      </c>
      <c r="S27" s="35">
        <f>ROUND(角色属性!$AL33,0)</f>
        <v>673</v>
      </c>
      <c r="T27" s="35">
        <f>ROUND(角色属性!$AL33,0)</f>
        <v>673</v>
      </c>
      <c r="U27" s="35">
        <f>ROUND(角色属性!$AL33,0)</f>
        <v>673</v>
      </c>
      <c r="V27" s="35">
        <f>ROUND(角色属性!$AL33,0)</f>
        <v>673</v>
      </c>
      <c r="W27" s="35">
        <f>ROUND(角色属性!$AL33,0)</f>
        <v>673</v>
      </c>
      <c r="X27" s="35">
        <f>ROUND(角色属性!$AL33,0)</f>
        <v>673</v>
      </c>
      <c r="Y27" s="35">
        <f>ROUND(角色属性!$AL33,0)</f>
        <v>673</v>
      </c>
      <c r="Z27" s="35">
        <f>ROUND(角色属性!$AL33,0)</f>
        <v>673</v>
      </c>
    </row>
    <row r="28" spans="1:26" x14ac:dyDescent="0.15">
      <c r="A28" s="37">
        <f>[2]技能伤害!$T29</f>
        <v>1.5875363529133171</v>
      </c>
      <c r="B28" s="37"/>
      <c r="D28" s="1">
        <v>27</v>
      </c>
      <c r="E28" s="35">
        <f>ROUND(角色属性!$AL34*A28,0)</f>
        <v>1149</v>
      </c>
      <c r="F28" s="35">
        <f>ROUND(角色属性!$AL34,0)</f>
        <v>724</v>
      </c>
      <c r="G28" s="35">
        <f>ROUND(角色属性!$AL34,0)</f>
        <v>724</v>
      </c>
      <c r="H28" s="35">
        <f>ROUND(角色属性!$AL34,0)</f>
        <v>724</v>
      </c>
      <c r="I28" s="35">
        <f>ROUND(角色属性!$AL34,0)</f>
        <v>724</v>
      </c>
      <c r="J28" s="35">
        <f>ROUND(角色属性!$AL34,0)</f>
        <v>724</v>
      </c>
      <c r="K28" s="35">
        <f>ROUND(角色属性!$AL34,0)</f>
        <v>724</v>
      </c>
      <c r="L28" s="35">
        <f>ROUND(角色属性!$AL34,0)</f>
        <v>724</v>
      </c>
      <c r="M28" s="35">
        <f>ROUND(角色属性!$AL34,0)</f>
        <v>724</v>
      </c>
      <c r="N28" s="35">
        <f>ROUND(角色属性!$AL34,0)</f>
        <v>724</v>
      </c>
      <c r="O28" s="35">
        <f>ROUND(角色属性!$AL34,0)</f>
        <v>724</v>
      </c>
      <c r="P28" s="35">
        <f>ROUND(角色属性!$AL34,0)</f>
        <v>724</v>
      </c>
      <c r="Q28" s="35">
        <f>ROUND(角色属性!$AL34,0)</f>
        <v>724</v>
      </c>
      <c r="R28" s="35">
        <f>ROUND(角色属性!$AL34,0)</f>
        <v>724</v>
      </c>
      <c r="S28" s="35">
        <f>ROUND(角色属性!$AL34,0)</f>
        <v>724</v>
      </c>
      <c r="T28" s="35">
        <f>ROUND(角色属性!$AL34,0)</f>
        <v>724</v>
      </c>
      <c r="U28" s="35">
        <f>ROUND(角色属性!$AL34,0)</f>
        <v>724</v>
      </c>
      <c r="V28" s="35">
        <f>ROUND(角色属性!$AL34,0)</f>
        <v>724</v>
      </c>
      <c r="W28" s="35">
        <f>ROUND(角色属性!$AL34,0)</f>
        <v>724</v>
      </c>
      <c r="X28" s="35">
        <f>ROUND(角色属性!$AL34,0)</f>
        <v>724</v>
      </c>
      <c r="Y28" s="35">
        <f>ROUND(角色属性!$AL34,0)</f>
        <v>724</v>
      </c>
      <c r="Z28" s="35">
        <f>ROUND(角色属性!$AL34,0)</f>
        <v>724</v>
      </c>
    </row>
    <row r="29" spans="1:26" x14ac:dyDescent="0.15">
      <c r="A29" s="37">
        <f>[2]技能伤害!$T30</f>
        <v>1.6142169609973041</v>
      </c>
      <c r="B29" s="37"/>
      <c r="D29" s="1">
        <v>28</v>
      </c>
      <c r="E29" s="35">
        <f>ROUND(角色属性!$AL35*A29,0)</f>
        <v>1256</v>
      </c>
      <c r="F29" s="35">
        <f>ROUND(角色属性!$AL35,0)</f>
        <v>778</v>
      </c>
      <c r="G29" s="35">
        <f>ROUND(角色属性!$AL35,0)</f>
        <v>778</v>
      </c>
      <c r="H29" s="35">
        <f>ROUND(角色属性!$AL35,0)</f>
        <v>778</v>
      </c>
      <c r="I29" s="35">
        <f>ROUND(角色属性!$AL35,0)</f>
        <v>778</v>
      </c>
      <c r="J29" s="35">
        <f>ROUND(角色属性!$AL35,0)</f>
        <v>778</v>
      </c>
      <c r="K29" s="35">
        <f>ROUND(角色属性!$AL35,0)</f>
        <v>778</v>
      </c>
      <c r="L29" s="35">
        <f>ROUND(角色属性!$AL35,0)</f>
        <v>778</v>
      </c>
      <c r="M29" s="35">
        <f>ROUND(角色属性!$AL35,0)</f>
        <v>778</v>
      </c>
      <c r="N29" s="35">
        <f>ROUND(角色属性!$AL35,0)</f>
        <v>778</v>
      </c>
      <c r="O29" s="35">
        <f>ROUND(角色属性!$AL35,0)</f>
        <v>778</v>
      </c>
      <c r="P29" s="35">
        <f>ROUND(角色属性!$AL35,0)</f>
        <v>778</v>
      </c>
      <c r="Q29" s="35">
        <f>ROUND(角色属性!$AL35,0)</f>
        <v>778</v>
      </c>
      <c r="R29" s="35">
        <f>ROUND(角色属性!$AL35,0)</f>
        <v>778</v>
      </c>
      <c r="S29" s="35">
        <f>ROUND(角色属性!$AL35,0)</f>
        <v>778</v>
      </c>
      <c r="T29" s="35">
        <f>ROUND(角色属性!$AL35,0)</f>
        <v>778</v>
      </c>
      <c r="U29" s="35">
        <f>ROUND(角色属性!$AL35,0)</f>
        <v>778</v>
      </c>
      <c r="V29" s="35">
        <f>ROUND(角色属性!$AL35,0)</f>
        <v>778</v>
      </c>
      <c r="W29" s="35">
        <f>ROUND(角色属性!$AL35,0)</f>
        <v>778</v>
      </c>
      <c r="X29" s="35">
        <f>ROUND(角色属性!$AL35,0)</f>
        <v>778</v>
      </c>
      <c r="Y29" s="35">
        <f>ROUND(角色属性!$AL35,0)</f>
        <v>778</v>
      </c>
      <c r="Z29" s="35">
        <f>ROUND(角色属性!$AL35,0)</f>
        <v>778</v>
      </c>
    </row>
    <row r="30" spans="1:26" x14ac:dyDescent="0.15">
      <c r="A30" s="37">
        <f>[2]技能伤害!$T31</f>
        <v>1.6384550007838861</v>
      </c>
      <c r="B30" s="37"/>
      <c r="D30" s="1">
        <v>29</v>
      </c>
      <c r="E30" s="35">
        <f>ROUND(角色属性!$AL36*A30,0)</f>
        <v>1370</v>
      </c>
      <c r="F30" s="35">
        <f>ROUND(角色属性!$AL36,0)</f>
        <v>836</v>
      </c>
      <c r="G30" s="35">
        <f>ROUND(角色属性!$AL36,0)</f>
        <v>836</v>
      </c>
      <c r="H30" s="35">
        <f>ROUND(角色属性!$AL36,0)</f>
        <v>836</v>
      </c>
      <c r="I30" s="35">
        <f>ROUND(角色属性!$AL36,0)</f>
        <v>836</v>
      </c>
      <c r="J30" s="35">
        <f>ROUND(角色属性!$AL36,0)</f>
        <v>836</v>
      </c>
      <c r="K30" s="35">
        <f>ROUND(角色属性!$AL36,0)</f>
        <v>836</v>
      </c>
      <c r="L30" s="35">
        <f>ROUND(角色属性!$AL36,0)</f>
        <v>836</v>
      </c>
      <c r="M30" s="35">
        <f>ROUND(角色属性!$AL36,0)</f>
        <v>836</v>
      </c>
      <c r="N30" s="35">
        <f>ROUND(角色属性!$AL36,0)</f>
        <v>836</v>
      </c>
      <c r="O30" s="35">
        <f>ROUND(角色属性!$AL36,0)</f>
        <v>836</v>
      </c>
      <c r="P30" s="35">
        <f>ROUND(角色属性!$AL36,0)</f>
        <v>836</v>
      </c>
      <c r="Q30" s="35">
        <f>ROUND(角色属性!$AL36,0)</f>
        <v>836</v>
      </c>
      <c r="R30" s="35">
        <f>ROUND(角色属性!$AL36,0)</f>
        <v>836</v>
      </c>
      <c r="S30" s="35">
        <f>ROUND(角色属性!$AL36,0)</f>
        <v>836</v>
      </c>
      <c r="T30" s="35">
        <f>ROUND(角色属性!$AL36,0)</f>
        <v>836</v>
      </c>
      <c r="U30" s="35">
        <f>ROUND(角色属性!$AL36,0)</f>
        <v>836</v>
      </c>
      <c r="V30" s="35">
        <f>ROUND(角色属性!$AL36,0)</f>
        <v>836</v>
      </c>
      <c r="W30" s="35">
        <f>ROUND(角色属性!$AL36,0)</f>
        <v>836</v>
      </c>
      <c r="X30" s="35">
        <f>ROUND(角色属性!$AL36,0)</f>
        <v>836</v>
      </c>
      <c r="Y30" s="35">
        <f>ROUND(角色属性!$AL36,0)</f>
        <v>836</v>
      </c>
      <c r="Z30" s="35">
        <f>ROUND(角色属性!$AL36,0)</f>
        <v>836</v>
      </c>
    </row>
    <row r="31" spans="1:26" x14ac:dyDescent="0.15">
      <c r="A31" s="37">
        <f>[2]技能伤害!$T32</f>
        <v>1.665013553462638</v>
      </c>
      <c r="B31" s="37"/>
      <c r="D31" s="1">
        <v>30</v>
      </c>
      <c r="E31" s="35">
        <f>ROUND(角色属性!$AL37*A31,0)</f>
        <v>1492</v>
      </c>
      <c r="F31" s="35">
        <f>ROUND(角色属性!$AL37,0)</f>
        <v>896</v>
      </c>
      <c r="G31" s="35">
        <f>ROUND(角色属性!$AL37,0)</f>
        <v>896</v>
      </c>
      <c r="H31" s="35">
        <f>ROUND(角色属性!$AL37,0)</f>
        <v>896</v>
      </c>
      <c r="I31" s="35">
        <f>ROUND(角色属性!$AL37,0)</f>
        <v>896</v>
      </c>
      <c r="J31" s="35">
        <f>ROUND(角色属性!$AL37,0)</f>
        <v>896</v>
      </c>
      <c r="K31" s="35">
        <f>ROUND(角色属性!$AL37,0)</f>
        <v>896</v>
      </c>
      <c r="L31" s="35">
        <f>ROUND(角色属性!$AL37,0)</f>
        <v>896</v>
      </c>
      <c r="M31" s="35">
        <f>ROUND(角色属性!$AL37,0)</f>
        <v>896</v>
      </c>
      <c r="N31" s="35">
        <f>ROUND(角色属性!$AL37,0)</f>
        <v>896</v>
      </c>
      <c r="O31" s="35">
        <f>ROUND(角色属性!$AL37,0)</f>
        <v>896</v>
      </c>
      <c r="P31" s="35">
        <f>ROUND(角色属性!$AL37,0)</f>
        <v>896</v>
      </c>
      <c r="Q31" s="35">
        <f>ROUND(角色属性!$AL37,0)</f>
        <v>896</v>
      </c>
      <c r="R31" s="35">
        <f>ROUND(角色属性!$AL37,0)</f>
        <v>896</v>
      </c>
      <c r="S31" s="35">
        <f>ROUND(角色属性!$AL37,0)</f>
        <v>896</v>
      </c>
      <c r="T31" s="35">
        <f>ROUND(角色属性!$AL37,0)</f>
        <v>896</v>
      </c>
      <c r="U31" s="35">
        <f>ROUND(角色属性!$AL37,0)</f>
        <v>896</v>
      </c>
      <c r="V31" s="35">
        <f>ROUND(角色属性!$AL37,0)</f>
        <v>896</v>
      </c>
      <c r="W31" s="35">
        <f>ROUND(角色属性!$AL37,0)</f>
        <v>896</v>
      </c>
      <c r="X31" s="35">
        <f>ROUND(角色属性!$AL37,0)</f>
        <v>896</v>
      </c>
      <c r="Y31" s="35">
        <f>ROUND(角色属性!$AL37,0)</f>
        <v>896</v>
      </c>
      <c r="Z31" s="35">
        <f>ROUND(角色属性!$AL37,0)</f>
        <v>896</v>
      </c>
    </row>
    <row r="32" spans="1:26" x14ac:dyDescent="0.15">
      <c r="A32" s="37">
        <f>[2]技能伤害!$T33</f>
        <v>1.6905718052700183</v>
      </c>
      <c r="B32" s="37"/>
      <c r="D32" s="1">
        <v>31</v>
      </c>
      <c r="E32" s="35">
        <f>ROUND(角色属性!$AL38*A32,0)</f>
        <v>1621</v>
      </c>
      <c r="F32" s="35">
        <f>ROUND(角色属性!$AL38,0)</f>
        <v>959</v>
      </c>
      <c r="G32" s="35">
        <f>ROUND(角色属性!$AL38,0)</f>
        <v>959</v>
      </c>
      <c r="H32" s="35">
        <f>ROUND(角色属性!$AL38,0)</f>
        <v>959</v>
      </c>
      <c r="I32" s="35">
        <f>ROUND(角色属性!$AL38,0)</f>
        <v>959</v>
      </c>
      <c r="J32" s="35">
        <f>ROUND(角色属性!$AL38,0)</f>
        <v>959</v>
      </c>
      <c r="K32" s="35">
        <f>ROUND(角色属性!$AL38,0)</f>
        <v>959</v>
      </c>
      <c r="L32" s="35">
        <f>ROUND(角色属性!$AL38,0)</f>
        <v>959</v>
      </c>
      <c r="M32" s="35">
        <f>ROUND(角色属性!$AL38,0)</f>
        <v>959</v>
      </c>
      <c r="N32" s="35">
        <f>ROUND(角色属性!$AL38,0)</f>
        <v>959</v>
      </c>
      <c r="O32" s="35">
        <f>ROUND(角色属性!$AL38,0)</f>
        <v>959</v>
      </c>
      <c r="P32" s="35">
        <f>ROUND(角色属性!$AL38,0)</f>
        <v>959</v>
      </c>
      <c r="Q32" s="35">
        <f>ROUND(角色属性!$AL38,0)</f>
        <v>959</v>
      </c>
      <c r="R32" s="35">
        <f>ROUND(角色属性!$AL38,0)</f>
        <v>959</v>
      </c>
      <c r="S32" s="35">
        <f>ROUND(角色属性!$AL38,0)</f>
        <v>959</v>
      </c>
      <c r="T32" s="35">
        <f>ROUND(角色属性!$AL38,0)</f>
        <v>959</v>
      </c>
      <c r="U32" s="35">
        <f>ROUND(角色属性!$AL38,0)</f>
        <v>959</v>
      </c>
      <c r="V32" s="35">
        <f>ROUND(角色属性!$AL38,0)</f>
        <v>959</v>
      </c>
      <c r="W32" s="35">
        <f>ROUND(角色属性!$AL38,0)</f>
        <v>959</v>
      </c>
      <c r="X32" s="35">
        <f>ROUND(角色属性!$AL38,0)</f>
        <v>959</v>
      </c>
      <c r="Y32" s="35">
        <f>ROUND(角色属性!$AL38,0)</f>
        <v>959</v>
      </c>
      <c r="Z32" s="35">
        <f>ROUND(角色属性!$AL38,0)</f>
        <v>959</v>
      </c>
    </row>
    <row r="33" spans="1:26" x14ac:dyDescent="0.15">
      <c r="A33" s="37">
        <f>[2]技能伤害!$T34</f>
        <v>1.7159932941597877</v>
      </c>
      <c r="B33" s="37"/>
      <c r="D33" s="1">
        <v>32</v>
      </c>
      <c r="E33" s="35">
        <f>ROUND(角色属性!$AL39*A33,0)</f>
        <v>1761</v>
      </c>
      <c r="F33" s="35">
        <f>ROUND(角色属性!$AL39,0)</f>
        <v>1026</v>
      </c>
      <c r="G33" s="35">
        <f>ROUND(角色属性!$AL39,0)</f>
        <v>1026</v>
      </c>
      <c r="H33" s="35">
        <f>ROUND(角色属性!$AL39,0)</f>
        <v>1026</v>
      </c>
      <c r="I33" s="35">
        <f>ROUND(角色属性!$AL39,0)</f>
        <v>1026</v>
      </c>
      <c r="J33" s="35">
        <f>ROUND(角色属性!$AL39,0)</f>
        <v>1026</v>
      </c>
      <c r="K33" s="35">
        <f>ROUND(角色属性!$AL39,0)</f>
        <v>1026</v>
      </c>
      <c r="L33" s="35">
        <f>ROUND(角色属性!$AL39,0)</f>
        <v>1026</v>
      </c>
      <c r="M33" s="35">
        <f>ROUND(角色属性!$AL39,0)</f>
        <v>1026</v>
      </c>
      <c r="N33" s="35">
        <f>ROUND(角色属性!$AL39,0)</f>
        <v>1026</v>
      </c>
      <c r="O33" s="35">
        <f>ROUND(角色属性!$AL39,0)</f>
        <v>1026</v>
      </c>
      <c r="P33" s="35">
        <f>ROUND(角色属性!$AL39,0)</f>
        <v>1026</v>
      </c>
      <c r="Q33" s="35">
        <f>ROUND(角色属性!$AL39,0)</f>
        <v>1026</v>
      </c>
      <c r="R33" s="35">
        <f>ROUND(角色属性!$AL39,0)</f>
        <v>1026</v>
      </c>
      <c r="S33" s="35">
        <f>ROUND(角色属性!$AL39,0)</f>
        <v>1026</v>
      </c>
      <c r="T33" s="35">
        <f>ROUND(角色属性!$AL39,0)</f>
        <v>1026</v>
      </c>
      <c r="U33" s="35">
        <f>ROUND(角色属性!$AL39,0)</f>
        <v>1026</v>
      </c>
      <c r="V33" s="35">
        <f>ROUND(角色属性!$AL39,0)</f>
        <v>1026</v>
      </c>
      <c r="W33" s="35">
        <f>ROUND(角色属性!$AL39,0)</f>
        <v>1026</v>
      </c>
      <c r="X33" s="35">
        <f>ROUND(角色属性!$AL39,0)</f>
        <v>1026</v>
      </c>
      <c r="Y33" s="35">
        <f>ROUND(角色属性!$AL39,0)</f>
        <v>1026</v>
      </c>
      <c r="Z33" s="35">
        <f>ROUND(角色属性!$AL39,0)</f>
        <v>1026</v>
      </c>
    </row>
    <row r="34" spans="1:26" x14ac:dyDescent="0.15">
      <c r="A34" s="37">
        <f>[2]技能伤害!$T35</f>
        <v>1.7417054026237437</v>
      </c>
      <c r="B34" s="37"/>
      <c r="D34" s="1">
        <v>33</v>
      </c>
      <c r="E34" s="35">
        <f>ROUND(角色属性!$AL40*A34,0)</f>
        <v>1911</v>
      </c>
      <c r="F34" s="35">
        <f>ROUND(角色属性!$AL40,0)</f>
        <v>1097</v>
      </c>
      <c r="G34" s="35">
        <f>ROUND(角色属性!$AL40,0)</f>
        <v>1097</v>
      </c>
      <c r="H34" s="35">
        <f>ROUND(角色属性!$AL40,0)</f>
        <v>1097</v>
      </c>
      <c r="I34" s="35">
        <f>ROUND(角色属性!$AL40,0)</f>
        <v>1097</v>
      </c>
      <c r="J34" s="35">
        <f>ROUND(角色属性!$AL40,0)</f>
        <v>1097</v>
      </c>
      <c r="K34" s="35">
        <f>ROUND(角色属性!$AL40,0)</f>
        <v>1097</v>
      </c>
      <c r="L34" s="35">
        <f>ROUND(角色属性!$AL40,0)</f>
        <v>1097</v>
      </c>
      <c r="M34" s="35">
        <f>ROUND(角色属性!$AL40,0)</f>
        <v>1097</v>
      </c>
      <c r="N34" s="35">
        <f>ROUND(角色属性!$AL40,0)</f>
        <v>1097</v>
      </c>
      <c r="O34" s="35">
        <f>ROUND(角色属性!$AL40,0)</f>
        <v>1097</v>
      </c>
      <c r="P34" s="35">
        <f>ROUND(角色属性!$AL40,0)</f>
        <v>1097</v>
      </c>
      <c r="Q34" s="35">
        <f>ROUND(角色属性!$AL40,0)</f>
        <v>1097</v>
      </c>
      <c r="R34" s="35">
        <f>ROUND(角色属性!$AL40,0)</f>
        <v>1097</v>
      </c>
      <c r="S34" s="35">
        <f>ROUND(角色属性!$AL40,0)</f>
        <v>1097</v>
      </c>
      <c r="T34" s="35">
        <f>ROUND(角色属性!$AL40,0)</f>
        <v>1097</v>
      </c>
      <c r="U34" s="35">
        <f>ROUND(角色属性!$AL40,0)</f>
        <v>1097</v>
      </c>
      <c r="V34" s="35">
        <f>ROUND(角色属性!$AL40,0)</f>
        <v>1097</v>
      </c>
      <c r="W34" s="35">
        <f>ROUND(角色属性!$AL40,0)</f>
        <v>1097</v>
      </c>
      <c r="X34" s="35">
        <f>ROUND(角色属性!$AL40,0)</f>
        <v>1097</v>
      </c>
      <c r="Y34" s="35">
        <f>ROUND(角色属性!$AL40,0)</f>
        <v>1097</v>
      </c>
      <c r="Z34" s="35">
        <f>ROUND(角色属性!$AL40,0)</f>
        <v>1097</v>
      </c>
    </row>
    <row r="35" spans="1:26" x14ac:dyDescent="0.15">
      <c r="A35" s="37">
        <f>[2]技能伤害!$T36</f>
        <v>1.7691787505681</v>
      </c>
      <c r="B35" s="37"/>
      <c r="D35" s="1">
        <v>34</v>
      </c>
      <c r="E35" s="35">
        <f>ROUND(角色属性!$AL41*A35,0)</f>
        <v>2070</v>
      </c>
      <c r="F35" s="35">
        <f>ROUND(角色属性!$AL41,0)</f>
        <v>1170</v>
      </c>
      <c r="G35" s="35">
        <f>ROUND(角色属性!$AL41,0)</f>
        <v>1170</v>
      </c>
      <c r="H35" s="35">
        <f>ROUND(角色属性!$AL41,0)</f>
        <v>1170</v>
      </c>
      <c r="I35" s="35">
        <f>ROUND(角色属性!$AL41,0)</f>
        <v>1170</v>
      </c>
      <c r="J35" s="35">
        <f>ROUND(角色属性!$AL41,0)</f>
        <v>1170</v>
      </c>
      <c r="K35" s="35">
        <f>ROUND(角色属性!$AL41,0)</f>
        <v>1170</v>
      </c>
      <c r="L35" s="35">
        <f>ROUND(角色属性!$AL41,0)</f>
        <v>1170</v>
      </c>
      <c r="M35" s="35">
        <f>ROUND(角色属性!$AL41,0)</f>
        <v>1170</v>
      </c>
      <c r="N35" s="35">
        <f>ROUND(角色属性!$AL41,0)</f>
        <v>1170</v>
      </c>
      <c r="O35" s="35">
        <f>ROUND(角色属性!$AL41,0)</f>
        <v>1170</v>
      </c>
      <c r="P35" s="35">
        <f>ROUND(角色属性!$AL41,0)</f>
        <v>1170</v>
      </c>
      <c r="Q35" s="35">
        <f>ROUND(角色属性!$AL41,0)</f>
        <v>1170</v>
      </c>
      <c r="R35" s="35">
        <f>ROUND(角色属性!$AL41,0)</f>
        <v>1170</v>
      </c>
      <c r="S35" s="35">
        <f>ROUND(角色属性!$AL41,0)</f>
        <v>1170</v>
      </c>
      <c r="T35" s="35">
        <f>ROUND(角色属性!$AL41,0)</f>
        <v>1170</v>
      </c>
      <c r="U35" s="35">
        <f>ROUND(角色属性!$AL41,0)</f>
        <v>1170</v>
      </c>
      <c r="V35" s="35">
        <f>ROUND(角色属性!$AL41,0)</f>
        <v>1170</v>
      </c>
      <c r="W35" s="35">
        <f>ROUND(角色属性!$AL41,0)</f>
        <v>1170</v>
      </c>
      <c r="X35" s="35">
        <f>ROUND(角色属性!$AL41,0)</f>
        <v>1170</v>
      </c>
      <c r="Y35" s="35">
        <f>ROUND(角色属性!$AL41,0)</f>
        <v>1170</v>
      </c>
      <c r="Z35" s="35">
        <f>ROUND(角色属性!$AL41,0)</f>
        <v>1170</v>
      </c>
    </row>
    <row r="36" spans="1:26" x14ac:dyDescent="0.15">
      <c r="A36" s="37">
        <f>[2]技能伤害!$T37</f>
        <v>1.7955186258447489</v>
      </c>
      <c r="B36" s="37"/>
      <c r="D36" s="1">
        <v>35</v>
      </c>
      <c r="E36" s="35">
        <f>ROUND(角色属性!$AL42*A36,0)</f>
        <v>2241</v>
      </c>
      <c r="F36" s="35">
        <f>ROUND(角色属性!$AL42,0)</f>
        <v>1248</v>
      </c>
      <c r="G36" s="35">
        <f>ROUND(角色属性!$AL42,0)</f>
        <v>1248</v>
      </c>
      <c r="H36" s="35">
        <f>ROUND(角色属性!$AL42,0)</f>
        <v>1248</v>
      </c>
      <c r="I36" s="35">
        <f>ROUND(角色属性!$AL42,0)</f>
        <v>1248</v>
      </c>
      <c r="J36" s="35">
        <f>ROUND(角色属性!$AL42,0)</f>
        <v>1248</v>
      </c>
      <c r="K36" s="35">
        <f>ROUND(角色属性!$AL42,0)</f>
        <v>1248</v>
      </c>
      <c r="L36" s="35">
        <f>ROUND(角色属性!$AL42,0)</f>
        <v>1248</v>
      </c>
      <c r="M36" s="35">
        <f>ROUND(角色属性!$AL42,0)</f>
        <v>1248</v>
      </c>
      <c r="N36" s="35">
        <f>ROUND(角色属性!$AL42,0)</f>
        <v>1248</v>
      </c>
      <c r="O36" s="35">
        <f>ROUND(角色属性!$AL42,0)</f>
        <v>1248</v>
      </c>
      <c r="P36" s="35">
        <f>ROUND(角色属性!$AL42,0)</f>
        <v>1248</v>
      </c>
      <c r="Q36" s="35">
        <f>ROUND(角色属性!$AL42,0)</f>
        <v>1248</v>
      </c>
      <c r="R36" s="35">
        <f>ROUND(角色属性!$AL42,0)</f>
        <v>1248</v>
      </c>
      <c r="S36" s="35">
        <f>ROUND(角色属性!$AL42,0)</f>
        <v>1248</v>
      </c>
      <c r="T36" s="35">
        <f>ROUND(角色属性!$AL42,0)</f>
        <v>1248</v>
      </c>
      <c r="U36" s="35">
        <f>ROUND(角色属性!$AL42,0)</f>
        <v>1248</v>
      </c>
      <c r="V36" s="35">
        <f>ROUND(角色属性!$AL42,0)</f>
        <v>1248</v>
      </c>
      <c r="W36" s="35">
        <f>ROUND(角色属性!$AL42,0)</f>
        <v>1248</v>
      </c>
      <c r="X36" s="35">
        <f>ROUND(角色属性!$AL42,0)</f>
        <v>1248</v>
      </c>
      <c r="Y36" s="35">
        <f>ROUND(角色属性!$AL42,0)</f>
        <v>1248</v>
      </c>
      <c r="Z36" s="35">
        <f>ROUND(角色属性!$AL42,0)</f>
        <v>1248</v>
      </c>
    </row>
    <row r="37" spans="1:26" x14ac:dyDescent="0.15">
      <c r="A37" s="37">
        <f>[2]技能伤害!$T38</f>
        <v>1.8222878262468905</v>
      </c>
      <c r="B37" s="37"/>
      <c r="D37" s="1">
        <v>36</v>
      </c>
      <c r="E37" s="35">
        <f>ROUND(角色属性!$AL43*A37,0)</f>
        <v>2422</v>
      </c>
      <c r="F37" s="35">
        <f>ROUND(角色属性!$AL43,0)</f>
        <v>1329</v>
      </c>
      <c r="G37" s="35">
        <f>ROUND(角色属性!$AL43,0)</f>
        <v>1329</v>
      </c>
      <c r="H37" s="35">
        <f>ROUND(角色属性!$AL43,0)</f>
        <v>1329</v>
      </c>
      <c r="I37" s="35">
        <f>ROUND(角色属性!$AL43,0)</f>
        <v>1329</v>
      </c>
      <c r="J37" s="35">
        <f>ROUND(角色属性!$AL43,0)</f>
        <v>1329</v>
      </c>
      <c r="K37" s="35">
        <f>ROUND(角色属性!$AL43,0)</f>
        <v>1329</v>
      </c>
      <c r="L37" s="35">
        <f>ROUND(角色属性!$AL43,0)</f>
        <v>1329</v>
      </c>
      <c r="M37" s="35">
        <f>ROUND(角色属性!$AL43,0)</f>
        <v>1329</v>
      </c>
      <c r="N37" s="35">
        <f>ROUND(角色属性!$AL43,0)</f>
        <v>1329</v>
      </c>
      <c r="O37" s="35">
        <f>ROUND(角色属性!$AL43,0)</f>
        <v>1329</v>
      </c>
      <c r="P37" s="35">
        <f>ROUND(角色属性!$AL43,0)</f>
        <v>1329</v>
      </c>
      <c r="Q37" s="35">
        <f>ROUND(角色属性!$AL43,0)</f>
        <v>1329</v>
      </c>
      <c r="R37" s="35">
        <f>ROUND(角色属性!$AL43,0)</f>
        <v>1329</v>
      </c>
      <c r="S37" s="35">
        <f>ROUND(角色属性!$AL43,0)</f>
        <v>1329</v>
      </c>
      <c r="T37" s="35">
        <f>ROUND(角色属性!$AL43,0)</f>
        <v>1329</v>
      </c>
      <c r="U37" s="35">
        <f>ROUND(角色属性!$AL43,0)</f>
        <v>1329</v>
      </c>
      <c r="V37" s="35">
        <f>ROUND(角色属性!$AL43,0)</f>
        <v>1329</v>
      </c>
      <c r="W37" s="35">
        <f>ROUND(角色属性!$AL43,0)</f>
        <v>1329</v>
      </c>
      <c r="X37" s="35">
        <f>ROUND(角色属性!$AL43,0)</f>
        <v>1329</v>
      </c>
      <c r="Y37" s="35">
        <f>ROUND(角色属性!$AL43,0)</f>
        <v>1329</v>
      </c>
      <c r="Z37" s="35">
        <f>ROUND(角色属性!$AL43,0)</f>
        <v>1329</v>
      </c>
    </row>
    <row r="38" spans="1:26" x14ac:dyDescent="0.15">
      <c r="A38" s="37">
        <f>[2]技能伤害!$T39</f>
        <v>1.8489692031864764</v>
      </c>
      <c r="B38" s="37"/>
      <c r="D38" s="1">
        <v>37</v>
      </c>
      <c r="E38" s="35">
        <f>ROUND(角色属性!$AL44*A38,0)</f>
        <v>2614</v>
      </c>
      <c r="F38" s="35">
        <f>ROUND(角色属性!$AL44,0)</f>
        <v>1414</v>
      </c>
      <c r="G38" s="35">
        <f>ROUND(角色属性!$AL44,0)</f>
        <v>1414</v>
      </c>
      <c r="H38" s="35">
        <f>ROUND(角色属性!$AL44,0)</f>
        <v>1414</v>
      </c>
      <c r="I38" s="35">
        <f>ROUND(角色属性!$AL44,0)</f>
        <v>1414</v>
      </c>
      <c r="J38" s="35">
        <f>ROUND(角色属性!$AL44,0)</f>
        <v>1414</v>
      </c>
      <c r="K38" s="35">
        <f>ROUND(角色属性!$AL44,0)</f>
        <v>1414</v>
      </c>
      <c r="L38" s="35">
        <f>ROUND(角色属性!$AL44,0)</f>
        <v>1414</v>
      </c>
      <c r="M38" s="35">
        <f>ROUND(角色属性!$AL44,0)</f>
        <v>1414</v>
      </c>
      <c r="N38" s="35">
        <f>ROUND(角色属性!$AL44,0)</f>
        <v>1414</v>
      </c>
      <c r="O38" s="35">
        <f>ROUND(角色属性!$AL44,0)</f>
        <v>1414</v>
      </c>
      <c r="P38" s="35">
        <f>ROUND(角色属性!$AL44,0)</f>
        <v>1414</v>
      </c>
      <c r="Q38" s="35">
        <f>ROUND(角色属性!$AL44,0)</f>
        <v>1414</v>
      </c>
      <c r="R38" s="35">
        <f>ROUND(角色属性!$AL44,0)</f>
        <v>1414</v>
      </c>
      <c r="S38" s="35">
        <f>ROUND(角色属性!$AL44,0)</f>
        <v>1414</v>
      </c>
      <c r="T38" s="35">
        <f>ROUND(角色属性!$AL44,0)</f>
        <v>1414</v>
      </c>
      <c r="U38" s="35">
        <f>ROUND(角色属性!$AL44,0)</f>
        <v>1414</v>
      </c>
      <c r="V38" s="35">
        <f>ROUND(角色属性!$AL44,0)</f>
        <v>1414</v>
      </c>
      <c r="W38" s="35">
        <f>ROUND(角色属性!$AL44,0)</f>
        <v>1414</v>
      </c>
      <c r="X38" s="35">
        <f>ROUND(角色属性!$AL44,0)</f>
        <v>1414</v>
      </c>
      <c r="Y38" s="35">
        <f>ROUND(角色属性!$AL44,0)</f>
        <v>1414</v>
      </c>
      <c r="Z38" s="35">
        <f>ROUND(角色属性!$AL44,0)</f>
        <v>1414</v>
      </c>
    </row>
    <row r="39" spans="1:26" x14ac:dyDescent="0.15">
      <c r="A39" s="37">
        <f>[2]技能伤害!$T40</f>
        <v>1.8773231968649648</v>
      </c>
      <c r="B39" s="37"/>
      <c r="D39" s="1">
        <v>38</v>
      </c>
      <c r="E39" s="35">
        <f>ROUND(角色属性!$AL45*A39,0)</f>
        <v>2822</v>
      </c>
      <c r="F39" s="35">
        <f>ROUND(角色属性!$AL45,0)</f>
        <v>1503</v>
      </c>
      <c r="G39" s="35">
        <f>ROUND(角色属性!$AL45,0)</f>
        <v>1503</v>
      </c>
      <c r="H39" s="35">
        <f>ROUND(角色属性!$AL45,0)</f>
        <v>1503</v>
      </c>
      <c r="I39" s="35">
        <f>ROUND(角色属性!$AL45,0)</f>
        <v>1503</v>
      </c>
      <c r="J39" s="35">
        <f>ROUND(角色属性!$AL45,0)</f>
        <v>1503</v>
      </c>
      <c r="K39" s="35">
        <f>ROUND(角色属性!$AL45,0)</f>
        <v>1503</v>
      </c>
      <c r="L39" s="35">
        <f>ROUND(角色属性!$AL45,0)</f>
        <v>1503</v>
      </c>
      <c r="M39" s="35">
        <f>ROUND(角色属性!$AL45,0)</f>
        <v>1503</v>
      </c>
      <c r="N39" s="35">
        <f>ROUND(角色属性!$AL45,0)</f>
        <v>1503</v>
      </c>
      <c r="O39" s="35">
        <f>ROUND(角色属性!$AL45,0)</f>
        <v>1503</v>
      </c>
      <c r="P39" s="35">
        <f>ROUND(角色属性!$AL45,0)</f>
        <v>1503</v>
      </c>
      <c r="Q39" s="35">
        <f>ROUND(角色属性!$AL45,0)</f>
        <v>1503</v>
      </c>
      <c r="R39" s="35">
        <f>ROUND(角色属性!$AL45,0)</f>
        <v>1503</v>
      </c>
      <c r="S39" s="35">
        <f>ROUND(角色属性!$AL45,0)</f>
        <v>1503</v>
      </c>
      <c r="T39" s="35">
        <f>ROUND(角色属性!$AL45,0)</f>
        <v>1503</v>
      </c>
      <c r="U39" s="35">
        <f>ROUND(角色属性!$AL45,0)</f>
        <v>1503</v>
      </c>
      <c r="V39" s="35">
        <f>ROUND(角色属性!$AL45,0)</f>
        <v>1503</v>
      </c>
      <c r="W39" s="35">
        <f>ROUND(角色属性!$AL45,0)</f>
        <v>1503</v>
      </c>
      <c r="X39" s="35">
        <f>ROUND(角色属性!$AL45,0)</f>
        <v>1503</v>
      </c>
      <c r="Y39" s="35">
        <f>ROUND(角色属性!$AL45,0)</f>
        <v>1503</v>
      </c>
      <c r="Z39" s="35">
        <f>ROUND(角色属性!$AL45,0)</f>
        <v>1503</v>
      </c>
    </row>
    <row r="40" spans="1:26" x14ac:dyDescent="0.15">
      <c r="A40" s="37">
        <f>[2]技能伤害!$T41</f>
        <v>1.9046877964266793</v>
      </c>
      <c r="B40" s="37"/>
      <c r="D40" s="1">
        <v>39</v>
      </c>
      <c r="E40" s="35">
        <f>ROUND(角色属性!$AL46*A40,0)</f>
        <v>3040</v>
      </c>
      <c r="F40" s="35">
        <f>ROUND(角色属性!$AL46,0)</f>
        <v>1596</v>
      </c>
      <c r="G40" s="35">
        <f>ROUND(角色属性!$AL46,0)</f>
        <v>1596</v>
      </c>
      <c r="H40" s="35">
        <f>ROUND(角色属性!$AL46,0)</f>
        <v>1596</v>
      </c>
      <c r="I40" s="35">
        <f>ROUND(角色属性!$AL46,0)</f>
        <v>1596</v>
      </c>
      <c r="J40" s="35">
        <f>ROUND(角色属性!$AL46,0)</f>
        <v>1596</v>
      </c>
      <c r="K40" s="35">
        <f>ROUND(角色属性!$AL46,0)</f>
        <v>1596</v>
      </c>
      <c r="L40" s="35">
        <f>ROUND(角色属性!$AL46,0)</f>
        <v>1596</v>
      </c>
      <c r="M40" s="35">
        <f>ROUND(角色属性!$AL46,0)</f>
        <v>1596</v>
      </c>
      <c r="N40" s="35">
        <f>ROUND(角色属性!$AL46,0)</f>
        <v>1596</v>
      </c>
      <c r="O40" s="35">
        <f>ROUND(角色属性!$AL46,0)</f>
        <v>1596</v>
      </c>
      <c r="P40" s="35">
        <f>ROUND(角色属性!$AL46,0)</f>
        <v>1596</v>
      </c>
      <c r="Q40" s="35">
        <f>ROUND(角色属性!$AL46,0)</f>
        <v>1596</v>
      </c>
      <c r="R40" s="35">
        <f>ROUND(角色属性!$AL46,0)</f>
        <v>1596</v>
      </c>
      <c r="S40" s="35">
        <f>ROUND(角色属性!$AL46,0)</f>
        <v>1596</v>
      </c>
      <c r="T40" s="35">
        <f>ROUND(角色属性!$AL46,0)</f>
        <v>1596</v>
      </c>
      <c r="U40" s="35">
        <f>ROUND(角色属性!$AL46,0)</f>
        <v>1596</v>
      </c>
      <c r="V40" s="35">
        <f>ROUND(角色属性!$AL46,0)</f>
        <v>1596</v>
      </c>
      <c r="W40" s="35">
        <f>ROUND(角色属性!$AL46,0)</f>
        <v>1596</v>
      </c>
      <c r="X40" s="35">
        <f>ROUND(角色属性!$AL46,0)</f>
        <v>1596</v>
      </c>
      <c r="Y40" s="35">
        <f>ROUND(角色属性!$AL46,0)</f>
        <v>1596</v>
      </c>
      <c r="Z40" s="35">
        <f>ROUND(角色属性!$AL46,0)</f>
        <v>1596</v>
      </c>
    </row>
    <row r="41" spans="1:26" x14ac:dyDescent="0.15">
      <c r="A41" s="37">
        <f>[2]技能伤害!$T42</f>
        <v>1.9322404431473694</v>
      </c>
      <c r="B41" s="37"/>
      <c r="D41" s="1">
        <v>40</v>
      </c>
      <c r="E41" s="35">
        <f>ROUND(角色属性!$AL47*A41,0)</f>
        <v>3271</v>
      </c>
      <c r="F41" s="35">
        <f>ROUND(角色属性!$AL47,0)</f>
        <v>1693</v>
      </c>
      <c r="G41" s="35">
        <f>ROUND(角色属性!$AL47,0)</f>
        <v>1693</v>
      </c>
      <c r="H41" s="35">
        <f>ROUND(角色属性!$AL47,0)</f>
        <v>1693</v>
      </c>
      <c r="I41" s="35">
        <f>ROUND(角色属性!$AL47,0)</f>
        <v>1693</v>
      </c>
      <c r="J41" s="35">
        <f>ROUND(角色属性!$AL47,0)</f>
        <v>1693</v>
      </c>
      <c r="K41" s="35">
        <f>ROUND(角色属性!$AL47,0)</f>
        <v>1693</v>
      </c>
      <c r="L41" s="35">
        <f>ROUND(角色属性!$AL47,0)</f>
        <v>1693</v>
      </c>
      <c r="M41" s="35">
        <f>ROUND(角色属性!$AL47,0)</f>
        <v>1693</v>
      </c>
      <c r="N41" s="35">
        <f>ROUND(角色属性!$AL47,0)</f>
        <v>1693</v>
      </c>
      <c r="O41" s="35">
        <f>ROUND(角色属性!$AL47,0)</f>
        <v>1693</v>
      </c>
      <c r="P41" s="35">
        <f>ROUND(角色属性!$AL47,0)</f>
        <v>1693</v>
      </c>
      <c r="Q41" s="35">
        <f>ROUND(角色属性!$AL47,0)</f>
        <v>1693</v>
      </c>
      <c r="R41" s="35">
        <f>ROUND(角色属性!$AL47,0)</f>
        <v>1693</v>
      </c>
      <c r="S41" s="35">
        <f>ROUND(角色属性!$AL47,0)</f>
        <v>1693</v>
      </c>
      <c r="T41" s="35">
        <f>ROUND(角色属性!$AL47,0)</f>
        <v>1693</v>
      </c>
      <c r="U41" s="35">
        <f>ROUND(角色属性!$AL47,0)</f>
        <v>1693</v>
      </c>
      <c r="V41" s="35">
        <f>ROUND(角色属性!$AL47,0)</f>
        <v>1693</v>
      </c>
      <c r="W41" s="35">
        <f>ROUND(角色属性!$AL47,0)</f>
        <v>1693</v>
      </c>
      <c r="X41" s="35">
        <f>ROUND(角色属性!$AL47,0)</f>
        <v>1693</v>
      </c>
      <c r="Y41" s="35">
        <f>ROUND(角色属性!$AL47,0)</f>
        <v>1693</v>
      </c>
      <c r="Z41" s="35">
        <f>ROUND(角色属性!$AL47,0)</f>
        <v>1693</v>
      </c>
    </row>
    <row r="42" spans="1:26" x14ac:dyDescent="0.15">
      <c r="A42" s="37">
        <f>[2]技能伤害!$T43</f>
        <v>1.9593910323356492</v>
      </c>
      <c r="B42" s="37"/>
      <c r="D42" s="1">
        <v>41</v>
      </c>
      <c r="E42" s="35">
        <f>ROUND(角色属性!$AL48*A42,0)</f>
        <v>3515</v>
      </c>
      <c r="F42" s="35">
        <f>ROUND(角色属性!$AL48,0)</f>
        <v>1794</v>
      </c>
      <c r="G42" s="35">
        <f>ROUND(角色属性!$AL48,0)</f>
        <v>1794</v>
      </c>
      <c r="H42" s="35">
        <f>ROUND(角色属性!$AL48,0)</f>
        <v>1794</v>
      </c>
      <c r="I42" s="35">
        <f>ROUND(角色属性!$AL48,0)</f>
        <v>1794</v>
      </c>
      <c r="J42" s="35">
        <f>ROUND(角色属性!$AL48,0)</f>
        <v>1794</v>
      </c>
      <c r="K42" s="35">
        <f>ROUND(角色属性!$AL48,0)</f>
        <v>1794</v>
      </c>
      <c r="L42" s="35">
        <f>ROUND(角色属性!$AL48,0)</f>
        <v>1794</v>
      </c>
      <c r="M42" s="35">
        <f>ROUND(角色属性!$AL48,0)</f>
        <v>1794</v>
      </c>
      <c r="N42" s="35">
        <f>ROUND(角色属性!$AL48,0)</f>
        <v>1794</v>
      </c>
      <c r="O42" s="35">
        <f>ROUND(角色属性!$AL48,0)</f>
        <v>1794</v>
      </c>
      <c r="P42" s="35">
        <f>ROUND(角色属性!$AL48,0)</f>
        <v>1794</v>
      </c>
      <c r="Q42" s="35">
        <f>ROUND(角色属性!$AL48,0)</f>
        <v>1794</v>
      </c>
      <c r="R42" s="35">
        <f>ROUND(角色属性!$AL48,0)</f>
        <v>1794</v>
      </c>
      <c r="S42" s="35">
        <f>ROUND(角色属性!$AL48,0)</f>
        <v>1794</v>
      </c>
      <c r="T42" s="35">
        <f>ROUND(角色属性!$AL48,0)</f>
        <v>1794</v>
      </c>
      <c r="U42" s="35">
        <f>ROUND(角色属性!$AL48,0)</f>
        <v>1794</v>
      </c>
      <c r="V42" s="35">
        <f>ROUND(角色属性!$AL48,0)</f>
        <v>1794</v>
      </c>
      <c r="W42" s="35">
        <f>ROUND(角色属性!$AL48,0)</f>
        <v>1794</v>
      </c>
      <c r="X42" s="35">
        <f>ROUND(角色属性!$AL48,0)</f>
        <v>1794</v>
      </c>
      <c r="Y42" s="35">
        <f>ROUND(角色属性!$AL48,0)</f>
        <v>1794</v>
      </c>
      <c r="Z42" s="35">
        <f>ROUND(角色属性!$AL48,0)</f>
        <v>1794</v>
      </c>
    </row>
    <row r="43" spans="1:26" x14ac:dyDescent="0.15">
      <c r="A43" s="37">
        <f>[2]技能伤害!$T44</f>
        <v>1.9882632015727448</v>
      </c>
      <c r="B43" s="37"/>
      <c r="D43" s="1">
        <v>42</v>
      </c>
      <c r="E43" s="35">
        <f>ROUND(角色属性!$AL49*A43,0)</f>
        <v>3778</v>
      </c>
      <c r="F43" s="35">
        <f>ROUND(角色属性!$AL49,0)</f>
        <v>1900</v>
      </c>
      <c r="G43" s="35">
        <f>ROUND(角色属性!$AL49,0)</f>
        <v>1900</v>
      </c>
      <c r="H43" s="35">
        <f>ROUND(角色属性!$AL49,0)</f>
        <v>1900</v>
      </c>
      <c r="I43" s="35">
        <f>ROUND(角色属性!$AL49,0)</f>
        <v>1900</v>
      </c>
      <c r="J43" s="35">
        <f>ROUND(角色属性!$AL49,0)</f>
        <v>1900</v>
      </c>
      <c r="K43" s="35">
        <f>ROUND(角色属性!$AL49,0)</f>
        <v>1900</v>
      </c>
      <c r="L43" s="35">
        <f>ROUND(角色属性!$AL49,0)</f>
        <v>1900</v>
      </c>
      <c r="M43" s="35">
        <f>ROUND(角色属性!$AL49,0)</f>
        <v>1900</v>
      </c>
      <c r="N43" s="35">
        <f>ROUND(角色属性!$AL49,0)</f>
        <v>1900</v>
      </c>
      <c r="O43" s="35">
        <f>ROUND(角色属性!$AL49,0)</f>
        <v>1900</v>
      </c>
      <c r="P43" s="35">
        <f>ROUND(角色属性!$AL49,0)</f>
        <v>1900</v>
      </c>
      <c r="Q43" s="35">
        <f>ROUND(角色属性!$AL49,0)</f>
        <v>1900</v>
      </c>
      <c r="R43" s="35">
        <f>ROUND(角色属性!$AL49,0)</f>
        <v>1900</v>
      </c>
      <c r="S43" s="35">
        <f>ROUND(角色属性!$AL49,0)</f>
        <v>1900</v>
      </c>
      <c r="T43" s="35">
        <f>ROUND(角色属性!$AL49,0)</f>
        <v>1900</v>
      </c>
      <c r="U43" s="35">
        <f>ROUND(角色属性!$AL49,0)</f>
        <v>1900</v>
      </c>
      <c r="V43" s="35">
        <f>ROUND(角色属性!$AL49,0)</f>
        <v>1900</v>
      </c>
      <c r="W43" s="35">
        <f>ROUND(角色属性!$AL49,0)</f>
        <v>1900</v>
      </c>
      <c r="X43" s="35">
        <f>ROUND(角色属性!$AL49,0)</f>
        <v>1900</v>
      </c>
      <c r="Y43" s="35">
        <f>ROUND(角色属性!$AL49,0)</f>
        <v>1900</v>
      </c>
      <c r="Z43" s="35">
        <f>ROUND(角色属性!$AL49,0)</f>
        <v>1900</v>
      </c>
    </row>
    <row r="44" spans="1:26" x14ac:dyDescent="0.15">
      <c r="A44" s="37">
        <f>[2]技能伤害!$T45</f>
        <v>2.0163727903574875</v>
      </c>
      <c r="B44" s="37"/>
      <c r="D44" s="1">
        <v>43</v>
      </c>
      <c r="E44" s="35">
        <f>ROUND(角色属性!$AL50*A44,0)</f>
        <v>4053</v>
      </c>
      <c r="F44" s="35">
        <f>ROUND(角色属性!$AL50,0)</f>
        <v>2010</v>
      </c>
      <c r="G44" s="35">
        <f>ROUND(角色属性!$AL50,0)</f>
        <v>2010</v>
      </c>
      <c r="H44" s="35">
        <f>ROUND(角色属性!$AL50,0)</f>
        <v>2010</v>
      </c>
      <c r="I44" s="35">
        <f>ROUND(角色属性!$AL50,0)</f>
        <v>2010</v>
      </c>
      <c r="J44" s="35">
        <f>ROUND(角色属性!$AL50,0)</f>
        <v>2010</v>
      </c>
      <c r="K44" s="35">
        <f>ROUND(角色属性!$AL50,0)</f>
        <v>2010</v>
      </c>
      <c r="L44" s="35">
        <f>ROUND(角色属性!$AL50,0)</f>
        <v>2010</v>
      </c>
      <c r="M44" s="35">
        <f>ROUND(角色属性!$AL50,0)</f>
        <v>2010</v>
      </c>
      <c r="N44" s="35">
        <f>ROUND(角色属性!$AL50,0)</f>
        <v>2010</v>
      </c>
      <c r="O44" s="35">
        <f>ROUND(角色属性!$AL50,0)</f>
        <v>2010</v>
      </c>
      <c r="P44" s="35">
        <f>ROUND(角色属性!$AL50,0)</f>
        <v>2010</v>
      </c>
      <c r="Q44" s="35">
        <f>ROUND(角色属性!$AL50,0)</f>
        <v>2010</v>
      </c>
      <c r="R44" s="35">
        <f>ROUND(角色属性!$AL50,0)</f>
        <v>2010</v>
      </c>
      <c r="S44" s="35">
        <f>ROUND(角色属性!$AL50,0)</f>
        <v>2010</v>
      </c>
      <c r="T44" s="35">
        <f>ROUND(角色属性!$AL50,0)</f>
        <v>2010</v>
      </c>
      <c r="U44" s="35">
        <f>ROUND(角色属性!$AL50,0)</f>
        <v>2010</v>
      </c>
      <c r="V44" s="35">
        <f>ROUND(角色属性!$AL50,0)</f>
        <v>2010</v>
      </c>
      <c r="W44" s="35">
        <f>ROUND(角色属性!$AL50,0)</f>
        <v>2010</v>
      </c>
      <c r="X44" s="35">
        <f>ROUND(角色属性!$AL50,0)</f>
        <v>2010</v>
      </c>
      <c r="Y44" s="35">
        <f>ROUND(角色属性!$AL50,0)</f>
        <v>2010</v>
      </c>
      <c r="Z44" s="35">
        <f>ROUND(角色属性!$AL50,0)</f>
        <v>2010</v>
      </c>
    </row>
    <row r="45" spans="1:26" x14ac:dyDescent="0.15">
      <c r="A45" s="37">
        <f>[2]技能伤害!$T46</f>
        <v>2.0443014462360738</v>
      </c>
      <c r="B45" s="37"/>
      <c r="D45" s="1">
        <v>44</v>
      </c>
      <c r="E45" s="35">
        <f>ROUND(角色属性!$AL51*A45,0)</f>
        <v>4342</v>
      </c>
      <c r="F45" s="35">
        <f>ROUND(角色属性!$AL51,0)</f>
        <v>2124</v>
      </c>
      <c r="G45" s="35">
        <f>ROUND(角色属性!$AL51,0)</f>
        <v>2124</v>
      </c>
      <c r="H45" s="35">
        <f>ROUND(角色属性!$AL51,0)</f>
        <v>2124</v>
      </c>
      <c r="I45" s="35">
        <f>ROUND(角色属性!$AL51,0)</f>
        <v>2124</v>
      </c>
      <c r="J45" s="35">
        <f>ROUND(角色属性!$AL51,0)</f>
        <v>2124</v>
      </c>
      <c r="K45" s="35">
        <f>ROUND(角色属性!$AL51,0)</f>
        <v>2124</v>
      </c>
      <c r="L45" s="35">
        <f>ROUND(角色属性!$AL51,0)</f>
        <v>2124</v>
      </c>
      <c r="M45" s="35">
        <f>ROUND(角色属性!$AL51,0)</f>
        <v>2124</v>
      </c>
      <c r="N45" s="35">
        <f>ROUND(角色属性!$AL51,0)</f>
        <v>2124</v>
      </c>
      <c r="O45" s="35">
        <f>ROUND(角色属性!$AL51,0)</f>
        <v>2124</v>
      </c>
      <c r="P45" s="35">
        <f>ROUND(角色属性!$AL51,0)</f>
        <v>2124</v>
      </c>
      <c r="Q45" s="35">
        <f>ROUND(角色属性!$AL51,0)</f>
        <v>2124</v>
      </c>
      <c r="R45" s="35">
        <f>ROUND(角色属性!$AL51,0)</f>
        <v>2124</v>
      </c>
      <c r="S45" s="35">
        <f>ROUND(角色属性!$AL51,0)</f>
        <v>2124</v>
      </c>
      <c r="T45" s="35">
        <f>ROUND(角色属性!$AL51,0)</f>
        <v>2124</v>
      </c>
      <c r="U45" s="35">
        <f>ROUND(角色属性!$AL51,0)</f>
        <v>2124</v>
      </c>
      <c r="V45" s="35">
        <f>ROUND(角色属性!$AL51,0)</f>
        <v>2124</v>
      </c>
      <c r="W45" s="35">
        <f>ROUND(角色属性!$AL51,0)</f>
        <v>2124</v>
      </c>
      <c r="X45" s="35">
        <f>ROUND(角色属性!$AL51,0)</f>
        <v>2124</v>
      </c>
      <c r="Y45" s="35">
        <f>ROUND(角色属性!$AL51,0)</f>
        <v>2124</v>
      </c>
      <c r="Z45" s="35">
        <f>ROUND(角色属性!$AL51,0)</f>
        <v>2124</v>
      </c>
    </row>
    <row r="46" spans="1:26" x14ac:dyDescent="0.15">
      <c r="A46" s="37">
        <f>[2]技能伤害!$T47</f>
        <v>2.0736083530444791</v>
      </c>
      <c r="B46" s="37"/>
      <c r="D46" s="1">
        <v>45</v>
      </c>
      <c r="E46" s="35">
        <f>ROUND(角色属性!$AL52*A46,0)</f>
        <v>4651</v>
      </c>
      <c r="F46" s="35">
        <f>ROUND(角色属性!$AL52,0)</f>
        <v>2243</v>
      </c>
      <c r="G46" s="35">
        <f>ROUND(角色属性!$AL52,0)</f>
        <v>2243</v>
      </c>
      <c r="H46" s="35">
        <f>ROUND(角色属性!$AL52,0)</f>
        <v>2243</v>
      </c>
      <c r="I46" s="35">
        <f>ROUND(角色属性!$AL52,0)</f>
        <v>2243</v>
      </c>
      <c r="J46" s="35">
        <f>ROUND(角色属性!$AL52,0)</f>
        <v>2243</v>
      </c>
      <c r="K46" s="35">
        <f>ROUND(角色属性!$AL52,0)</f>
        <v>2243</v>
      </c>
      <c r="L46" s="35">
        <f>ROUND(角色属性!$AL52,0)</f>
        <v>2243</v>
      </c>
      <c r="M46" s="35">
        <f>ROUND(角色属性!$AL52,0)</f>
        <v>2243</v>
      </c>
      <c r="N46" s="35">
        <f>ROUND(角色属性!$AL52,0)</f>
        <v>2243</v>
      </c>
      <c r="O46" s="35">
        <f>ROUND(角色属性!$AL52,0)</f>
        <v>2243</v>
      </c>
      <c r="P46" s="35">
        <f>ROUND(角色属性!$AL52,0)</f>
        <v>2243</v>
      </c>
      <c r="Q46" s="35">
        <f>ROUND(角色属性!$AL52,0)</f>
        <v>2243</v>
      </c>
      <c r="R46" s="35">
        <f>ROUND(角色属性!$AL52,0)</f>
        <v>2243</v>
      </c>
      <c r="S46" s="35">
        <f>ROUND(角色属性!$AL52,0)</f>
        <v>2243</v>
      </c>
      <c r="T46" s="35">
        <f>ROUND(角色属性!$AL52,0)</f>
        <v>2243</v>
      </c>
      <c r="U46" s="35">
        <f>ROUND(角色属性!$AL52,0)</f>
        <v>2243</v>
      </c>
      <c r="V46" s="35">
        <f>ROUND(角色属性!$AL52,0)</f>
        <v>2243</v>
      </c>
      <c r="W46" s="35">
        <f>ROUND(角色属性!$AL52,0)</f>
        <v>2243</v>
      </c>
      <c r="X46" s="35">
        <f>ROUND(角色属性!$AL52,0)</f>
        <v>2243</v>
      </c>
      <c r="Y46" s="35">
        <f>ROUND(角色属性!$AL52,0)</f>
        <v>2243</v>
      </c>
      <c r="Z46" s="35">
        <f>ROUND(角色属性!$AL52,0)</f>
        <v>2243</v>
      </c>
    </row>
    <row r="47" spans="1:26" x14ac:dyDescent="0.15">
      <c r="A47" s="37">
        <f>[2]技能伤害!$T48</f>
        <v>2.1019865383660341</v>
      </c>
      <c r="B47" s="37"/>
      <c r="D47" s="1">
        <v>46</v>
      </c>
      <c r="E47" s="35">
        <f>ROUND(角色属性!$AL53*A47,0)</f>
        <v>4975</v>
      </c>
      <c r="F47" s="35">
        <f>ROUND(角色属性!$AL53,0)</f>
        <v>2367</v>
      </c>
      <c r="G47" s="35">
        <f>ROUND(角色属性!$AL53,0)</f>
        <v>2367</v>
      </c>
      <c r="H47" s="35">
        <f>ROUND(角色属性!$AL53,0)</f>
        <v>2367</v>
      </c>
      <c r="I47" s="35">
        <f>ROUND(角色属性!$AL53,0)</f>
        <v>2367</v>
      </c>
      <c r="J47" s="35">
        <f>ROUND(角色属性!$AL53,0)</f>
        <v>2367</v>
      </c>
      <c r="K47" s="35">
        <f>ROUND(角色属性!$AL53,0)</f>
        <v>2367</v>
      </c>
      <c r="L47" s="35">
        <f>ROUND(角色属性!$AL53,0)</f>
        <v>2367</v>
      </c>
      <c r="M47" s="35">
        <f>ROUND(角色属性!$AL53,0)</f>
        <v>2367</v>
      </c>
      <c r="N47" s="35">
        <f>ROUND(角色属性!$AL53,0)</f>
        <v>2367</v>
      </c>
      <c r="O47" s="35">
        <f>ROUND(角色属性!$AL53,0)</f>
        <v>2367</v>
      </c>
      <c r="P47" s="35">
        <f>ROUND(角色属性!$AL53,0)</f>
        <v>2367</v>
      </c>
      <c r="Q47" s="35">
        <f>ROUND(角色属性!$AL53,0)</f>
        <v>2367</v>
      </c>
      <c r="R47" s="35">
        <f>ROUND(角色属性!$AL53,0)</f>
        <v>2367</v>
      </c>
      <c r="S47" s="35">
        <f>ROUND(角色属性!$AL53,0)</f>
        <v>2367</v>
      </c>
      <c r="T47" s="35">
        <f>ROUND(角色属性!$AL53,0)</f>
        <v>2367</v>
      </c>
      <c r="U47" s="35">
        <f>ROUND(角色属性!$AL53,0)</f>
        <v>2367</v>
      </c>
      <c r="V47" s="35">
        <f>ROUND(角色属性!$AL53,0)</f>
        <v>2367</v>
      </c>
      <c r="W47" s="35">
        <f>ROUND(角色属性!$AL53,0)</f>
        <v>2367</v>
      </c>
      <c r="X47" s="35">
        <f>ROUND(角色属性!$AL53,0)</f>
        <v>2367</v>
      </c>
      <c r="Y47" s="35">
        <f>ROUND(角色属性!$AL53,0)</f>
        <v>2367</v>
      </c>
      <c r="Z47" s="35">
        <f>ROUND(角色属性!$AL53,0)</f>
        <v>2367</v>
      </c>
    </row>
    <row r="48" spans="1:26" x14ac:dyDescent="0.15">
      <c r="A48" s="37">
        <f>[2]技能伤害!$T49</f>
        <v>2.1316037121189333</v>
      </c>
      <c r="B48" s="37"/>
      <c r="D48" s="1">
        <v>47</v>
      </c>
      <c r="E48" s="35">
        <f>ROUND(角色属性!$AL54*A48,0)</f>
        <v>5320</v>
      </c>
      <c r="F48" s="35">
        <f>ROUND(角色属性!$AL54,0)</f>
        <v>2496</v>
      </c>
      <c r="G48" s="35">
        <f>ROUND(角色属性!$AL54,0)</f>
        <v>2496</v>
      </c>
      <c r="H48" s="35">
        <f>ROUND(角色属性!$AL54,0)</f>
        <v>2496</v>
      </c>
      <c r="I48" s="35">
        <f>ROUND(角色属性!$AL54,0)</f>
        <v>2496</v>
      </c>
      <c r="J48" s="35">
        <f>ROUND(角色属性!$AL54,0)</f>
        <v>2496</v>
      </c>
      <c r="K48" s="35">
        <f>ROUND(角色属性!$AL54,0)</f>
        <v>2496</v>
      </c>
      <c r="L48" s="35">
        <f>ROUND(角色属性!$AL54,0)</f>
        <v>2496</v>
      </c>
      <c r="M48" s="35">
        <f>ROUND(角色属性!$AL54,0)</f>
        <v>2496</v>
      </c>
      <c r="N48" s="35">
        <f>ROUND(角色属性!$AL54,0)</f>
        <v>2496</v>
      </c>
      <c r="O48" s="35">
        <f>ROUND(角色属性!$AL54,0)</f>
        <v>2496</v>
      </c>
      <c r="P48" s="35">
        <f>ROUND(角色属性!$AL54,0)</f>
        <v>2496</v>
      </c>
      <c r="Q48" s="35">
        <f>ROUND(角色属性!$AL54,0)</f>
        <v>2496</v>
      </c>
      <c r="R48" s="35">
        <f>ROUND(角色属性!$AL54,0)</f>
        <v>2496</v>
      </c>
      <c r="S48" s="35">
        <f>ROUND(角色属性!$AL54,0)</f>
        <v>2496</v>
      </c>
      <c r="T48" s="35">
        <f>ROUND(角色属性!$AL54,0)</f>
        <v>2496</v>
      </c>
      <c r="U48" s="35">
        <f>ROUND(角色属性!$AL54,0)</f>
        <v>2496</v>
      </c>
      <c r="V48" s="35">
        <f>ROUND(角色属性!$AL54,0)</f>
        <v>2496</v>
      </c>
      <c r="W48" s="35">
        <f>ROUND(角色属性!$AL54,0)</f>
        <v>2496</v>
      </c>
      <c r="X48" s="35">
        <f>ROUND(角色属性!$AL54,0)</f>
        <v>2496</v>
      </c>
      <c r="Y48" s="35">
        <f>ROUND(角色属性!$AL54,0)</f>
        <v>2496</v>
      </c>
      <c r="Z48" s="35">
        <f>ROUND(角色属性!$AL54,0)</f>
        <v>2496</v>
      </c>
    </row>
    <row r="49" spans="1:26" x14ac:dyDescent="0.15">
      <c r="A49" s="37">
        <f>[2]技能伤害!$T50</f>
        <v>2.1606772207385618</v>
      </c>
      <c r="B49" s="37"/>
      <c r="D49" s="1">
        <v>48</v>
      </c>
      <c r="E49" s="35">
        <f>ROUND(角色属性!$AL55*A49,0)</f>
        <v>5680</v>
      </c>
      <c r="F49" s="35">
        <f>ROUND(角色属性!$AL55,0)</f>
        <v>2629</v>
      </c>
      <c r="G49" s="35">
        <f>ROUND(角色属性!$AL55,0)</f>
        <v>2629</v>
      </c>
      <c r="H49" s="35">
        <f>ROUND(角色属性!$AL55,0)</f>
        <v>2629</v>
      </c>
      <c r="I49" s="35">
        <f>ROUND(角色属性!$AL55,0)</f>
        <v>2629</v>
      </c>
      <c r="J49" s="35">
        <f>ROUND(角色属性!$AL55,0)</f>
        <v>2629</v>
      </c>
      <c r="K49" s="35">
        <f>ROUND(角色属性!$AL55,0)</f>
        <v>2629</v>
      </c>
      <c r="L49" s="35">
        <f>ROUND(角色属性!$AL55,0)</f>
        <v>2629</v>
      </c>
      <c r="M49" s="35">
        <f>ROUND(角色属性!$AL55,0)</f>
        <v>2629</v>
      </c>
      <c r="N49" s="35">
        <f>ROUND(角色属性!$AL55,0)</f>
        <v>2629</v>
      </c>
      <c r="O49" s="35">
        <f>ROUND(角色属性!$AL55,0)</f>
        <v>2629</v>
      </c>
      <c r="P49" s="35">
        <f>ROUND(角色属性!$AL55,0)</f>
        <v>2629</v>
      </c>
      <c r="Q49" s="35">
        <f>ROUND(角色属性!$AL55,0)</f>
        <v>2629</v>
      </c>
      <c r="R49" s="35">
        <f>ROUND(角色属性!$AL55,0)</f>
        <v>2629</v>
      </c>
      <c r="S49" s="35">
        <f>ROUND(角色属性!$AL55,0)</f>
        <v>2629</v>
      </c>
      <c r="T49" s="35">
        <f>ROUND(角色属性!$AL55,0)</f>
        <v>2629</v>
      </c>
      <c r="U49" s="35">
        <f>ROUND(角色属性!$AL55,0)</f>
        <v>2629</v>
      </c>
      <c r="V49" s="35">
        <f>ROUND(角色属性!$AL55,0)</f>
        <v>2629</v>
      </c>
      <c r="W49" s="35">
        <f>ROUND(角色属性!$AL55,0)</f>
        <v>2629</v>
      </c>
      <c r="X49" s="35">
        <f>ROUND(角色属性!$AL55,0)</f>
        <v>2629</v>
      </c>
      <c r="Y49" s="35">
        <f>ROUND(角色属性!$AL55,0)</f>
        <v>2629</v>
      </c>
      <c r="Z49" s="35">
        <f>ROUND(角色属性!$AL55,0)</f>
        <v>2629</v>
      </c>
    </row>
    <row r="50" spans="1:26" x14ac:dyDescent="0.15">
      <c r="A50" s="37">
        <f>[2]技能伤害!$T51</f>
        <v>2.1902285482686463</v>
      </c>
      <c r="B50" s="37"/>
      <c r="D50" s="1">
        <v>49</v>
      </c>
      <c r="E50" s="35">
        <f>ROUND(角色属性!$AL56*A50,0)</f>
        <v>6063</v>
      </c>
      <c r="F50" s="35">
        <f>ROUND(角色属性!$AL56,0)</f>
        <v>2768</v>
      </c>
      <c r="G50" s="35">
        <f>ROUND(角色属性!$AL56,0)</f>
        <v>2768</v>
      </c>
      <c r="H50" s="35">
        <f>ROUND(角色属性!$AL56,0)</f>
        <v>2768</v>
      </c>
      <c r="I50" s="35">
        <f>ROUND(角色属性!$AL56,0)</f>
        <v>2768</v>
      </c>
      <c r="J50" s="35">
        <f>ROUND(角色属性!$AL56,0)</f>
        <v>2768</v>
      </c>
      <c r="K50" s="35">
        <f>ROUND(角色属性!$AL56,0)</f>
        <v>2768</v>
      </c>
      <c r="L50" s="35">
        <f>ROUND(角色属性!$AL56,0)</f>
        <v>2768</v>
      </c>
      <c r="M50" s="35">
        <f>ROUND(角色属性!$AL56,0)</f>
        <v>2768</v>
      </c>
      <c r="N50" s="35">
        <f>ROUND(角色属性!$AL56,0)</f>
        <v>2768</v>
      </c>
      <c r="O50" s="35">
        <f>ROUND(角色属性!$AL56,0)</f>
        <v>2768</v>
      </c>
      <c r="P50" s="35">
        <f>ROUND(角色属性!$AL56,0)</f>
        <v>2768</v>
      </c>
      <c r="Q50" s="35">
        <f>ROUND(角色属性!$AL56,0)</f>
        <v>2768</v>
      </c>
      <c r="R50" s="35">
        <f>ROUND(角色属性!$AL56,0)</f>
        <v>2768</v>
      </c>
      <c r="S50" s="35">
        <f>ROUND(角色属性!$AL56,0)</f>
        <v>2768</v>
      </c>
      <c r="T50" s="35">
        <f>ROUND(角色属性!$AL56,0)</f>
        <v>2768</v>
      </c>
      <c r="U50" s="35">
        <f>ROUND(角色属性!$AL56,0)</f>
        <v>2768</v>
      </c>
      <c r="V50" s="35">
        <f>ROUND(角色属性!$AL56,0)</f>
        <v>2768</v>
      </c>
      <c r="W50" s="35">
        <f>ROUND(角色属性!$AL56,0)</f>
        <v>2768</v>
      </c>
      <c r="X50" s="35">
        <f>ROUND(角色属性!$AL56,0)</f>
        <v>2768</v>
      </c>
      <c r="Y50" s="35">
        <f>ROUND(角色属性!$AL56,0)</f>
        <v>2768</v>
      </c>
      <c r="Z50" s="35">
        <f>ROUND(角色属性!$AL56,0)</f>
        <v>2768</v>
      </c>
    </row>
    <row r="51" spans="1:26" x14ac:dyDescent="0.15">
      <c r="A51" s="37">
        <f>[2]技能伤害!$T52</f>
        <v>2.2202851313776732</v>
      </c>
      <c r="B51" s="37"/>
      <c r="D51" s="1">
        <v>50</v>
      </c>
      <c r="E51" s="35">
        <f>ROUND(角色属性!$AL57*A51,0)</f>
        <v>6463</v>
      </c>
      <c r="F51" s="35">
        <f>ROUND(角色属性!$AL57,0)</f>
        <v>2911</v>
      </c>
      <c r="G51" s="35">
        <f>ROUND(角色属性!$AL57,0)</f>
        <v>2911</v>
      </c>
      <c r="H51" s="35">
        <f>ROUND(角色属性!$AL57,0)</f>
        <v>2911</v>
      </c>
      <c r="I51" s="35">
        <f>ROUND(角色属性!$AL57,0)</f>
        <v>2911</v>
      </c>
      <c r="J51" s="35">
        <f>ROUND(角色属性!$AL57,0)</f>
        <v>2911</v>
      </c>
      <c r="K51" s="35">
        <f>ROUND(角色属性!$AL57,0)</f>
        <v>2911</v>
      </c>
      <c r="L51" s="35">
        <f>ROUND(角色属性!$AL57,0)</f>
        <v>2911</v>
      </c>
      <c r="M51" s="35">
        <f>ROUND(角色属性!$AL57,0)</f>
        <v>2911</v>
      </c>
      <c r="N51" s="35">
        <f>ROUND(角色属性!$AL57,0)</f>
        <v>2911</v>
      </c>
      <c r="O51" s="35">
        <f>ROUND(角色属性!$AL57,0)</f>
        <v>2911</v>
      </c>
      <c r="P51" s="35">
        <f>ROUND(角色属性!$AL57,0)</f>
        <v>2911</v>
      </c>
      <c r="Q51" s="35">
        <f>ROUND(角色属性!$AL57,0)</f>
        <v>2911</v>
      </c>
      <c r="R51" s="35">
        <f>ROUND(角色属性!$AL57,0)</f>
        <v>2911</v>
      </c>
      <c r="S51" s="35">
        <f>ROUND(角色属性!$AL57,0)</f>
        <v>2911</v>
      </c>
      <c r="T51" s="35">
        <f>ROUND(角色属性!$AL57,0)</f>
        <v>2911</v>
      </c>
      <c r="U51" s="35">
        <f>ROUND(角色属性!$AL57,0)</f>
        <v>2911</v>
      </c>
      <c r="V51" s="35">
        <f>ROUND(角色属性!$AL57,0)</f>
        <v>2911</v>
      </c>
      <c r="W51" s="35">
        <f>ROUND(角色属性!$AL57,0)</f>
        <v>2911</v>
      </c>
      <c r="X51" s="35">
        <f>ROUND(角色属性!$AL57,0)</f>
        <v>2911</v>
      </c>
      <c r="Y51" s="35">
        <f>ROUND(角色属性!$AL57,0)</f>
        <v>2911</v>
      </c>
      <c r="Z51" s="35">
        <f>ROUND(角色属性!$AL57,0)</f>
        <v>2911</v>
      </c>
    </row>
    <row r="52" spans="1:26" x14ac:dyDescent="0.15">
      <c r="A52" s="37">
        <f>[2]技能伤害!$T53</f>
        <v>2.2496879052275869</v>
      </c>
      <c r="B52" s="37"/>
      <c r="D52" s="1">
        <v>51</v>
      </c>
      <c r="E52" s="35">
        <f>ROUND(角色属性!$AL58*A52,0)</f>
        <v>6884</v>
      </c>
      <c r="F52" s="35">
        <f>ROUND(角色属性!$AL58,0)</f>
        <v>3060</v>
      </c>
      <c r="G52" s="35">
        <f>ROUND(角色属性!$AL58,0)</f>
        <v>3060</v>
      </c>
      <c r="H52" s="35">
        <f>ROUND(角色属性!$AL58,0)</f>
        <v>3060</v>
      </c>
      <c r="I52" s="35">
        <f>ROUND(角色属性!$AL58,0)</f>
        <v>3060</v>
      </c>
      <c r="J52" s="35">
        <f>ROUND(角色属性!$AL58,0)</f>
        <v>3060</v>
      </c>
      <c r="K52" s="35">
        <f>ROUND(角色属性!$AL58,0)</f>
        <v>3060</v>
      </c>
      <c r="L52" s="35">
        <f>ROUND(角色属性!$AL58,0)</f>
        <v>3060</v>
      </c>
      <c r="M52" s="35">
        <f>ROUND(角色属性!$AL58,0)</f>
        <v>3060</v>
      </c>
      <c r="N52" s="35">
        <f>ROUND(角色属性!$AL58,0)</f>
        <v>3060</v>
      </c>
      <c r="O52" s="35">
        <f>ROUND(角色属性!$AL58,0)</f>
        <v>3060</v>
      </c>
      <c r="P52" s="35">
        <f>ROUND(角色属性!$AL58,0)</f>
        <v>3060</v>
      </c>
      <c r="Q52" s="35">
        <f>ROUND(角色属性!$AL58,0)</f>
        <v>3060</v>
      </c>
      <c r="R52" s="35">
        <f>ROUND(角色属性!$AL58,0)</f>
        <v>3060</v>
      </c>
      <c r="S52" s="35">
        <f>ROUND(角色属性!$AL58,0)</f>
        <v>3060</v>
      </c>
      <c r="T52" s="35">
        <f>ROUND(角色属性!$AL58,0)</f>
        <v>3060</v>
      </c>
      <c r="U52" s="35">
        <f>ROUND(角色属性!$AL58,0)</f>
        <v>3060</v>
      </c>
      <c r="V52" s="35">
        <f>ROUND(角色属性!$AL58,0)</f>
        <v>3060</v>
      </c>
      <c r="W52" s="35">
        <f>ROUND(角色属性!$AL58,0)</f>
        <v>3060</v>
      </c>
      <c r="X52" s="35">
        <f>ROUND(角色属性!$AL58,0)</f>
        <v>3060</v>
      </c>
      <c r="Y52" s="35">
        <f>ROUND(角色属性!$AL58,0)</f>
        <v>3060</v>
      </c>
      <c r="Z52" s="35">
        <f>ROUND(角色属性!$AL58,0)</f>
        <v>3060</v>
      </c>
    </row>
    <row r="53" spans="1:26" x14ac:dyDescent="0.15">
      <c r="A53" s="37">
        <f>[2]技能伤害!$T54</f>
        <v>2.2801342904044164</v>
      </c>
      <c r="B53" s="37"/>
      <c r="D53" s="1">
        <v>52</v>
      </c>
      <c r="E53" s="35">
        <f>ROUND(角色属性!$AL59*A53,0)</f>
        <v>7328</v>
      </c>
      <c r="F53" s="35">
        <f>ROUND(角色属性!$AL59,0)</f>
        <v>3214</v>
      </c>
      <c r="G53" s="35">
        <f>ROUND(角色属性!$AL59,0)</f>
        <v>3214</v>
      </c>
      <c r="H53" s="35">
        <f>ROUND(角色属性!$AL59,0)</f>
        <v>3214</v>
      </c>
      <c r="I53" s="35">
        <f>ROUND(角色属性!$AL59,0)</f>
        <v>3214</v>
      </c>
      <c r="J53" s="35">
        <f>ROUND(角色属性!$AL59,0)</f>
        <v>3214</v>
      </c>
      <c r="K53" s="35">
        <f>ROUND(角色属性!$AL59,0)</f>
        <v>3214</v>
      </c>
      <c r="L53" s="35">
        <f>ROUND(角色属性!$AL59,0)</f>
        <v>3214</v>
      </c>
      <c r="M53" s="35">
        <f>ROUND(角色属性!$AL59,0)</f>
        <v>3214</v>
      </c>
      <c r="N53" s="35">
        <f>ROUND(角色属性!$AL59,0)</f>
        <v>3214</v>
      </c>
      <c r="O53" s="35">
        <f>ROUND(角色属性!$AL59,0)</f>
        <v>3214</v>
      </c>
      <c r="P53" s="35">
        <f>ROUND(角色属性!$AL59,0)</f>
        <v>3214</v>
      </c>
      <c r="Q53" s="35">
        <f>ROUND(角色属性!$AL59,0)</f>
        <v>3214</v>
      </c>
      <c r="R53" s="35">
        <f>ROUND(角色属性!$AL59,0)</f>
        <v>3214</v>
      </c>
      <c r="S53" s="35">
        <f>ROUND(角色属性!$AL59,0)</f>
        <v>3214</v>
      </c>
      <c r="T53" s="35">
        <f>ROUND(角色属性!$AL59,0)</f>
        <v>3214</v>
      </c>
      <c r="U53" s="35">
        <f>ROUND(角色属性!$AL59,0)</f>
        <v>3214</v>
      </c>
      <c r="V53" s="35">
        <f>ROUND(角色属性!$AL59,0)</f>
        <v>3214</v>
      </c>
      <c r="W53" s="35">
        <f>ROUND(角色属性!$AL59,0)</f>
        <v>3214</v>
      </c>
      <c r="X53" s="35">
        <f>ROUND(角色属性!$AL59,0)</f>
        <v>3214</v>
      </c>
      <c r="Y53" s="35">
        <f>ROUND(角色属性!$AL59,0)</f>
        <v>3214</v>
      </c>
      <c r="Z53" s="35">
        <f>ROUND(角色属性!$AL59,0)</f>
        <v>3214</v>
      </c>
    </row>
    <row r="54" spans="1:26" x14ac:dyDescent="0.15">
      <c r="A54" s="37">
        <f>[2]技能伤害!$T55</f>
        <v>2.3104611625514702</v>
      </c>
      <c r="B54" s="37"/>
      <c r="D54" s="1">
        <v>53</v>
      </c>
      <c r="E54" s="35">
        <f>ROUND(角色属性!$AL60*A54,0)</f>
        <v>7793</v>
      </c>
      <c r="F54" s="35">
        <f>ROUND(角色属性!$AL60,0)</f>
        <v>3373</v>
      </c>
      <c r="G54" s="35">
        <f>ROUND(角色属性!$AL60,0)</f>
        <v>3373</v>
      </c>
      <c r="H54" s="35">
        <f>ROUND(角色属性!$AL60,0)</f>
        <v>3373</v>
      </c>
      <c r="I54" s="35">
        <f>ROUND(角色属性!$AL60,0)</f>
        <v>3373</v>
      </c>
      <c r="J54" s="35">
        <f>ROUND(角色属性!$AL60,0)</f>
        <v>3373</v>
      </c>
      <c r="K54" s="35">
        <f>ROUND(角色属性!$AL60,0)</f>
        <v>3373</v>
      </c>
      <c r="L54" s="35">
        <f>ROUND(角色属性!$AL60,0)</f>
        <v>3373</v>
      </c>
      <c r="M54" s="35">
        <f>ROUND(角色属性!$AL60,0)</f>
        <v>3373</v>
      </c>
      <c r="N54" s="35">
        <f>ROUND(角色属性!$AL60,0)</f>
        <v>3373</v>
      </c>
      <c r="O54" s="35">
        <f>ROUND(角色属性!$AL60,0)</f>
        <v>3373</v>
      </c>
      <c r="P54" s="35">
        <f>ROUND(角色属性!$AL60,0)</f>
        <v>3373</v>
      </c>
      <c r="Q54" s="35">
        <f>ROUND(角色属性!$AL60,0)</f>
        <v>3373</v>
      </c>
      <c r="R54" s="35">
        <f>ROUND(角色属性!$AL60,0)</f>
        <v>3373</v>
      </c>
      <c r="S54" s="35">
        <f>ROUND(角色属性!$AL60,0)</f>
        <v>3373</v>
      </c>
      <c r="T54" s="35">
        <f>ROUND(角色属性!$AL60,0)</f>
        <v>3373</v>
      </c>
      <c r="U54" s="35">
        <f>ROUND(角色属性!$AL60,0)</f>
        <v>3373</v>
      </c>
      <c r="V54" s="35">
        <f>ROUND(角色属性!$AL60,0)</f>
        <v>3373</v>
      </c>
      <c r="W54" s="35">
        <f>ROUND(角色属性!$AL60,0)</f>
        <v>3373</v>
      </c>
      <c r="X54" s="35">
        <f>ROUND(角色属性!$AL60,0)</f>
        <v>3373</v>
      </c>
      <c r="Y54" s="35">
        <f>ROUND(角色属性!$AL60,0)</f>
        <v>3373</v>
      </c>
      <c r="Z54" s="35">
        <f>ROUND(角色属性!$AL60,0)</f>
        <v>3373</v>
      </c>
    </row>
    <row r="55" spans="1:26" x14ac:dyDescent="0.15">
      <c r="A55" s="37">
        <f>[2]技能伤害!$T56</f>
        <v>2.34109826794589</v>
      </c>
      <c r="B55" s="37"/>
      <c r="D55" s="1">
        <v>54</v>
      </c>
      <c r="E55" s="35">
        <f>ROUND(角色属性!$AL61*A55,0)</f>
        <v>8283</v>
      </c>
      <c r="F55" s="35">
        <f>ROUND(角色属性!$AL61,0)</f>
        <v>3538</v>
      </c>
      <c r="G55" s="35">
        <f>ROUND(角色属性!$AL61,0)</f>
        <v>3538</v>
      </c>
      <c r="H55" s="35">
        <f>ROUND(角色属性!$AL61,0)</f>
        <v>3538</v>
      </c>
      <c r="I55" s="35">
        <f>ROUND(角色属性!$AL61,0)</f>
        <v>3538</v>
      </c>
      <c r="J55" s="35">
        <f>ROUND(角色属性!$AL61,0)</f>
        <v>3538</v>
      </c>
      <c r="K55" s="35">
        <f>ROUND(角色属性!$AL61,0)</f>
        <v>3538</v>
      </c>
      <c r="L55" s="35">
        <f>ROUND(角色属性!$AL61,0)</f>
        <v>3538</v>
      </c>
      <c r="M55" s="35">
        <f>ROUND(角色属性!$AL61,0)</f>
        <v>3538</v>
      </c>
      <c r="N55" s="35">
        <f>ROUND(角色属性!$AL61,0)</f>
        <v>3538</v>
      </c>
      <c r="O55" s="35">
        <f>ROUND(角色属性!$AL61,0)</f>
        <v>3538</v>
      </c>
      <c r="P55" s="35">
        <f>ROUND(角色属性!$AL61,0)</f>
        <v>3538</v>
      </c>
      <c r="Q55" s="35">
        <f>ROUND(角色属性!$AL61,0)</f>
        <v>3538</v>
      </c>
      <c r="R55" s="35">
        <f>ROUND(角色属性!$AL61,0)</f>
        <v>3538</v>
      </c>
      <c r="S55" s="35">
        <f>ROUND(角色属性!$AL61,0)</f>
        <v>3538</v>
      </c>
      <c r="T55" s="35">
        <f>ROUND(角色属性!$AL61,0)</f>
        <v>3538</v>
      </c>
      <c r="U55" s="35">
        <f>ROUND(角色属性!$AL61,0)</f>
        <v>3538</v>
      </c>
      <c r="V55" s="35">
        <f>ROUND(角色属性!$AL61,0)</f>
        <v>3538</v>
      </c>
      <c r="W55" s="35">
        <f>ROUND(角色属性!$AL61,0)</f>
        <v>3538</v>
      </c>
      <c r="X55" s="35">
        <f>ROUND(角色属性!$AL61,0)</f>
        <v>3538</v>
      </c>
      <c r="Y55" s="35">
        <f>ROUND(角色属性!$AL61,0)</f>
        <v>3538</v>
      </c>
      <c r="Z55" s="35">
        <f>ROUND(角色属性!$AL61,0)</f>
        <v>3538</v>
      </c>
    </row>
    <row r="56" spans="1:26" x14ac:dyDescent="0.15">
      <c r="A56" s="37">
        <f>[2]技能伤害!$T57</f>
        <v>2.3711548768557646</v>
      </c>
      <c r="B56" s="37"/>
      <c r="D56" s="1">
        <v>55</v>
      </c>
      <c r="E56" s="35">
        <f>ROUND(角色属性!$AL62*A56,0)</f>
        <v>8795</v>
      </c>
      <c r="F56" s="35">
        <f>ROUND(角色属性!$AL62,0)</f>
        <v>3709</v>
      </c>
      <c r="G56" s="35">
        <f>ROUND(角色属性!$AL62,0)</f>
        <v>3709</v>
      </c>
      <c r="H56" s="35">
        <f>ROUND(角色属性!$AL62,0)</f>
        <v>3709</v>
      </c>
      <c r="I56" s="35">
        <f>ROUND(角色属性!$AL62,0)</f>
        <v>3709</v>
      </c>
      <c r="J56" s="35">
        <f>ROUND(角色属性!$AL62,0)</f>
        <v>3709</v>
      </c>
      <c r="K56" s="35">
        <f>ROUND(角色属性!$AL62,0)</f>
        <v>3709</v>
      </c>
      <c r="L56" s="35">
        <f>ROUND(角色属性!$AL62,0)</f>
        <v>3709</v>
      </c>
      <c r="M56" s="35">
        <f>ROUND(角色属性!$AL62,0)</f>
        <v>3709</v>
      </c>
      <c r="N56" s="35">
        <f>ROUND(角色属性!$AL62,0)</f>
        <v>3709</v>
      </c>
      <c r="O56" s="35">
        <f>ROUND(角色属性!$AL62,0)</f>
        <v>3709</v>
      </c>
      <c r="P56" s="35">
        <f>ROUND(角色属性!$AL62,0)</f>
        <v>3709</v>
      </c>
      <c r="Q56" s="35">
        <f>ROUND(角色属性!$AL62,0)</f>
        <v>3709</v>
      </c>
      <c r="R56" s="35">
        <f>ROUND(角色属性!$AL62,0)</f>
        <v>3709</v>
      </c>
      <c r="S56" s="35">
        <f>ROUND(角色属性!$AL62,0)</f>
        <v>3709</v>
      </c>
      <c r="T56" s="35">
        <f>ROUND(角色属性!$AL62,0)</f>
        <v>3709</v>
      </c>
      <c r="U56" s="35">
        <f>ROUND(角色属性!$AL62,0)</f>
        <v>3709</v>
      </c>
      <c r="V56" s="35">
        <f>ROUND(角色属性!$AL62,0)</f>
        <v>3709</v>
      </c>
      <c r="W56" s="35">
        <f>ROUND(角色属性!$AL62,0)</f>
        <v>3709</v>
      </c>
      <c r="X56" s="35">
        <f>ROUND(角色属性!$AL62,0)</f>
        <v>3709</v>
      </c>
      <c r="Y56" s="35">
        <f>ROUND(角色属性!$AL62,0)</f>
        <v>3709</v>
      </c>
      <c r="Z56" s="35">
        <f>ROUND(角色属性!$AL62,0)</f>
        <v>3709</v>
      </c>
    </row>
    <row r="57" spans="1:26" x14ac:dyDescent="0.15">
      <c r="A57" s="37">
        <f>[2]技能伤害!$T58</f>
        <v>2.4027206290223257</v>
      </c>
      <c r="B57" s="37"/>
      <c r="D57" s="1">
        <v>56</v>
      </c>
      <c r="E57" s="35">
        <f>ROUND(角色属性!$AL63*A57,0)</f>
        <v>9335</v>
      </c>
      <c r="F57" s="35">
        <f>ROUND(角色属性!$AL63,0)</f>
        <v>3885</v>
      </c>
      <c r="G57" s="35">
        <f>ROUND(角色属性!$AL63,0)</f>
        <v>3885</v>
      </c>
      <c r="H57" s="35">
        <f>ROUND(角色属性!$AL63,0)</f>
        <v>3885</v>
      </c>
      <c r="I57" s="35">
        <f>ROUND(角色属性!$AL63,0)</f>
        <v>3885</v>
      </c>
      <c r="J57" s="35">
        <f>ROUND(角色属性!$AL63,0)</f>
        <v>3885</v>
      </c>
      <c r="K57" s="35">
        <f>ROUND(角色属性!$AL63,0)</f>
        <v>3885</v>
      </c>
      <c r="L57" s="35">
        <f>ROUND(角色属性!$AL63,0)</f>
        <v>3885</v>
      </c>
      <c r="M57" s="35">
        <f>ROUND(角色属性!$AL63,0)</f>
        <v>3885</v>
      </c>
      <c r="N57" s="35">
        <f>ROUND(角色属性!$AL63,0)</f>
        <v>3885</v>
      </c>
      <c r="O57" s="35">
        <f>ROUND(角色属性!$AL63,0)</f>
        <v>3885</v>
      </c>
      <c r="P57" s="35">
        <f>ROUND(角色属性!$AL63,0)</f>
        <v>3885</v>
      </c>
      <c r="Q57" s="35">
        <f>ROUND(角色属性!$AL63,0)</f>
        <v>3885</v>
      </c>
      <c r="R57" s="35">
        <f>ROUND(角色属性!$AL63,0)</f>
        <v>3885</v>
      </c>
      <c r="S57" s="35">
        <f>ROUND(角色属性!$AL63,0)</f>
        <v>3885</v>
      </c>
      <c r="T57" s="35">
        <f>ROUND(角色属性!$AL63,0)</f>
        <v>3885</v>
      </c>
      <c r="U57" s="35">
        <f>ROUND(角色属性!$AL63,0)</f>
        <v>3885</v>
      </c>
      <c r="V57" s="35">
        <f>ROUND(角色属性!$AL63,0)</f>
        <v>3885</v>
      </c>
      <c r="W57" s="35">
        <f>ROUND(角色属性!$AL63,0)</f>
        <v>3885</v>
      </c>
      <c r="X57" s="35">
        <f>ROUND(角色属性!$AL63,0)</f>
        <v>3885</v>
      </c>
      <c r="Y57" s="35">
        <f>ROUND(角色属性!$AL63,0)</f>
        <v>3885</v>
      </c>
      <c r="Z57" s="35">
        <f>ROUND(角色属性!$AL63,0)</f>
        <v>3885</v>
      </c>
    </row>
    <row r="58" spans="1:26" x14ac:dyDescent="0.15">
      <c r="A58" s="37">
        <f>[2]技能伤害!$T59</f>
        <v>2.4337726840634368</v>
      </c>
      <c r="B58" s="37"/>
      <c r="D58" s="1">
        <v>57</v>
      </c>
      <c r="E58" s="35">
        <f>ROUND(角色属性!$AL64*A58,0)</f>
        <v>9898</v>
      </c>
      <c r="F58" s="35">
        <f>ROUND(角色属性!$AL64,0)</f>
        <v>4067</v>
      </c>
      <c r="G58" s="35">
        <f>ROUND(角色属性!$AL64,0)</f>
        <v>4067</v>
      </c>
      <c r="H58" s="35">
        <f>ROUND(角色属性!$AL64,0)</f>
        <v>4067</v>
      </c>
      <c r="I58" s="35">
        <f>ROUND(角色属性!$AL64,0)</f>
        <v>4067</v>
      </c>
      <c r="J58" s="35">
        <f>ROUND(角色属性!$AL64,0)</f>
        <v>4067</v>
      </c>
      <c r="K58" s="35">
        <f>ROUND(角色属性!$AL64,0)</f>
        <v>4067</v>
      </c>
      <c r="L58" s="35">
        <f>ROUND(角色属性!$AL64,0)</f>
        <v>4067</v>
      </c>
      <c r="M58" s="35">
        <f>ROUND(角色属性!$AL64,0)</f>
        <v>4067</v>
      </c>
      <c r="N58" s="35">
        <f>ROUND(角色属性!$AL64,0)</f>
        <v>4067</v>
      </c>
      <c r="O58" s="35">
        <f>ROUND(角色属性!$AL64,0)</f>
        <v>4067</v>
      </c>
      <c r="P58" s="35">
        <f>ROUND(角色属性!$AL64,0)</f>
        <v>4067</v>
      </c>
      <c r="Q58" s="35">
        <f>ROUND(角色属性!$AL64,0)</f>
        <v>4067</v>
      </c>
      <c r="R58" s="35">
        <f>ROUND(角色属性!$AL64,0)</f>
        <v>4067</v>
      </c>
      <c r="S58" s="35">
        <f>ROUND(角色属性!$AL64,0)</f>
        <v>4067</v>
      </c>
      <c r="T58" s="35">
        <f>ROUND(角色属性!$AL64,0)</f>
        <v>4067</v>
      </c>
      <c r="U58" s="35">
        <f>ROUND(角色属性!$AL64,0)</f>
        <v>4067</v>
      </c>
      <c r="V58" s="35">
        <f>ROUND(角色属性!$AL64,0)</f>
        <v>4067</v>
      </c>
      <c r="W58" s="35">
        <f>ROUND(角色属性!$AL64,0)</f>
        <v>4067</v>
      </c>
      <c r="X58" s="35">
        <f>ROUND(角色属性!$AL64,0)</f>
        <v>4067</v>
      </c>
      <c r="Y58" s="35">
        <f>ROUND(角色属性!$AL64,0)</f>
        <v>4067</v>
      </c>
      <c r="Z58" s="35">
        <f>ROUND(角色属性!$AL64,0)</f>
        <v>4067</v>
      </c>
    </row>
    <row r="59" spans="1:26" x14ac:dyDescent="0.15">
      <c r="A59" s="37">
        <f>[2]技能伤害!$T60</f>
        <v>2.4649187711294411</v>
      </c>
      <c r="B59" s="37"/>
      <c r="D59" s="1">
        <v>58</v>
      </c>
      <c r="E59" s="35">
        <f>ROUND(角色属性!$AL65*A59,0)</f>
        <v>10488</v>
      </c>
      <c r="F59" s="35">
        <f>ROUND(角色属性!$AL65,0)</f>
        <v>4255</v>
      </c>
      <c r="G59" s="35">
        <f>ROUND(角色属性!$AL65,0)</f>
        <v>4255</v>
      </c>
      <c r="H59" s="35">
        <f>ROUND(角色属性!$AL65,0)</f>
        <v>4255</v>
      </c>
      <c r="I59" s="35">
        <f>ROUND(角色属性!$AL65,0)</f>
        <v>4255</v>
      </c>
      <c r="J59" s="35">
        <f>ROUND(角色属性!$AL65,0)</f>
        <v>4255</v>
      </c>
      <c r="K59" s="35">
        <f>ROUND(角色属性!$AL65,0)</f>
        <v>4255</v>
      </c>
      <c r="L59" s="35">
        <f>ROUND(角色属性!$AL65,0)</f>
        <v>4255</v>
      </c>
      <c r="M59" s="35">
        <f>ROUND(角色属性!$AL65,0)</f>
        <v>4255</v>
      </c>
      <c r="N59" s="35">
        <f>ROUND(角色属性!$AL65,0)</f>
        <v>4255</v>
      </c>
      <c r="O59" s="35">
        <f>ROUND(角色属性!$AL65,0)</f>
        <v>4255</v>
      </c>
      <c r="P59" s="35">
        <f>ROUND(角色属性!$AL65,0)</f>
        <v>4255</v>
      </c>
      <c r="Q59" s="35">
        <f>ROUND(角色属性!$AL65,0)</f>
        <v>4255</v>
      </c>
      <c r="R59" s="35">
        <f>ROUND(角色属性!$AL65,0)</f>
        <v>4255</v>
      </c>
      <c r="S59" s="35">
        <f>ROUND(角色属性!$AL65,0)</f>
        <v>4255</v>
      </c>
      <c r="T59" s="35">
        <f>ROUND(角色属性!$AL65,0)</f>
        <v>4255</v>
      </c>
      <c r="U59" s="35">
        <f>ROUND(角色属性!$AL65,0)</f>
        <v>4255</v>
      </c>
      <c r="V59" s="35">
        <f>ROUND(角色属性!$AL65,0)</f>
        <v>4255</v>
      </c>
      <c r="W59" s="35">
        <f>ROUND(角色属性!$AL65,0)</f>
        <v>4255</v>
      </c>
      <c r="X59" s="35">
        <f>ROUND(角色属性!$AL65,0)</f>
        <v>4255</v>
      </c>
      <c r="Y59" s="35">
        <f>ROUND(角色属性!$AL65,0)</f>
        <v>4255</v>
      </c>
      <c r="Z59" s="35">
        <f>ROUND(角色属性!$AL65,0)</f>
        <v>4255</v>
      </c>
    </row>
    <row r="60" spans="1:26" x14ac:dyDescent="0.15">
      <c r="A60" s="37">
        <f>[2]技能伤害!$T61</f>
        <v>2.4961869702143935</v>
      </c>
      <c r="B60" s="37"/>
      <c r="D60" s="1">
        <v>59</v>
      </c>
      <c r="E60" s="35">
        <f>ROUND(角色属性!$AL66*A60,0)</f>
        <v>11106</v>
      </c>
      <c r="F60" s="35">
        <f>ROUND(角色属性!$AL66,0)</f>
        <v>4449</v>
      </c>
      <c r="G60" s="35">
        <f>ROUND(角色属性!$AL66,0)</f>
        <v>4449</v>
      </c>
      <c r="H60" s="35">
        <f>ROUND(角色属性!$AL66,0)</f>
        <v>4449</v>
      </c>
      <c r="I60" s="35">
        <f>ROUND(角色属性!$AL66,0)</f>
        <v>4449</v>
      </c>
      <c r="J60" s="35">
        <f>ROUND(角色属性!$AL66,0)</f>
        <v>4449</v>
      </c>
      <c r="K60" s="35">
        <f>ROUND(角色属性!$AL66,0)</f>
        <v>4449</v>
      </c>
      <c r="L60" s="35">
        <f>ROUND(角色属性!$AL66,0)</f>
        <v>4449</v>
      </c>
      <c r="M60" s="35">
        <f>ROUND(角色属性!$AL66,0)</f>
        <v>4449</v>
      </c>
      <c r="N60" s="35">
        <f>ROUND(角色属性!$AL66,0)</f>
        <v>4449</v>
      </c>
      <c r="O60" s="35">
        <f>ROUND(角色属性!$AL66,0)</f>
        <v>4449</v>
      </c>
      <c r="P60" s="35">
        <f>ROUND(角色属性!$AL66,0)</f>
        <v>4449</v>
      </c>
      <c r="Q60" s="35">
        <f>ROUND(角色属性!$AL66,0)</f>
        <v>4449</v>
      </c>
      <c r="R60" s="35">
        <f>ROUND(角色属性!$AL66,0)</f>
        <v>4449</v>
      </c>
      <c r="S60" s="35">
        <f>ROUND(角色属性!$AL66,0)</f>
        <v>4449</v>
      </c>
      <c r="T60" s="35">
        <f>ROUND(角色属性!$AL66,0)</f>
        <v>4449</v>
      </c>
      <c r="U60" s="35">
        <f>ROUND(角色属性!$AL66,0)</f>
        <v>4449</v>
      </c>
      <c r="V60" s="35">
        <f>ROUND(角色属性!$AL66,0)</f>
        <v>4449</v>
      </c>
      <c r="W60" s="35">
        <f>ROUND(角色属性!$AL66,0)</f>
        <v>4449</v>
      </c>
      <c r="X60" s="35">
        <f>ROUND(角色属性!$AL66,0)</f>
        <v>4449</v>
      </c>
      <c r="Y60" s="35">
        <f>ROUND(角色属性!$AL66,0)</f>
        <v>4449</v>
      </c>
      <c r="Z60" s="35">
        <f>ROUND(角色属性!$AL66,0)</f>
        <v>4449</v>
      </c>
    </row>
    <row r="61" spans="1:26" x14ac:dyDescent="0.15">
      <c r="A61" s="37">
        <f>[2]技能伤害!$T62</f>
        <v>2.527985300748969</v>
      </c>
      <c r="B61" s="37"/>
      <c r="D61" s="1">
        <v>60</v>
      </c>
      <c r="E61" s="35">
        <f>ROUND(角色属性!$AL67*A61,0)</f>
        <v>11750</v>
      </c>
      <c r="F61" s="35">
        <f>ROUND(角色属性!$AL67,0)</f>
        <v>4648</v>
      </c>
      <c r="G61" s="35">
        <f>ROUND(角色属性!$AL67,0)</f>
        <v>4648</v>
      </c>
      <c r="H61" s="35">
        <f>ROUND(角色属性!$AL67,0)</f>
        <v>4648</v>
      </c>
      <c r="I61" s="35">
        <f>ROUND(角色属性!$AL67,0)</f>
        <v>4648</v>
      </c>
      <c r="J61" s="35">
        <f>ROUND(角色属性!$AL67,0)</f>
        <v>4648</v>
      </c>
      <c r="K61" s="35">
        <f>ROUND(角色属性!$AL67,0)</f>
        <v>4648</v>
      </c>
      <c r="L61" s="35">
        <f>ROUND(角色属性!$AL67,0)</f>
        <v>4648</v>
      </c>
      <c r="M61" s="35">
        <f>ROUND(角色属性!$AL67,0)</f>
        <v>4648</v>
      </c>
      <c r="N61" s="35">
        <f>ROUND(角色属性!$AL67,0)</f>
        <v>4648</v>
      </c>
      <c r="O61" s="35">
        <f>ROUND(角色属性!$AL67,0)</f>
        <v>4648</v>
      </c>
      <c r="P61" s="35">
        <f>ROUND(角色属性!$AL67,0)</f>
        <v>4648</v>
      </c>
      <c r="Q61" s="35">
        <f>ROUND(角色属性!$AL67,0)</f>
        <v>4648</v>
      </c>
      <c r="R61" s="35">
        <f>ROUND(角色属性!$AL67,0)</f>
        <v>4648</v>
      </c>
      <c r="S61" s="35">
        <f>ROUND(角色属性!$AL67,0)</f>
        <v>4648</v>
      </c>
      <c r="T61" s="35">
        <f>ROUND(角色属性!$AL67,0)</f>
        <v>4648</v>
      </c>
      <c r="U61" s="35">
        <f>ROUND(角色属性!$AL67,0)</f>
        <v>4648</v>
      </c>
      <c r="V61" s="35">
        <f>ROUND(角色属性!$AL67,0)</f>
        <v>4648</v>
      </c>
      <c r="W61" s="35">
        <f>ROUND(角色属性!$AL67,0)</f>
        <v>4648</v>
      </c>
      <c r="X61" s="35">
        <f>ROUND(角色属性!$AL67,0)</f>
        <v>4648</v>
      </c>
      <c r="Y61" s="35">
        <f>ROUND(角色属性!$AL67,0)</f>
        <v>4648</v>
      </c>
      <c r="Z61" s="35">
        <f>ROUND(角色属性!$AL67,0)</f>
        <v>4648</v>
      </c>
    </row>
    <row r="62" spans="1:26" x14ac:dyDescent="0.15">
      <c r="A62" s="37">
        <f>[2]技能伤害!$T63</f>
        <v>2.5602134675078294</v>
      </c>
      <c r="B62" s="37"/>
      <c r="D62" s="1">
        <v>61</v>
      </c>
      <c r="E62" s="35">
        <f>ROUND(角色属性!$AL68*A62,0)</f>
        <v>12427</v>
      </c>
      <c r="F62" s="35">
        <f>ROUND(角色属性!$AL68,0)</f>
        <v>4854</v>
      </c>
      <c r="G62" s="35">
        <f>ROUND(角色属性!$AL68,0)</f>
        <v>4854</v>
      </c>
      <c r="H62" s="35">
        <f>ROUND(角色属性!$AL68,0)</f>
        <v>4854</v>
      </c>
      <c r="I62" s="35">
        <f>ROUND(角色属性!$AL68,0)</f>
        <v>4854</v>
      </c>
      <c r="J62" s="35">
        <f>ROUND(角色属性!$AL68,0)</f>
        <v>4854</v>
      </c>
      <c r="K62" s="35">
        <f>ROUND(角色属性!$AL68,0)</f>
        <v>4854</v>
      </c>
      <c r="L62" s="35">
        <f>ROUND(角色属性!$AL68,0)</f>
        <v>4854</v>
      </c>
      <c r="M62" s="35">
        <f>ROUND(角色属性!$AL68,0)</f>
        <v>4854</v>
      </c>
      <c r="N62" s="35">
        <f>ROUND(角色属性!$AL68,0)</f>
        <v>4854</v>
      </c>
      <c r="O62" s="35">
        <f>ROUND(角色属性!$AL68,0)</f>
        <v>4854</v>
      </c>
      <c r="P62" s="35">
        <f>ROUND(角色属性!$AL68,0)</f>
        <v>4854</v>
      </c>
      <c r="Q62" s="35">
        <f>ROUND(角色属性!$AL68,0)</f>
        <v>4854</v>
      </c>
      <c r="R62" s="35">
        <f>ROUND(角色属性!$AL68,0)</f>
        <v>4854</v>
      </c>
      <c r="S62" s="35">
        <f>ROUND(角色属性!$AL68,0)</f>
        <v>4854</v>
      </c>
      <c r="T62" s="35">
        <f>ROUND(角色属性!$AL68,0)</f>
        <v>4854</v>
      </c>
      <c r="U62" s="35">
        <f>ROUND(角色属性!$AL68,0)</f>
        <v>4854</v>
      </c>
      <c r="V62" s="35">
        <f>ROUND(角色属性!$AL68,0)</f>
        <v>4854</v>
      </c>
      <c r="W62" s="35">
        <f>ROUND(角色属性!$AL68,0)</f>
        <v>4854</v>
      </c>
      <c r="X62" s="35">
        <f>ROUND(角色属性!$AL68,0)</f>
        <v>4854</v>
      </c>
      <c r="Y62" s="35">
        <f>ROUND(角色属性!$AL68,0)</f>
        <v>4854</v>
      </c>
      <c r="Z62" s="35">
        <f>ROUND(角色属性!$AL68,0)</f>
        <v>4854</v>
      </c>
    </row>
    <row r="63" spans="1:26" x14ac:dyDescent="0.15">
      <c r="A63" s="37">
        <f>[2]技能伤害!$T64</f>
        <v>2.5921930679401197</v>
      </c>
      <c r="B63" s="37"/>
      <c r="D63" s="1">
        <v>62</v>
      </c>
      <c r="E63" s="35">
        <f>ROUND(角色属性!$AL69*A63,0)</f>
        <v>13135</v>
      </c>
      <c r="F63" s="35">
        <f>ROUND(角色属性!$AL69,0)</f>
        <v>5067</v>
      </c>
      <c r="G63" s="35">
        <f>ROUND(角色属性!$AL69,0)</f>
        <v>5067</v>
      </c>
      <c r="H63" s="35">
        <f>ROUND(角色属性!$AL69,0)</f>
        <v>5067</v>
      </c>
      <c r="I63" s="35">
        <f>ROUND(角色属性!$AL69,0)</f>
        <v>5067</v>
      </c>
      <c r="J63" s="35">
        <f>ROUND(角色属性!$AL69,0)</f>
        <v>5067</v>
      </c>
      <c r="K63" s="35">
        <f>ROUND(角色属性!$AL69,0)</f>
        <v>5067</v>
      </c>
      <c r="L63" s="35">
        <f>ROUND(角色属性!$AL69,0)</f>
        <v>5067</v>
      </c>
      <c r="M63" s="35">
        <f>ROUND(角色属性!$AL69,0)</f>
        <v>5067</v>
      </c>
      <c r="N63" s="35">
        <f>ROUND(角色属性!$AL69,0)</f>
        <v>5067</v>
      </c>
      <c r="O63" s="35">
        <f>ROUND(角色属性!$AL69,0)</f>
        <v>5067</v>
      </c>
      <c r="P63" s="35">
        <f>ROUND(角色属性!$AL69,0)</f>
        <v>5067</v>
      </c>
      <c r="Q63" s="35">
        <f>ROUND(角色属性!$AL69,0)</f>
        <v>5067</v>
      </c>
      <c r="R63" s="35">
        <f>ROUND(角色属性!$AL69,0)</f>
        <v>5067</v>
      </c>
      <c r="S63" s="35">
        <f>ROUND(角色属性!$AL69,0)</f>
        <v>5067</v>
      </c>
      <c r="T63" s="35">
        <f>ROUND(角色属性!$AL69,0)</f>
        <v>5067</v>
      </c>
      <c r="U63" s="35">
        <f>ROUND(角色属性!$AL69,0)</f>
        <v>5067</v>
      </c>
      <c r="V63" s="35">
        <f>ROUND(角色属性!$AL69,0)</f>
        <v>5067</v>
      </c>
      <c r="W63" s="35">
        <f>ROUND(角色属性!$AL69,0)</f>
        <v>5067</v>
      </c>
      <c r="X63" s="35">
        <f>ROUND(角色属性!$AL69,0)</f>
        <v>5067</v>
      </c>
      <c r="Y63" s="35">
        <f>ROUND(角色属性!$AL69,0)</f>
        <v>5067</v>
      </c>
      <c r="Z63" s="35">
        <f>ROUND(角色属性!$AL69,0)</f>
        <v>5067</v>
      </c>
    </row>
    <row r="64" spans="1:26" x14ac:dyDescent="0.15">
      <c r="A64" s="37">
        <f>[2]技能伤害!$T65</f>
        <v>2.6245815524199125</v>
      </c>
      <c r="B64" s="37"/>
      <c r="D64" s="1">
        <v>63</v>
      </c>
      <c r="E64" s="35">
        <f>ROUND(角色属性!$AL70*A64,0)</f>
        <v>13871</v>
      </c>
      <c r="F64" s="35">
        <f>ROUND(角色属性!$AL70,0)</f>
        <v>5285</v>
      </c>
      <c r="G64" s="35">
        <f>ROUND(角色属性!$AL70,0)</f>
        <v>5285</v>
      </c>
      <c r="H64" s="35">
        <f>ROUND(角色属性!$AL70,0)</f>
        <v>5285</v>
      </c>
      <c r="I64" s="35">
        <f>ROUND(角色属性!$AL70,0)</f>
        <v>5285</v>
      </c>
      <c r="J64" s="35">
        <f>ROUND(角色属性!$AL70,0)</f>
        <v>5285</v>
      </c>
      <c r="K64" s="35">
        <f>ROUND(角色属性!$AL70,0)</f>
        <v>5285</v>
      </c>
      <c r="L64" s="35">
        <f>ROUND(角色属性!$AL70,0)</f>
        <v>5285</v>
      </c>
      <c r="M64" s="35">
        <f>ROUND(角色属性!$AL70,0)</f>
        <v>5285</v>
      </c>
      <c r="N64" s="35">
        <f>ROUND(角色属性!$AL70,0)</f>
        <v>5285</v>
      </c>
      <c r="O64" s="35">
        <f>ROUND(角色属性!$AL70,0)</f>
        <v>5285</v>
      </c>
      <c r="P64" s="35">
        <f>ROUND(角色属性!$AL70,0)</f>
        <v>5285</v>
      </c>
      <c r="Q64" s="35">
        <f>ROUND(角色属性!$AL70,0)</f>
        <v>5285</v>
      </c>
      <c r="R64" s="35">
        <f>ROUND(角色属性!$AL70,0)</f>
        <v>5285</v>
      </c>
      <c r="S64" s="35">
        <f>ROUND(角色属性!$AL70,0)</f>
        <v>5285</v>
      </c>
      <c r="T64" s="35">
        <f>ROUND(角色属性!$AL70,0)</f>
        <v>5285</v>
      </c>
      <c r="U64" s="35">
        <f>ROUND(角色属性!$AL70,0)</f>
        <v>5285</v>
      </c>
      <c r="V64" s="35">
        <f>ROUND(角色属性!$AL70,0)</f>
        <v>5285</v>
      </c>
      <c r="W64" s="35">
        <f>ROUND(角色属性!$AL70,0)</f>
        <v>5285</v>
      </c>
      <c r="X64" s="35">
        <f>ROUND(角色属性!$AL70,0)</f>
        <v>5285</v>
      </c>
      <c r="Y64" s="35">
        <f>ROUND(角色属性!$AL70,0)</f>
        <v>5285</v>
      </c>
      <c r="Z64" s="35">
        <f>ROUND(角色属性!$AL70,0)</f>
        <v>5285</v>
      </c>
    </row>
    <row r="65" spans="1:26" x14ac:dyDescent="0.15">
      <c r="A65" s="37">
        <f>[2]技能伤害!$T66</f>
        <v>2.6569923459515987</v>
      </c>
      <c r="B65" s="37"/>
      <c r="D65" s="1">
        <v>64</v>
      </c>
      <c r="E65" s="35">
        <f>ROUND(角色属性!$AL71*A65,0)</f>
        <v>14643</v>
      </c>
      <c r="F65" s="35">
        <f>ROUND(角色属性!$AL71,0)</f>
        <v>5511</v>
      </c>
      <c r="G65" s="35">
        <f>ROUND(角色属性!$AL71,0)</f>
        <v>5511</v>
      </c>
      <c r="H65" s="35">
        <f>ROUND(角色属性!$AL71,0)</f>
        <v>5511</v>
      </c>
      <c r="I65" s="35">
        <f>ROUND(角色属性!$AL71,0)</f>
        <v>5511</v>
      </c>
      <c r="J65" s="35">
        <f>ROUND(角色属性!$AL71,0)</f>
        <v>5511</v>
      </c>
      <c r="K65" s="35">
        <f>ROUND(角色属性!$AL71,0)</f>
        <v>5511</v>
      </c>
      <c r="L65" s="35">
        <f>ROUND(角色属性!$AL71,0)</f>
        <v>5511</v>
      </c>
      <c r="M65" s="35">
        <f>ROUND(角色属性!$AL71,0)</f>
        <v>5511</v>
      </c>
      <c r="N65" s="35">
        <f>ROUND(角色属性!$AL71,0)</f>
        <v>5511</v>
      </c>
      <c r="O65" s="35">
        <f>ROUND(角色属性!$AL71,0)</f>
        <v>5511</v>
      </c>
      <c r="P65" s="35">
        <f>ROUND(角色属性!$AL71,0)</f>
        <v>5511</v>
      </c>
      <c r="Q65" s="35">
        <f>ROUND(角色属性!$AL71,0)</f>
        <v>5511</v>
      </c>
      <c r="R65" s="35">
        <f>ROUND(角色属性!$AL71,0)</f>
        <v>5511</v>
      </c>
      <c r="S65" s="35">
        <f>ROUND(角色属性!$AL71,0)</f>
        <v>5511</v>
      </c>
      <c r="T65" s="35">
        <f>ROUND(角色属性!$AL71,0)</f>
        <v>5511</v>
      </c>
      <c r="U65" s="35">
        <f>ROUND(角色属性!$AL71,0)</f>
        <v>5511</v>
      </c>
      <c r="V65" s="35">
        <f>ROUND(角色属性!$AL71,0)</f>
        <v>5511</v>
      </c>
      <c r="W65" s="35">
        <f>ROUND(角色属性!$AL71,0)</f>
        <v>5511</v>
      </c>
      <c r="X65" s="35">
        <f>ROUND(角色属性!$AL71,0)</f>
        <v>5511</v>
      </c>
      <c r="Y65" s="35">
        <f>ROUND(角色属性!$AL71,0)</f>
        <v>5511</v>
      </c>
      <c r="Z65" s="35">
        <f>ROUND(角色属性!$AL71,0)</f>
        <v>5511</v>
      </c>
    </row>
    <row r="66" spans="1:26" x14ac:dyDescent="0.15">
      <c r="A66" s="37">
        <f>[2]技能伤害!$T67</f>
        <v>2.689697974002351</v>
      </c>
      <c r="B66" s="37"/>
      <c r="D66" s="1">
        <v>65</v>
      </c>
      <c r="E66" s="35">
        <f>ROUND(角色属性!$AL72*A66,0)</f>
        <v>15444</v>
      </c>
      <c r="F66" s="35">
        <f>ROUND(角色属性!$AL72,0)</f>
        <v>5742</v>
      </c>
      <c r="G66" s="35">
        <f>ROUND(角色属性!$AL72,0)</f>
        <v>5742</v>
      </c>
      <c r="H66" s="35">
        <f>ROUND(角色属性!$AL72,0)</f>
        <v>5742</v>
      </c>
      <c r="I66" s="35">
        <f>ROUND(角色属性!$AL72,0)</f>
        <v>5742</v>
      </c>
      <c r="J66" s="35">
        <f>ROUND(角色属性!$AL72,0)</f>
        <v>5742</v>
      </c>
      <c r="K66" s="35">
        <f>ROUND(角色属性!$AL72,0)</f>
        <v>5742</v>
      </c>
      <c r="L66" s="35">
        <f>ROUND(角色属性!$AL72,0)</f>
        <v>5742</v>
      </c>
      <c r="M66" s="35">
        <f>ROUND(角色属性!$AL72,0)</f>
        <v>5742</v>
      </c>
      <c r="N66" s="35">
        <f>ROUND(角色属性!$AL72,0)</f>
        <v>5742</v>
      </c>
      <c r="O66" s="35">
        <f>ROUND(角色属性!$AL72,0)</f>
        <v>5742</v>
      </c>
      <c r="P66" s="35">
        <f>ROUND(角色属性!$AL72,0)</f>
        <v>5742</v>
      </c>
      <c r="Q66" s="35">
        <f>ROUND(角色属性!$AL72,0)</f>
        <v>5742</v>
      </c>
      <c r="R66" s="35">
        <f>ROUND(角色属性!$AL72,0)</f>
        <v>5742</v>
      </c>
      <c r="S66" s="35">
        <f>ROUND(角色属性!$AL72,0)</f>
        <v>5742</v>
      </c>
      <c r="T66" s="35">
        <f>ROUND(角色属性!$AL72,0)</f>
        <v>5742</v>
      </c>
      <c r="U66" s="35">
        <f>ROUND(角色属性!$AL72,0)</f>
        <v>5742</v>
      </c>
      <c r="V66" s="35">
        <f>ROUND(角色属性!$AL72,0)</f>
        <v>5742</v>
      </c>
      <c r="W66" s="35">
        <f>ROUND(角色属性!$AL72,0)</f>
        <v>5742</v>
      </c>
      <c r="X66" s="35">
        <f>ROUND(角色属性!$AL72,0)</f>
        <v>5742</v>
      </c>
      <c r="Y66" s="35">
        <f>ROUND(角色属性!$AL72,0)</f>
        <v>5742</v>
      </c>
      <c r="Z66" s="35">
        <f>ROUND(角色属性!$AL72,0)</f>
        <v>5742</v>
      </c>
    </row>
    <row r="67" spans="1:26" x14ac:dyDescent="0.15">
      <c r="A67" s="37">
        <f>[2]技能伤害!$T68</f>
        <v>2.7224045790494071</v>
      </c>
      <c r="B67" s="37"/>
      <c r="D67" s="1">
        <v>66</v>
      </c>
      <c r="E67" s="35">
        <f>ROUND(角色属性!$AL73*A67,0)</f>
        <v>16283</v>
      </c>
      <c r="F67" s="35">
        <f>ROUND(角色属性!$AL73,0)</f>
        <v>5981</v>
      </c>
      <c r="G67" s="35">
        <f>ROUND(角色属性!$AL73,0)</f>
        <v>5981</v>
      </c>
      <c r="H67" s="35">
        <f>ROUND(角色属性!$AL73,0)</f>
        <v>5981</v>
      </c>
      <c r="I67" s="35">
        <f>ROUND(角色属性!$AL73,0)</f>
        <v>5981</v>
      </c>
      <c r="J67" s="35">
        <f>ROUND(角色属性!$AL73,0)</f>
        <v>5981</v>
      </c>
      <c r="K67" s="35">
        <f>ROUND(角色属性!$AL73,0)</f>
        <v>5981</v>
      </c>
      <c r="L67" s="35">
        <f>ROUND(角色属性!$AL73,0)</f>
        <v>5981</v>
      </c>
      <c r="M67" s="35">
        <f>ROUND(角色属性!$AL73,0)</f>
        <v>5981</v>
      </c>
      <c r="N67" s="35">
        <f>ROUND(角色属性!$AL73,0)</f>
        <v>5981</v>
      </c>
      <c r="O67" s="35">
        <f>ROUND(角色属性!$AL73,0)</f>
        <v>5981</v>
      </c>
      <c r="P67" s="35">
        <f>ROUND(角色属性!$AL73,0)</f>
        <v>5981</v>
      </c>
      <c r="Q67" s="35">
        <f>ROUND(角色属性!$AL73,0)</f>
        <v>5981</v>
      </c>
      <c r="R67" s="35">
        <f>ROUND(角色属性!$AL73,0)</f>
        <v>5981</v>
      </c>
      <c r="S67" s="35">
        <f>ROUND(角色属性!$AL73,0)</f>
        <v>5981</v>
      </c>
      <c r="T67" s="35">
        <f>ROUND(角色属性!$AL73,0)</f>
        <v>5981</v>
      </c>
      <c r="U67" s="35">
        <f>ROUND(角色属性!$AL73,0)</f>
        <v>5981</v>
      </c>
      <c r="V67" s="35">
        <f>ROUND(角色属性!$AL73,0)</f>
        <v>5981</v>
      </c>
      <c r="W67" s="35">
        <f>ROUND(角色属性!$AL73,0)</f>
        <v>5981</v>
      </c>
      <c r="X67" s="35">
        <f>ROUND(角色属性!$AL73,0)</f>
        <v>5981</v>
      </c>
      <c r="Y67" s="35">
        <f>ROUND(角色属性!$AL73,0)</f>
        <v>5981</v>
      </c>
      <c r="Z67" s="35">
        <f>ROUND(角色属性!$AL73,0)</f>
        <v>5981</v>
      </c>
    </row>
    <row r="68" spans="1:26" x14ac:dyDescent="0.15">
      <c r="A68" s="37">
        <f>[2]技能伤害!$T69</f>
        <v>2.7556397274551485</v>
      </c>
      <c r="B68" s="37"/>
      <c r="D68" s="1">
        <v>67</v>
      </c>
      <c r="E68" s="35">
        <f>ROUND(角色属性!$AL74*A68,0)</f>
        <v>17157</v>
      </c>
      <c r="F68" s="35">
        <f>ROUND(角色属性!$AL74,0)</f>
        <v>6226</v>
      </c>
      <c r="G68" s="35">
        <f>ROUND(角色属性!$AL74,0)</f>
        <v>6226</v>
      </c>
      <c r="H68" s="35">
        <f>ROUND(角色属性!$AL74,0)</f>
        <v>6226</v>
      </c>
      <c r="I68" s="35">
        <f>ROUND(角色属性!$AL74,0)</f>
        <v>6226</v>
      </c>
      <c r="J68" s="35">
        <f>ROUND(角色属性!$AL74,0)</f>
        <v>6226</v>
      </c>
      <c r="K68" s="35">
        <f>ROUND(角色属性!$AL74,0)</f>
        <v>6226</v>
      </c>
      <c r="L68" s="35">
        <f>ROUND(角色属性!$AL74,0)</f>
        <v>6226</v>
      </c>
      <c r="M68" s="35">
        <f>ROUND(角色属性!$AL74,0)</f>
        <v>6226</v>
      </c>
      <c r="N68" s="35">
        <f>ROUND(角色属性!$AL74,0)</f>
        <v>6226</v>
      </c>
      <c r="O68" s="35">
        <f>ROUND(角色属性!$AL74,0)</f>
        <v>6226</v>
      </c>
      <c r="P68" s="35">
        <f>ROUND(角色属性!$AL74,0)</f>
        <v>6226</v>
      </c>
      <c r="Q68" s="35">
        <f>ROUND(角色属性!$AL74,0)</f>
        <v>6226</v>
      </c>
      <c r="R68" s="35">
        <f>ROUND(角色属性!$AL74,0)</f>
        <v>6226</v>
      </c>
      <c r="S68" s="35">
        <f>ROUND(角色属性!$AL74,0)</f>
        <v>6226</v>
      </c>
      <c r="T68" s="35">
        <f>ROUND(角色属性!$AL74,0)</f>
        <v>6226</v>
      </c>
      <c r="U68" s="35">
        <f>ROUND(角色属性!$AL74,0)</f>
        <v>6226</v>
      </c>
      <c r="V68" s="35">
        <f>ROUND(角色属性!$AL74,0)</f>
        <v>6226</v>
      </c>
      <c r="W68" s="35">
        <f>ROUND(角色属性!$AL74,0)</f>
        <v>6226</v>
      </c>
      <c r="X68" s="35">
        <f>ROUND(角色属性!$AL74,0)</f>
        <v>6226</v>
      </c>
      <c r="Y68" s="35">
        <f>ROUND(角色属性!$AL74,0)</f>
        <v>6226</v>
      </c>
      <c r="Z68" s="35">
        <f>ROUND(角色属性!$AL74,0)</f>
        <v>6226</v>
      </c>
    </row>
    <row r="69" spans="1:26" x14ac:dyDescent="0.15">
      <c r="A69" s="37">
        <f>[2]技能伤害!$T70</f>
        <v>2.7892023255400948</v>
      </c>
      <c r="B69" s="37"/>
      <c r="D69" s="1">
        <v>68</v>
      </c>
      <c r="E69" s="35">
        <f>ROUND(角色属性!$AL75*A69,0)</f>
        <v>18068</v>
      </c>
      <c r="F69" s="35">
        <f>ROUND(角色属性!$AL75,0)</f>
        <v>6478</v>
      </c>
      <c r="G69" s="35">
        <f>ROUND(角色属性!$AL75,0)</f>
        <v>6478</v>
      </c>
      <c r="H69" s="35">
        <f>ROUND(角色属性!$AL75,0)</f>
        <v>6478</v>
      </c>
      <c r="I69" s="35">
        <f>ROUND(角色属性!$AL75,0)</f>
        <v>6478</v>
      </c>
      <c r="J69" s="35">
        <f>ROUND(角色属性!$AL75,0)</f>
        <v>6478</v>
      </c>
      <c r="K69" s="35">
        <f>ROUND(角色属性!$AL75,0)</f>
        <v>6478</v>
      </c>
      <c r="L69" s="35">
        <f>ROUND(角色属性!$AL75,0)</f>
        <v>6478</v>
      </c>
      <c r="M69" s="35">
        <f>ROUND(角色属性!$AL75,0)</f>
        <v>6478</v>
      </c>
      <c r="N69" s="35">
        <f>ROUND(角色属性!$AL75,0)</f>
        <v>6478</v>
      </c>
      <c r="O69" s="35">
        <f>ROUND(角色属性!$AL75,0)</f>
        <v>6478</v>
      </c>
      <c r="P69" s="35">
        <f>ROUND(角色属性!$AL75,0)</f>
        <v>6478</v>
      </c>
      <c r="Q69" s="35">
        <f>ROUND(角色属性!$AL75,0)</f>
        <v>6478</v>
      </c>
      <c r="R69" s="35">
        <f>ROUND(角色属性!$AL75,0)</f>
        <v>6478</v>
      </c>
      <c r="S69" s="35">
        <f>ROUND(角色属性!$AL75,0)</f>
        <v>6478</v>
      </c>
      <c r="T69" s="35">
        <f>ROUND(角色属性!$AL75,0)</f>
        <v>6478</v>
      </c>
      <c r="U69" s="35">
        <f>ROUND(角色属性!$AL75,0)</f>
        <v>6478</v>
      </c>
      <c r="V69" s="35">
        <f>ROUND(角色属性!$AL75,0)</f>
        <v>6478</v>
      </c>
      <c r="W69" s="35">
        <f>ROUND(角色属性!$AL75,0)</f>
        <v>6478</v>
      </c>
      <c r="X69" s="35">
        <f>ROUND(角色属性!$AL75,0)</f>
        <v>6478</v>
      </c>
      <c r="Y69" s="35">
        <f>ROUND(角色属性!$AL75,0)</f>
        <v>6478</v>
      </c>
      <c r="Z69" s="35">
        <f>ROUND(角色属性!$AL75,0)</f>
        <v>6478</v>
      </c>
    </row>
    <row r="70" spans="1:26" x14ac:dyDescent="0.15">
      <c r="A70" s="37">
        <f>[2]技能伤害!$T71</f>
        <v>2.8225721306833154</v>
      </c>
      <c r="B70" s="37"/>
      <c r="D70" s="1">
        <v>69</v>
      </c>
      <c r="E70" s="35">
        <f>ROUND(角色属性!$AL76*A70,0)</f>
        <v>19013</v>
      </c>
      <c r="F70" s="35">
        <f>ROUND(角色属性!$AL76,0)</f>
        <v>6736</v>
      </c>
      <c r="G70" s="35">
        <f>ROUND(角色属性!$AL76,0)</f>
        <v>6736</v>
      </c>
      <c r="H70" s="35">
        <f>ROUND(角色属性!$AL76,0)</f>
        <v>6736</v>
      </c>
      <c r="I70" s="35">
        <f>ROUND(角色属性!$AL76,0)</f>
        <v>6736</v>
      </c>
      <c r="J70" s="35">
        <f>ROUND(角色属性!$AL76,0)</f>
        <v>6736</v>
      </c>
      <c r="K70" s="35">
        <f>ROUND(角色属性!$AL76,0)</f>
        <v>6736</v>
      </c>
      <c r="L70" s="35">
        <f>ROUND(角色属性!$AL76,0)</f>
        <v>6736</v>
      </c>
      <c r="M70" s="35">
        <f>ROUND(角色属性!$AL76,0)</f>
        <v>6736</v>
      </c>
      <c r="N70" s="35">
        <f>ROUND(角色属性!$AL76,0)</f>
        <v>6736</v>
      </c>
      <c r="O70" s="35">
        <f>ROUND(角色属性!$AL76,0)</f>
        <v>6736</v>
      </c>
      <c r="P70" s="35">
        <f>ROUND(角色属性!$AL76,0)</f>
        <v>6736</v>
      </c>
      <c r="Q70" s="35">
        <f>ROUND(角色属性!$AL76,0)</f>
        <v>6736</v>
      </c>
      <c r="R70" s="35">
        <f>ROUND(角色属性!$AL76,0)</f>
        <v>6736</v>
      </c>
      <c r="S70" s="35">
        <f>ROUND(角色属性!$AL76,0)</f>
        <v>6736</v>
      </c>
      <c r="T70" s="35">
        <f>ROUND(角色属性!$AL76,0)</f>
        <v>6736</v>
      </c>
      <c r="U70" s="35">
        <f>ROUND(角色属性!$AL76,0)</f>
        <v>6736</v>
      </c>
      <c r="V70" s="35">
        <f>ROUND(角色属性!$AL76,0)</f>
        <v>6736</v>
      </c>
      <c r="W70" s="35">
        <f>ROUND(角色属性!$AL76,0)</f>
        <v>6736</v>
      </c>
      <c r="X70" s="35">
        <f>ROUND(角色属性!$AL76,0)</f>
        <v>6736</v>
      </c>
      <c r="Y70" s="35">
        <f>ROUND(角色属性!$AL76,0)</f>
        <v>6736</v>
      </c>
      <c r="Z70" s="35">
        <f>ROUND(角色属性!$AL76,0)</f>
        <v>6736</v>
      </c>
    </row>
    <row r="71" spans="1:26" x14ac:dyDescent="0.15">
      <c r="A71" s="37">
        <f>[2]技能伤害!$T72</f>
        <v>2.8558734172287794</v>
      </c>
      <c r="B71" s="37"/>
      <c r="D71" s="1">
        <v>70</v>
      </c>
      <c r="E71" s="35">
        <f>ROUND(角色属性!$AL77*A71,0)</f>
        <v>19997</v>
      </c>
      <c r="F71" s="35">
        <f>ROUND(角色属性!$AL77,0)</f>
        <v>7002</v>
      </c>
      <c r="G71" s="35">
        <f>ROUND(角色属性!$AL77,0)</f>
        <v>7002</v>
      </c>
      <c r="H71" s="35">
        <f>ROUND(角色属性!$AL77,0)</f>
        <v>7002</v>
      </c>
      <c r="I71" s="35">
        <f>ROUND(角色属性!$AL77,0)</f>
        <v>7002</v>
      </c>
      <c r="J71" s="35">
        <f>ROUND(角色属性!$AL77,0)</f>
        <v>7002</v>
      </c>
      <c r="K71" s="35">
        <f>ROUND(角色属性!$AL77,0)</f>
        <v>7002</v>
      </c>
      <c r="L71" s="35">
        <f>ROUND(角色属性!$AL77,0)</f>
        <v>7002</v>
      </c>
      <c r="M71" s="35">
        <f>ROUND(角色属性!$AL77,0)</f>
        <v>7002</v>
      </c>
      <c r="N71" s="35">
        <f>ROUND(角色属性!$AL77,0)</f>
        <v>7002</v>
      </c>
      <c r="O71" s="35">
        <f>ROUND(角色属性!$AL77,0)</f>
        <v>7002</v>
      </c>
      <c r="P71" s="35">
        <f>ROUND(角色属性!$AL77,0)</f>
        <v>7002</v>
      </c>
      <c r="Q71" s="35">
        <f>ROUND(角色属性!$AL77,0)</f>
        <v>7002</v>
      </c>
      <c r="R71" s="35">
        <f>ROUND(角色属性!$AL77,0)</f>
        <v>7002</v>
      </c>
      <c r="S71" s="35">
        <f>ROUND(角色属性!$AL77,0)</f>
        <v>7002</v>
      </c>
      <c r="T71" s="35">
        <f>ROUND(角色属性!$AL77,0)</f>
        <v>7002</v>
      </c>
      <c r="U71" s="35">
        <f>ROUND(角色属性!$AL77,0)</f>
        <v>7002</v>
      </c>
      <c r="V71" s="35">
        <f>ROUND(角色属性!$AL77,0)</f>
        <v>7002</v>
      </c>
      <c r="W71" s="35">
        <f>ROUND(角色属性!$AL77,0)</f>
        <v>7002</v>
      </c>
      <c r="X71" s="35">
        <f>ROUND(角色属性!$AL77,0)</f>
        <v>7002</v>
      </c>
      <c r="Y71" s="35">
        <f>ROUND(角色属性!$AL77,0)</f>
        <v>7002</v>
      </c>
      <c r="Z71" s="35">
        <f>ROUND(角色属性!$AL77,0)</f>
        <v>7002</v>
      </c>
    </row>
    <row r="72" spans="1:26" x14ac:dyDescent="0.15">
      <c r="A72" s="37">
        <f>[2]技能伤害!$T73</f>
        <v>2.8903083486771441</v>
      </c>
      <c r="B72" s="37"/>
      <c r="D72" s="1">
        <v>71</v>
      </c>
      <c r="E72" s="35">
        <f>ROUND(角色属性!$AL78*A72,0)</f>
        <v>21030</v>
      </c>
      <c r="F72" s="35">
        <f>ROUND(角色属性!$AL78,0)</f>
        <v>7276</v>
      </c>
      <c r="G72" s="35">
        <f>ROUND(角色属性!$AL78,0)</f>
        <v>7276</v>
      </c>
      <c r="H72" s="35">
        <f>ROUND(角色属性!$AL78,0)</f>
        <v>7276</v>
      </c>
      <c r="I72" s="35">
        <f>ROUND(角色属性!$AL78,0)</f>
        <v>7276</v>
      </c>
      <c r="J72" s="35">
        <f>ROUND(角色属性!$AL78,0)</f>
        <v>7276</v>
      </c>
      <c r="K72" s="35">
        <f>ROUND(角色属性!$AL78,0)</f>
        <v>7276</v>
      </c>
      <c r="L72" s="35">
        <f>ROUND(角色属性!$AL78,0)</f>
        <v>7276</v>
      </c>
      <c r="M72" s="35">
        <f>ROUND(角色属性!$AL78,0)</f>
        <v>7276</v>
      </c>
      <c r="N72" s="35">
        <f>ROUND(角色属性!$AL78,0)</f>
        <v>7276</v>
      </c>
      <c r="O72" s="35">
        <f>ROUND(角色属性!$AL78,0)</f>
        <v>7276</v>
      </c>
      <c r="P72" s="35">
        <f>ROUND(角色属性!$AL78,0)</f>
        <v>7276</v>
      </c>
      <c r="Q72" s="35">
        <f>ROUND(角色属性!$AL78,0)</f>
        <v>7276</v>
      </c>
      <c r="R72" s="35">
        <f>ROUND(角色属性!$AL78,0)</f>
        <v>7276</v>
      </c>
      <c r="S72" s="35">
        <f>ROUND(角色属性!$AL78,0)</f>
        <v>7276</v>
      </c>
      <c r="T72" s="35">
        <f>ROUND(角色属性!$AL78,0)</f>
        <v>7276</v>
      </c>
      <c r="U72" s="35">
        <f>ROUND(角色属性!$AL78,0)</f>
        <v>7276</v>
      </c>
      <c r="V72" s="35">
        <f>ROUND(角色属性!$AL78,0)</f>
        <v>7276</v>
      </c>
      <c r="W72" s="35">
        <f>ROUND(角色属性!$AL78,0)</f>
        <v>7276</v>
      </c>
      <c r="X72" s="35">
        <f>ROUND(角色属性!$AL78,0)</f>
        <v>7276</v>
      </c>
      <c r="Y72" s="35">
        <f>ROUND(角色属性!$AL78,0)</f>
        <v>7276</v>
      </c>
      <c r="Z72" s="35">
        <f>ROUND(角色属性!$AL78,0)</f>
        <v>7276</v>
      </c>
    </row>
    <row r="73" spans="1:26" x14ac:dyDescent="0.15">
      <c r="A73" s="37">
        <f>[2]技能伤害!$T74</f>
        <v>2.9238633971296664</v>
      </c>
      <c r="B73" s="37"/>
      <c r="D73" s="1">
        <v>72</v>
      </c>
      <c r="E73" s="35">
        <f>ROUND(角色属性!$AL79*A73,0)</f>
        <v>22093</v>
      </c>
      <c r="F73" s="35">
        <f>ROUND(角色属性!$AL79,0)</f>
        <v>7556</v>
      </c>
      <c r="G73" s="35">
        <f>ROUND(角色属性!$AL79,0)</f>
        <v>7556</v>
      </c>
      <c r="H73" s="35">
        <f>ROUND(角色属性!$AL79,0)</f>
        <v>7556</v>
      </c>
      <c r="I73" s="35">
        <f>ROUND(角色属性!$AL79,0)</f>
        <v>7556</v>
      </c>
      <c r="J73" s="35">
        <f>ROUND(角色属性!$AL79,0)</f>
        <v>7556</v>
      </c>
      <c r="K73" s="35">
        <f>ROUND(角色属性!$AL79,0)</f>
        <v>7556</v>
      </c>
      <c r="L73" s="35">
        <f>ROUND(角色属性!$AL79,0)</f>
        <v>7556</v>
      </c>
      <c r="M73" s="35">
        <f>ROUND(角色属性!$AL79,0)</f>
        <v>7556</v>
      </c>
      <c r="N73" s="35">
        <f>ROUND(角色属性!$AL79,0)</f>
        <v>7556</v>
      </c>
      <c r="O73" s="35">
        <f>ROUND(角色属性!$AL79,0)</f>
        <v>7556</v>
      </c>
      <c r="P73" s="35">
        <f>ROUND(角色属性!$AL79,0)</f>
        <v>7556</v>
      </c>
      <c r="Q73" s="35">
        <f>ROUND(角色属性!$AL79,0)</f>
        <v>7556</v>
      </c>
      <c r="R73" s="35">
        <f>ROUND(角色属性!$AL79,0)</f>
        <v>7556</v>
      </c>
      <c r="S73" s="35">
        <f>ROUND(角色属性!$AL79,0)</f>
        <v>7556</v>
      </c>
      <c r="T73" s="35">
        <f>ROUND(角色属性!$AL79,0)</f>
        <v>7556</v>
      </c>
      <c r="U73" s="35">
        <f>ROUND(角色属性!$AL79,0)</f>
        <v>7556</v>
      </c>
      <c r="V73" s="35">
        <f>ROUND(角色属性!$AL79,0)</f>
        <v>7556</v>
      </c>
      <c r="W73" s="35">
        <f>ROUND(角色属性!$AL79,0)</f>
        <v>7556</v>
      </c>
      <c r="X73" s="35">
        <f>ROUND(角色属性!$AL79,0)</f>
        <v>7556</v>
      </c>
      <c r="Y73" s="35">
        <f>ROUND(角色属性!$AL79,0)</f>
        <v>7556</v>
      </c>
      <c r="Z73" s="35">
        <f>ROUND(角色属性!$AL79,0)</f>
        <v>7556</v>
      </c>
    </row>
    <row r="74" spans="1:26" x14ac:dyDescent="0.15">
      <c r="A74" s="37">
        <f>[2]技能伤害!$T75</f>
        <v>2.9584743189291975</v>
      </c>
      <c r="B74" s="37"/>
      <c r="D74" s="1">
        <v>73</v>
      </c>
      <c r="E74" s="35">
        <f>ROUND(角色属性!$AL80*A74,0)</f>
        <v>23206</v>
      </c>
      <c r="F74" s="35">
        <f>ROUND(角色属性!$AL80,0)</f>
        <v>7844</v>
      </c>
      <c r="G74" s="35">
        <f>ROUND(角色属性!$AL80,0)</f>
        <v>7844</v>
      </c>
      <c r="H74" s="35">
        <f>ROUND(角色属性!$AL80,0)</f>
        <v>7844</v>
      </c>
      <c r="I74" s="35">
        <f>ROUND(角色属性!$AL80,0)</f>
        <v>7844</v>
      </c>
      <c r="J74" s="35">
        <f>ROUND(角色属性!$AL80,0)</f>
        <v>7844</v>
      </c>
      <c r="K74" s="35">
        <f>ROUND(角色属性!$AL80,0)</f>
        <v>7844</v>
      </c>
      <c r="L74" s="35">
        <f>ROUND(角色属性!$AL80,0)</f>
        <v>7844</v>
      </c>
      <c r="M74" s="35">
        <f>ROUND(角色属性!$AL80,0)</f>
        <v>7844</v>
      </c>
      <c r="N74" s="35">
        <f>ROUND(角色属性!$AL80,0)</f>
        <v>7844</v>
      </c>
      <c r="O74" s="35">
        <f>ROUND(角色属性!$AL80,0)</f>
        <v>7844</v>
      </c>
      <c r="P74" s="35">
        <f>ROUND(角色属性!$AL80,0)</f>
        <v>7844</v>
      </c>
      <c r="Q74" s="35">
        <f>ROUND(角色属性!$AL80,0)</f>
        <v>7844</v>
      </c>
      <c r="R74" s="35">
        <f>ROUND(角色属性!$AL80,0)</f>
        <v>7844</v>
      </c>
      <c r="S74" s="35">
        <f>ROUND(角色属性!$AL80,0)</f>
        <v>7844</v>
      </c>
      <c r="T74" s="35">
        <f>ROUND(角色属性!$AL80,0)</f>
        <v>7844</v>
      </c>
      <c r="U74" s="35">
        <f>ROUND(角色属性!$AL80,0)</f>
        <v>7844</v>
      </c>
      <c r="V74" s="35">
        <f>ROUND(角色属性!$AL80,0)</f>
        <v>7844</v>
      </c>
      <c r="W74" s="35">
        <f>ROUND(角色属性!$AL80,0)</f>
        <v>7844</v>
      </c>
      <c r="X74" s="35">
        <f>ROUND(角色属性!$AL80,0)</f>
        <v>7844</v>
      </c>
      <c r="Y74" s="35">
        <f>ROUND(角色属性!$AL80,0)</f>
        <v>7844</v>
      </c>
      <c r="Z74" s="35">
        <f>ROUND(角色属性!$AL80,0)</f>
        <v>7844</v>
      </c>
    </row>
    <row r="75" spans="1:26" x14ac:dyDescent="0.15">
      <c r="A75" s="37">
        <f>[2]技能伤害!$T76</f>
        <v>2.9926230646177858</v>
      </c>
      <c r="B75" s="37"/>
      <c r="D75" s="1">
        <v>74</v>
      </c>
      <c r="E75" s="35">
        <f>ROUND(角色属性!$AL81*A75,0)</f>
        <v>24357</v>
      </c>
      <c r="F75" s="35">
        <f>ROUND(角色属性!$AL81,0)</f>
        <v>8139</v>
      </c>
      <c r="G75" s="35">
        <f>ROUND(角色属性!$AL81,0)</f>
        <v>8139</v>
      </c>
      <c r="H75" s="35">
        <f>ROUND(角色属性!$AL81,0)</f>
        <v>8139</v>
      </c>
      <c r="I75" s="35">
        <f>ROUND(角色属性!$AL81,0)</f>
        <v>8139</v>
      </c>
      <c r="J75" s="35">
        <f>ROUND(角色属性!$AL81,0)</f>
        <v>8139</v>
      </c>
      <c r="K75" s="35">
        <f>ROUND(角色属性!$AL81,0)</f>
        <v>8139</v>
      </c>
      <c r="L75" s="35">
        <f>ROUND(角色属性!$AL81,0)</f>
        <v>8139</v>
      </c>
      <c r="M75" s="35">
        <f>ROUND(角色属性!$AL81,0)</f>
        <v>8139</v>
      </c>
      <c r="N75" s="35">
        <f>ROUND(角色属性!$AL81,0)</f>
        <v>8139</v>
      </c>
      <c r="O75" s="35">
        <f>ROUND(角色属性!$AL81,0)</f>
        <v>8139</v>
      </c>
      <c r="P75" s="35">
        <f>ROUND(角色属性!$AL81,0)</f>
        <v>8139</v>
      </c>
      <c r="Q75" s="35">
        <f>ROUND(角色属性!$AL81,0)</f>
        <v>8139</v>
      </c>
      <c r="R75" s="35">
        <f>ROUND(角色属性!$AL81,0)</f>
        <v>8139</v>
      </c>
      <c r="S75" s="35">
        <f>ROUND(角色属性!$AL81,0)</f>
        <v>8139</v>
      </c>
      <c r="T75" s="35">
        <f>ROUND(角色属性!$AL81,0)</f>
        <v>8139</v>
      </c>
      <c r="U75" s="35">
        <f>ROUND(角色属性!$AL81,0)</f>
        <v>8139</v>
      </c>
      <c r="V75" s="35">
        <f>ROUND(角色属性!$AL81,0)</f>
        <v>8139</v>
      </c>
      <c r="W75" s="35">
        <f>ROUND(角色属性!$AL81,0)</f>
        <v>8139</v>
      </c>
      <c r="X75" s="35">
        <f>ROUND(角色属性!$AL81,0)</f>
        <v>8139</v>
      </c>
      <c r="Y75" s="35">
        <f>ROUND(角色属性!$AL81,0)</f>
        <v>8139</v>
      </c>
      <c r="Z75" s="35">
        <f>ROUND(角色属性!$AL81,0)</f>
        <v>8139</v>
      </c>
    </row>
    <row r="76" spans="1:26" x14ac:dyDescent="0.15">
      <c r="A76" s="37">
        <f>[2]技能伤害!$T77</f>
        <v>3.0273983945686371</v>
      </c>
      <c r="B76" s="37"/>
      <c r="D76" s="1">
        <v>75</v>
      </c>
      <c r="E76" s="35">
        <f>ROUND(角色属性!$AL82*A76,0)</f>
        <v>25554</v>
      </c>
      <c r="F76" s="35">
        <f>ROUND(角色属性!$AL82,0)</f>
        <v>8441</v>
      </c>
      <c r="G76" s="35">
        <f>ROUND(角色属性!$AL82,0)</f>
        <v>8441</v>
      </c>
      <c r="H76" s="35">
        <f>ROUND(角色属性!$AL82,0)</f>
        <v>8441</v>
      </c>
      <c r="I76" s="35">
        <f>ROUND(角色属性!$AL82,0)</f>
        <v>8441</v>
      </c>
      <c r="J76" s="35">
        <f>ROUND(角色属性!$AL82,0)</f>
        <v>8441</v>
      </c>
      <c r="K76" s="35">
        <f>ROUND(角色属性!$AL82,0)</f>
        <v>8441</v>
      </c>
      <c r="L76" s="35">
        <f>ROUND(角色属性!$AL82,0)</f>
        <v>8441</v>
      </c>
      <c r="M76" s="35">
        <f>ROUND(角色属性!$AL82,0)</f>
        <v>8441</v>
      </c>
      <c r="N76" s="35">
        <f>ROUND(角色属性!$AL82,0)</f>
        <v>8441</v>
      </c>
      <c r="O76" s="35">
        <f>ROUND(角色属性!$AL82,0)</f>
        <v>8441</v>
      </c>
      <c r="P76" s="35">
        <f>ROUND(角色属性!$AL82,0)</f>
        <v>8441</v>
      </c>
      <c r="Q76" s="35">
        <f>ROUND(角色属性!$AL82,0)</f>
        <v>8441</v>
      </c>
      <c r="R76" s="35">
        <f>ROUND(角色属性!$AL82,0)</f>
        <v>8441</v>
      </c>
      <c r="S76" s="35">
        <f>ROUND(角色属性!$AL82,0)</f>
        <v>8441</v>
      </c>
      <c r="T76" s="35">
        <f>ROUND(角色属性!$AL82,0)</f>
        <v>8441</v>
      </c>
      <c r="U76" s="35">
        <f>ROUND(角色属性!$AL82,0)</f>
        <v>8441</v>
      </c>
      <c r="V76" s="35">
        <f>ROUND(角色属性!$AL82,0)</f>
        <v>8441</v>
      </c>
      <c r="W76" s="35">
        <f>ROUND(角色属性!$AL82,0)</f>
        <v>8441</v>
      </c>
      <c r="X76" s="35">
        <f>ROUND(角色属性!$AL82,0)</f>
        <v>8441</v>
      </c>
      <c r="Y76" s="35">
        <f>ROUND(角色属性!$AL82,0)</f>
        <v>8441</v>
      </c>
      <c r="Z76" s="35">
        <f>ROUND(角色属性!$AL82,0)</f>
        <v>8441</v>
      </c>
    </row>
    <row r="77" spans="1:26" x14ac:dyDescent="0.15">
      <c r="A77" s="37">
        <f>[2]技能伤害!$T78</f>
        <v>3.0627919694134422</v>
      </c>
      <c r="B77" s="37"/>
      <c r="D77" s="1">
        <v>76</v>
      </c>
      <c r="E77" s="35">
        <f>ROUND(角色属性!$AL83*A77,0)</f>
        <v>26806</v>
      </c>
      <c r="F77" s="35">
        <f>ROUND(角色属性!$AL83,0)</f>
        <v>8752</v>
      </c>
      <c r="G77" s="35">
        <f>ROUND(角色属性!$AL83,0)</f>
        <v>8752</v>
      </c>
      <c r="H77" s="35">
        <f>ROUND(角色属性!$AL83,0)</f>
        <v>8752</v>
      </c>
      <c r="I77" s="35">
        <f>ROUND(角色属性!$AL83,0)</f>
        <v>8752</v>
      </c>
      <c r="J77" s="35">
        <f>ROUND(角色属性!$AL83,0)</f>
        <v>8752</v>
      </c>
      <c r="K77" s="35">
        <f>ROUND(角色属性!$AL83,0)</f>
        <v>8752</v>
      </c>
      <c r="L77" s="35">
        <f>ROUND(角色属性!$AL83,0)</f>
        <v>8752</v>
      </c>
      <c r="M77" s="35">
        <f>ROUND(角色属性!$AL83,0)</f>
        <v>8752</v>
      </c>
      <c r="N77" s="35">
        <f>ROUND(角色属性!$AL83,0)</f>
        <v>8752</v>
      </c>
      <c r="O77" s="35">
        <f>ROUND(角色属性!$AL83,0)</f>
        <v>8752</v>
      </c>
      <c r="P77" s="35">
        <f>ROUND(角色属性!$AL83,0)</f>
        <v>8752</v>
      </c>
      <c r="Q77" s="35">
        <f>ROUND(角色属性!$AL83,0)</f>
        <v>8752</v>
      </c>
      <c r="R77" s="35">
        <f>ROUND(角色属性!$AL83,0)</f>
        <v>8752</v>
      </c>
      <c r="S77" s="35">
        <f>ROUND(角色属性!$AL83,0)</f>
        <v>8752</v>
      </c>
      <c r="T77" s="35">
        <f>ROUND(角色属性!$AL83,0)</f>
        <v>8752</v>
      </c>
      <c r="U77" s="35">
        <f>ROUND(角色属性!$AL83,0)</f>
        <v>8752</v>
      </c>
      <c r="V77" s="35">
        <f>ROUND(角色属性!$AL83,0)</f>
        <v>8752</v>
      </c>
      <c r="W77" s="35">
        <f>ROUND(角色属性!$AL83,0)</f>
        <v>8752</v>
      </c>
      <c r="X77" s="35">
        <f>ROUND(角色属性!$AL83,0)</f>
        <v>8752</v>
      </c>
      <c r="Y77" s="35">
        <f>ROUND(角色属性!$AL83,0)</f>
        <v>8752</v>
      </c>
      <c r="Z77" s="35">
        <f>ROUND(角色属性!$AL83,0)</f>
        <v>8752</v>
      </c>
    </row>
    <row r="78" spans="1:26" x14ac:dyDescent="0.15">
      <c r="A78" s="37">
        <f>[2]技能伤害!$T79</f>
        <v>3.097590948610689</v>
      </c>
      <c r="B78" s="37"/>
      <c r="D78" s="1">
        <v>77</v>
      </c>
      <c r="E78" s="35">
        <f>ROUND(角色属性!$AL84*A78,0)</f>
        <v>28095</v>
      </c>
      <c r="F78" s="35">
        <f>ROUND(角色属性!$AL84,0)</f>
        <v>9070</v>
      </c>
      <c r="G78" s="35">
        <f>ROUND(角色属性!$AL84,0)</f>
        <v>9070</v>
      </c>
      <c r="H78" s="35">
        <f>ROUND(角色属性!$AL84,0)</f>
        <v>9070</v>
      </c>
      <c r="I78" s="35">
        <f>ROUND(角色属性!$AL84,0)</f>
        <v>9070</v>
      </c>
      <c r="J78" s="35">
        <f>ROUND(角色属性!$AL84,0)</f>
        <v>9070</v>
      </c>
      <c r="K78" s="35">
        <f>ROUND(角色属性!$AL84,0)</f>
        <v>9070</v>
      </c>
      <c r="L78" s="35">
        <f>ROUND(角色属性!$AL84,0)</f>
        <v>9070</v>
      </c>
      <c r="M78" s="35">
        <f>ROUND(角色属性!$AL84,0)</f>
        <v>9070</v>
      </c>
      <c r="N78" s="35">
        <f>ROUND(角色属性!$AL84,0)</f>
        <v>9070</v>
      </c>
      <c r="O78" s="35">
        <f>ROUND(角色属性!$AL84,0)</f>
        <v>9070</v>
      </c>
      <c r="P78" s="35">
        <f>ROUND(角色属性!$AL84,0)</f>
        <v>9070</v>
      </c>
      <c r="Q78" s="35">
        <f>ROUND(角色属性!$AL84,0)</f>
        <v>9070</v>
      </c>
      <c r="R78" s="35">
        <f>ROUND(角色属性!$AL84,0)</f>
        <v>9070</v>
      </c>
      <c r="S78" s="35">
        <f>ROUND(角色属性!$AL84,0)</f>
        <v>9070</v>
      </c>
      <c r="T78" s="35">
        <f>ROUND(角色属性!$AL84,0)</f>
        <v>9070</v>
      </c>
      <c r="U78" s="35">
        <f>ROUND(角色属性!$AL84,0)</f>
        <v>9070</v>
      </c>
      <c r="V78" s="35">
        <f>ROUND(角色属性!$AL84,0)</f>
        <v>9070</v>
      </c>
      <c r="W78" s="35">
        <f>ROUND(角色属性!$AL84,0)</f>
        <v>9070</v>
      </c>
      <c r="X78" s="35">
        <f>ROUND(角色属性!$AL84,0)</f>
        <v>9070</v>
      </c>
      <c r="Y78" s="35">
        <f>ROUND(角色属性!$AL84,0)</f>
        <v>9070</v>
      </c>
      <c r="Z78" s="35">
        <f>ROUND(角色属性!$AL84,0)</f>
        <v>9070</v>
      </c>
    </row>
    <row r="79" spans="1:26" x14ac:dyDescent="0.15">
      <c r="A79" s="37">
        <f>[2]技能伤害!$T80</f>
        <v>3.1329704298318592</v>
      </c>
      <c r="B79" s="37"/>
      <c r="D79" s="1">
        <v>78</v>
      </c>
      <c r="E79" s="35">
        <f>ROUND(角色属性!$AL85*A79,0)</f>
        <v>29434</v>
      </c>
      <c r="F79" s="35">
        <f>ROUND(角色属性!$AL85,0)</f>
        <v>9395</v>
      </c>
      <c r="G79" s="35">
        <f>ROUND(角色属性!$AL85,0)</f>
        <v>9395</v>
      </c>
      <c r="H79" s="35">
        <f>ROUND(角色属性!$AL85,0)</f>
        <v>9395</v>
      </c>
      <c r="I79" s="35">
        <f>ROUND(角色属性!$AL85,0)</f>
        <v>9395</v>
      </c>
      <c r="J79" s="35">
        <f>ROUND(角色属性!$AL85,0)</f>
        <v>9395</v>
      </c>
      <c r="K79" s="35">
        <f>ROUND(角色属性!$AL85,0)</f>
        <v>9395</v>
      </c>
      <c r="L79" s="35">
        <f>ROUND(角色属性!$AL85,0)</f>
        <v>9395</v>
      </c>
      <c r="M79" s="35">
        <f>ROUND(角色属性!$AL85,0)</f>
        <v>9395</v>
      </c>
      <c r="N79" s="35">
        <f>ROUND(角色属性!$AL85,0)</f>
        <v>9395</v>
      </c>
      <c r="O79" s="35">
        <f>ROUND(角色属性!$AL85,0)</f>
        <v>9395</v>
      </c>
      <c r="P79" s="35">
        <f>ROUND(角色属性!$AL85,0)</f>
        <v>9395</v>
      </c>
      <c r="Q79" s="35">
        <f>ROUND(角色属性!$AL85,0)</f>
        <v>9395</v>
      </c>
      <c r="R79" s="35">
        <f>ROUND(角色属性!$AL85,0)</f>
        <v>9395</v>
      </c>
      <c r="S79" s="35">
        <f>ROUND(角色属性!$AL85,0)</f>
        <v>9395</v>
      </c>
      <c r="T79" s="35">
        <f>ROUND(角色属性!$AL85,0)</f>
        <v>9395</v>
      </c>
      <c r="U79" s="35">
        <f>ROUND(角色属性!$AL85,0)</f>
        <v>9395</v>
      </c>
      <c r="V79" s="35">
        <f>ROUND(角色属性!$AL85,0)</f>
        <v>9395</v>
      </c>
      <c r="W79" s="35">
        <f>ROUND(角色属性!$AL85,0)</f>
        <v>9395</v>
      </c>
      <c r="X79" s="35">
        <f>ROUND(角色属性!$AL85,0)</f>
        <v>9395</v>
      </c>
      <c r="Y79" s="35">
        <f>ROUND(角色属性!$AL85,0)</f>
        <v>9395</v>
      </c>
      <c r="Z79" s="35">
        <f>ROUND(角色属性!$AL85,0)</f>
        <v>9395</v>
      </c>
    </row>
    <row r="80" spans="1:26" x14ac:dyDescent="0.15">
      <c r="A80" s="37">
        <f>[2]技能伤害!$T81</f>
        <v>3.1683199343556194</v>
      </c>
      <c r="B80" s="37"/>
      <c r="D80" s="1">
        <v>79</v>
      </c>
      <c r="E80" s="35">
        <f>ROUND(角色属性!$AL86*A80,0)</f>
        <v>30825</v>
      </c>
      <c r="F80" s="35">
        <f>ROUND(角色属性!$AL86,0)</f>
        <v>9729</v>
      </c>
      <c r="G80" s="35">
        <f>ROUND(角色属性!$AL86,0)</f>
        <v>9729</v>
      </c>
      <c r="H80" s="35">
        <f>ROUND(角色属性!$AL86,0)</f>
        <v>9729</v>
      </c>
      <c r="I80" s="35">
        <f>ROUND(角色属性!$AL86,0)</f>
        <v>9729</v>
      </c>
      <c r="J80" s="35">
        <f>ROUND(角色属性!$AL86,0)</f>
        <v>9729</v>
      </c>
      <c r="K80" s="35">
        <f>ROUND(角色属性!$AL86,0)</f>
        <v>9729</v>
      </c>
      <c r="L80" s="35">
        <f>ROUND(角色属性!$AL86,0)</f>
        <v>9729</v>
      </c>
      <c r="M80" s="35">
        <f>ROUND(角色属性!$AL86,0)</f>
        <v>9729</v>
      </c>
      <c r="N80" s="35">
        <f>ROUND(角色属性!$AL86,0)</f>
        <v>9729</v>
      </c>
      <c r="O80" s="35">
        <f>ROUND(角色属性!$AL86,0)</f>
        <v>9729</v>
      </c>
      <c r="P80" s="35">
        <f>ROUND(角色属性!$AL86,0)</f>
        <v>9729</v>
      </c>
      <c r="Q80" s="35">
        <f>ROUND(角色属性!$AL86,0)</f>
        <v>9729</v>
      </c>
      <c r="R80" s="35">
        <f>ROUND(角色属性!$AL86,0)</f>
        <v>9729</v>
      </c>
      <c r="S80" s="35">
        <f>ROUND(角色属性!$AL86,0)</f>
        <v>9729</v>
      </c>
      <c r="T80" s="35">
        <f>ROUND(角色属性!$AL86,0)</f>
        <v>9729</v>
      </c>
      <c r="U80" s="35">
        <f>ROUND(角色属性!$AL86,0)</f>
        <v>9729</v>
      </c>
      <c r="V80" s="35">
        <f>ROUND(角色属性!$AL86,0)</f>
        <v>9729</v>
      </c>
      <c r="W80" s="35">
        <f>ROUND(角色属性!$AL86,0)</f>
        <v>9729</v>
      </c>
      <c r="X80" s="35">
        <f>ROUND(角色属性!$AL86,0)</f>
        <v>9729</v>
      </c>
      <c r="Y80" s="35">
        <f>ROUND(角色属性!$AL86,0)</f>
        <v>9729</v>
      </c>
      <c r="Z80" s="35">
        <f>ROUND(角色属性!$AL86,0)</f>
        <v>9729</v>
      </c>
    </row>
    <row r="81" spans="1:26" x14ac:dyDescent="0.15">
      <c r="A81" s="37">
        <f>[2]技能伤害!$T82</f>
        <v>3.2038830419308657</v>
      </c>
      <c r="B81" s="37"/>
      <c r="D81" s="1">
        <v>80</v>
      </c>
      <c r="E81" s="35">
        <f>ROUND(角色属性!$AL87*A81,0)</f>
        <v>32266</v>
      </c>
      <c r="F81" s="35">
        <f>ROUND(角色属性!$AL87,0)</f>
        <v>10071</v>
      </c>
      <c r="G81" s="35">
        <f>ROUND(角色属性!$AL87,0)</f>
        <v>10071</v>
      </c>
      <c r="H81" s="35">
        <f>ROUND(角色属性!$AL87,0)</f>
        <v>10071</v>
      </c>
      <c r="I81" s="35">
        <f>ROUND(角色属性!$AL87,0)</f>
        <v>10071</v>
      </c>
      <c r="J81" s="35">
        <f>ROUND(角色属性!$AL87,0)</f>
        <v>10071</v>
      </c>
      <c r="K81" s="35">
        <f>ROUND(角色属性!$AL87,0)</f>
        <v>10071</v>
      </c>
      <c r="L81" s="35">
        <f>ROUND(角色属性!$AL87,0)</f>
        <v>10071</v>
      </c>
      <c r="M81" s="35">
        <f>ROUND(角色属性!$AL87,0)</f>
        <v>10071</v>
      </c>
      <c r="N81" s="35">
        <f>ROUND(角色属性!$AL87,0)</f>
        <v>10071</v>
      </c>
      <c r="O81" s="35">
        <f>ROUND(角色属性!$AL87,0)</f>
        <v>10071</v>
      </c>
      <c r="P81" s="35">
        <f>ROUND(角色属性!$AL87,0)</f>
        <v>10071</v>
      </c>
      <c r="Q81" s="35">
        <f>ROUND(角色属性!$AL87,0)</f>
        <v>10071</v>
      </c>
      <c r="R81" s="35">
        <f>ROUND(角色属性!$AL87,0)</f>
        <v>10071</v>
      </c>
      <c r="S81" s="35">
        <f>ROUND(角色属性!$AL87,0)</f>
        <v>10071</v>
      </c>
      <c r="T81" s="35">
        <f>ROUND(角色属性!$AL87,0)</f>
        <v>10071</v>
      </c>
      <c r="U81" s="35">
        <f>ROUND(角色属性!$AL87,0)</f>
        <v>10071</v>
      </c>
      <c r="V81" s="35">
        <f>ROUND(角色属性!$AL87,0)</f>
        <v>10071</v>
      </c>
      <c r="W81" s="35">
        <f>ROUND(角色属性!$AL87,0)</f>
        <v>10071</v>
      </c>
      <c r="X81" s="35">
        <f>ROUND(角色属性!$AL87,0)</f>
        <v>10071</v>
      </c>
      <c r="Y81" s="35">
        <f>ROUND(角色属性!$AL87,0)</f>
        <v>10071</v>
      </c>
      <c r="Z81" s="35">
        <f>ROUND(角色属性!$AL87,0)</f>
        <v>10071</v>
      </c>
    </row>
    <row r="82" spans="1:26" x14ac:dyDescent="0.15">
      <c r="A82" s="37">
        <f>[2]技能伤害!$T83</f>
        <v>3.2401775579403194</v>
      </c>
      <c r="B82" s="37"/>
      <c r="D82" s="1">
        <v>81</v>
      </c>
      <c r="E82" s="35">
        <f>ROUND(角色属性!$AL88*A82,0)</f>
        <v>33766</v>
      </c>
      <c r="F82" s="35">
        <f>ROUND(角色属性!$AL88,0)</f>
        <v>10421</v>
      </c>
      <c r="G82" s="35">
        <f>ROUND(角色属性!$AL88,0)</f>
        <v>10421</v>
      </c>
      <c r="H82" s="35">
        <f>ROUND(角色属性!$AL88,0)</f>
        <v>10421</v>
      </c>
      <c r="I82" s="35">
        <f>ROUND(角色属性!$AL88,0)</f>
        <v>10421</v>
      </c>
      <c r="J82" s="35">
        <f>ROUND(角色属性!$AL88,0)</f>
        <v>10421</v>
      </c>
      <c r="K82" s="35">
        <f>ROUND(角色属性!$AL88,0)</f>
        <v>10421</v>
      </c>
      <c r="L82" s="35">
        <f>ROUND(角色属性!$AL88,0)</f>
        <v>10421</v>
      </c>
      <c r="M82" s="35">
        <f>ROUND(角色属性!$AL88,0)</f>
        <v>10421</v>
      </c>
      <c r="N82" s="35">
        <f>ROUND(角色属性!$AL88,0)</f>
        <v>10421</v>
      </c>
      <c r="O82" s="35">
        <f>ROUND(角色属性!$AL88,0)</f>
        <v>10421</v>
      </c>
      <c r="P82" s="35">
        <f>ROUND(角色属性!$AL88,0)</f>
        <v>10421</v>
      </c>
      <c r="Q82" s="35">
        <f>ROUND(角色属性!$AL88,0)</f>
        <v>10421</v>
      </c>
      <c r="R82" s="35">
        <f>ROUND(角色属性!$AL88,0)</f>
        <v>10421</v>
      </c>
      <c r="S82" s="35">
        <f>ROUND(角色属性!$AL88,0)</f>
        <v>10421</v>
      </c>
      <c r="T82" s="35">
        <f>ROUND(角色属性!$AL88,0)</f>
        <v>10421</v>
      </c>
      <c r="U82" s="35">
        <f>ROUND(角色属性!$AL88,0)</f>
        <v>10421</v>
      </c>
      <c r="V82" s="35">
        <f>ROUND(角色属性!$AL88,0)</f>
        <v>10421</v>
      </c>
      <c r="W82" s="35">
        <f>ROUND(角色属性!$AL88,0)</f>
        <v>10421</v>
      </c>
      <c r="X82" s="35">
        <f>ROUND(角色属性!$AL88,0)</f>
        <v>10421</v>
      </c>
      <c r="Y82" s="35">
        <f>ROUND(角色属性!$AL88,0)</f>
        <v>10421</v>
      </c>
      <c r="Z82" s="35">
        <f>ROUND(角色属性!$AL88,0)</f>
        <v>10421</v>
      </c>
    </row>
    <row r="83" spans="1:26" x14ac:dyDescent="0.15">
      <c r="A83" s="37">
        <f>[2]技能伤害!$T84</f>
        <v>3.2761501485809994</v>
      </c>
      <c r="B83" s="37"/>
      <c r="D83" s="1">
        <v>82</v>
      </c>
      <c r="E83" s="35">
        <f>ROUND(角色属性!$AL89*A83,0)</f>
        <v>35314</v>
      </c>
      <c r="F83" s="35">
        <f>ROUND(角色属性!$AL89,0)</f>
        <v>10779</v>
      </c>
      <c r="G83" s="35">
        <f>ROUND(角色属性!$AL89,0)</f>
        <v>10779</v>
      </c>
      <c r="H83" s="35">
        <f>ROUND(角色属性!$AL89,0)</f>
        <v>10779</v>
      </c>
      <c r="I83" s="35">
        <f>ROUND(角色属性!$AL89,0)</f>
        <v>10779</v>
      </c>
      <c r="J83" s="35">
        <f>ROUND(角色属性!$AL89,0)</f>
        <v>10779</v>
      </c>
      <c r="K83" s="35">
        <f>ROUND(角色属性!$AL89,0)</f>
        <v>10779</v>
      </c>
      <c r="L83" s="35">
        <f>ROUND(角色属性!$AL89,0)</f>
        <v>10779</v>
      </c>
      <c r="M83" s="35">
        <f>ROUND(角色属性!$AL89,0)</f>
        <v>10779</v>
      </c>
      <c r="N83" s="35">
        <f>ROUND(角色属性!$AL89,0)</f>
        <v>10779</v>
      </c>
      <c r="O83" s="35">
        <f>ROUND(角色属性!$AL89,0)</f>
        <v>10779</v>
      </c>
      <c r="P83" s="35">
        <f>ROUND(角色属性!$AL89,0)</f>
        <v>10779</v>
      </c>
      <c r="Q83" s="35">
        <f>ROUND(角色属性!$AL89,0)</f>
        <v>10779</v>
      </c>
      <c r="R83" s="35">
        <f>ROUND(角色属性!$AL89,0)</f>
        <v>10779</v>
      </c>
      <c r="S83" s="35">
        <f>ROUND(角色属性!$AL89,0)</f>
        <v>10779</v>
      </c>
      <c r="T83" s="35">
        <f>ROUND(角色属性!$AL89,0)</f>
        <v>10779</v>
      </c>
      <c r="U83" s="35">
        <f>ROUND(角色属性!$AL89,0)</f>
        <v>10779</v>
      </c>
      <c r="V83" s="35">
        <f>ROUND(角色属性!$AL89,0)</f>
        <v>10779</v>
      </c>
      <c r="W83" s="35">
        <f>ROUND(角色属性!$AL89,0)</f>
        <v>10779</v>
      </c>
      <c r="X83" s="35">
        <f>ROUND(角色属性!$AL89,0)</f>
        <v>10779</v>
      </c>
      <c r="Y83" s="35">
        <f>ROUND(角色属性!$AL89,0)</f>
        <v>10779</v>
      </c>
      <c r="Z83" s="35">
        <f>ROUND(角色属性!$AL89,0)</f>
        <v>10779</v>
      </c>
    </row>
    <row r="84" spans="1:26" x14ac:dyDescent="0.15">
      <c r="A84" s="37">
        <f>[2]技能伤害!$T85</f>
        <v>3.3124815336667548</v>
      </c>
      <c r="B84" s="37"/>
      <c r="D84" s="1">
        <v>83</v>
      </c>
      <c r="E84" s="35">
        <f>ROUND(角色属性!$AL90*A84,0)</f>
        <v>36921</v>
      </c>
      <c r="F84" s="35">
        <f>ROUND(角色属性!$AL90,0)</f>
        <v>11146</v>
      </c>
      <c r="G84" s="35">
        <f>ROUND(角色属性!$AL90,0)</f>
        <v>11146</v>
      </c>
      <c r="H84" s="35">
        <f>ROUND(角色属性!$AL90,0)</f>
        <v>11146</v>
      </c>
      <c r="I84" s="35">
        <f>ROUND(角色属性!$AL90,0)</f>
        <v>11146</v>
      </c>
      <c r="J84" s="35">
        <f>ROUND(角色属性!$AL90,0)</f>
        <v>11146</v>
      </c>
      <c r="K84" s="35">
        <f>ROUND(角色属性!$AL90,0)</f>
        <v>11146</v>
      </c>
      <c r="L84" s="35">
        <f>ROUND(角色属性!$AL90,0)</f>
        <v>11146</v>
      </c>
      <c r="M84" s="35">
        <f>ROUND(角色属性!$AL90,0)</f>
        <v>11146</v>
      </c>
      <c r="N84" s="35">
        <f>ROUND(角色属性!$AL90,0)</f>
        <v>11146</v>
      </c>
      <c r="O84" s="35">
        <f>ROUND(角色属性!$AL90,0)</f>
        <v>11146</v>
      </c>
      <c r="P84" s="35">
        <f>ROUND(角色属性!$AL90,0)</f>
        <v>11146</v>
      </c>
      <c r="Q84" s="35">
        <f>ROUND(角色属性!$AL90,0)</f>
        <v>11146</v>
      </c>
      <c r="R84" s="35">
        <f>ROUND(角色属性!$AL90,0)</f>
        <v>11146</v>
      </c>
      <c r="S84" s="35">
        <f>ROUND(角色属性!$AL90,0)</f>
        <v>11146</v>
      </c>
      <c r="T84" s="35">
        <f>ROUND(角色属性!$AL90,0)</f>
        <v>11146</v>
      </c>
      <c r="U84" s="35">
        <f>ROUND(角色属性!$AL90,0)</f>
        <v>11146</v>
      </c>
      <c r="V84" s="35">
        <f>ROUND(角色属性!$AL90,0)</f>
        <v>11146</v>
      </c>
      <c r="W84" s="35">
        <f>ROUND(角色属性!$AL90,0)</f>
        <v>11146</v>
      </c>
      <c r="X84" s="35">
        <f>ROUND(角色属性!$AL90,0)</f>
        <v>11146</v>
      </c>
      <c r="Y84" s="35">
        <f>ROUND(角色属性!$AL90,0)</f>
        <v>11146</v>
      </c>
      <c r="Z84" s="35">
        <f>ROUND(角色属性!$AL90,0)</f>
        <v>11146</v>
      </c>
    </row>
    <row r="85" spans="1:26" x14ac:dyDescent="0.15">
      <c r="A85" s="37">
        <f>[2]技能伤害!$T86</f>
        <v>3.3490089208620208</v>
      </c>
      <c r="B85" s="37"/>
      <c r="D85" s="1">
        <v>84</v>
      </c>
      <c r="E85" s="35">
        <f>ROUND(角色属性!$AL91*A85,0)</f>
        <v>38584</v>
      </c>
      <c r="F85" s="35">
        <f>ROUND(角色属性!$AL91,0)</f>
        <v>11521</v>
      </c>
      <c r="G85" s="35">
        <f>ROUND(角色属性!$AL91,0)</f>
        <v>11521</v>
      </c>
      <c r="H85" s="35">
        <f>ROUND(角色属性!$AL91,0)</f>
        <v>11521</v>
      </c>
      <c r="I85" s="35">
        <f>ROUND(角色属性!$AL91,0)</f>
        <v>11521</v>
      </c>
      <c r="J85" s="35">
        <f>ROUND(角色属性!$AL91,0)</f>
        <v>11521</v>
      </c>
      <c r="K85" s="35">
        <f>ROUND(角色属性!$AL91,0)</f>
        <v>11521</v>
      </c>
      <c r="L85" s="35">
        <f>ROUND(角色属性!$AL91,0)</f>
        <v>11521</v>
      </c>
      <c r="M85" s="35">
        <f>ROUND(角色属性!$AL91,0)</f>
        <v>11521</v>
      </c>
      <c r="N85" s="35">
        <f>ROUND(角色属性!$AL91,0)</f>
        <v>11521</v>
      </c>
      <c r="O85" s="35">
        <f>ROUND(角色属性!$AL91,0)</f>
        <v>11521</v>
      </c>
      <c r="P85" s="35">
        <f>ROUND(角色属性!$AL91,0)</f>
        <v>11521</v>
      </c>
      <c r="Q85" s="35">
        <f>ROUND(角色属性!$AL91,0)</f>
        <v>11521</v>
      </c>
      <c r="R85" s="35">
        <f>ROUND(角色属性!$AL91,0)</f>
        <v>11521</v>
      </c>
      <c r="S85" s="35">
        <f>ROUND(角色属性!$AL91,0)</f>
        <v>11521</v>
      </c>
      <c r="T85" s="35">
        <f>ROUND(角色属性!$AL91,0)</f>
        <v>11521</v>
      </c>
      <c r="U85" s="35">
        <f>ROUND(角色属性!$AL91,0)</f>
        <v>11521</v>
      </c>
      <c r="V85" s="35">
        <f>ROUND(角色属性!$AL91,0)</f>
        <v>11521</v>
      </c>
      <c r="W85" s="35">
        <f>ROUND(角色属性!$AL91,0)</f>
        <v>11521</v>
      </c>
      <c r="X85" s="35">
        <f>ROUND(角色属性!$AL91,0)</f>
        <v>11521</v>
      </c>
      <c r="Y85" s="35">
        <f>ROUND(角色属性!$AL91,0)</f>
        <v>11521</v>
      </c>
      <c r="Z85" s="35">
        <f>ROUND(角色属性!$AL91,0)</f>
        <v>11521</v>
      </c>
    </row>
    <row r="86" spans="1:26" x14ac:dyDescent="0.15">
      <c r="A86" s="37">
        <f>[2]技能伤害!$T87</f>
        <v>3.3856008838950298</v>
      </c>
      <c r="B86" s="37"/>
      <c r="D86" s="1">
        <v>85</v>
      </c>
      <c r="E86" s="35">
        <f>ROUND(角色属性!$AL92*A86,0)</f>
        <v>40302</v>
      </c>
      <c r="F86" s="35">
        <f>ROUND(角色属性!$AL92,0)</f>
        <v>11904</v>
      </c>
      <c r="G86" s="35">
        <f>ROUND(角色属性!$AL92,0)</f>
        <v>11904</v>
      </c>
      <c r="H86" s="35">
        <f>ROUND(角色属性!$AL92,0)</f>
        <v>11904</v>
      </c>
      <c r="I86" s="35">
        <f>ROUND(角色属性!$AL92,0)</f>
        <v>11904</v>
      </c>
      <c r="J86" s="35">
        <f>ROUND(角色属性!$AL92,0)</f>
        <v>11904</v>
      </c>
      <c r="K86" s="35">
        <f>ROUND(角色属性!$AL92,0)</f>
        <v>11904</v>
      </c>
      <c r="L86" s="35">
        <f>ROUND(角色属性!$AL92,0)</f>
        <v>11904</v>
      </c>
      <c r="M86" s="35">
        <f>ROUND(角色属性!$AL92,0)</f>
        <v>11904</v>
      </c>
      <c r="N86" s="35">
        <f>ROUND(角色属性!$AL92,0)</f>
        <v>11904</v>
      </c>
      <c r="O86" s="35">
        <f>ROUND(角色属性!$AL92,0)</f>
        <v>11904</v>
      </c>
      <c r="P86" s="35">
        <f>ROUND(角色属性!$AL92,0)</f>
        <v>11904</v>
      </c>
      <c r="Q86" s="35">
        <f>ROUND(角色属性!$AL92,0)</f>
        <v>11904</v>
      </c>
      <c r="R86" s="35">
        <f>ROUND(角色属性!$AL92,0)</f>
        <v>11904</v>
      </c>
      <c r="S86" s="35">
        <f>ROUND(角色属性!$AL92,0)</f>
        <v>11904</v>
      </c>
      <c r="T86" s="35">
        <f>ROUND(角色属性!$AL92,0)</f>
        <v>11904</v>
      </c>
      <c r="U86" s="35">
        <f>ROUND(角色属性!$AL92,0)</f>
        <v>11904</v>
      </c>
      <c r="V86" s="35">
        <f>ROUND(角色属性!$AL92,0)</f>
        <v>11904</v>
      </c>
      <c r="W86" s="35">
        <f>ROUND(角色属性!$AL92,0)</f>
        <v>11904</v>
      </c>
      <c r="X86" s="35">
        <f>ROUND(角色属性!$AL92,0)</f>
        <v>11904</v>
      </c>
      <c r="Y86" s="35">
        <f>ROUND(角色属性!$AL92,0)</f>
        <v>11904</v>
      </c>
      <c r="Z86" s="35">
        <f>ROUND(角色属性!$AL92,0)</f>
        <v>11904</v>
      </c>
    </row>
    <row r="87" spans="1:26" x14ac:dyDescent="0.15">
      <c r="A87" s="37">
        <f>[2]技能伤害!$T88</f>
        <v>3.422550405248443</v>
      </c>
      <c r="B87" s="37"/>
      <c r="D87" s="1">
        <v>86</v>
      </c>
      <c r="E87" s="35">
        <f>ROUND(角色属性!$AL93*A87,0)</f>
        <v>42084</v>
      </c>
      <c r="F87" s="35">
        <f>ROUND(角色属性!$AL93,0)</f>
        <v>12296</v>
      </c>
      <c r="G87" s="35">
        <f>ROUND(角色属性!$AL93,0)</f>
        <v>12296</v>
      </c>
      <c r="H87" s="35">
        <f>ROUND(角色属性!$AL93,0)</f>
        <v>12296</v>
      </c>
      <c r="I87" s="35">
        <f>ROUND(角色属性!$AL93,0)</f>
        <v>12296</v>
      </c>
      <c r="J87" s="35">
        <f>ROUND(角色属性!$AL93,0)</f>
        <v>12296</v>
      </c>
      <c r="K87" s="35">
        <f>ROUND(角色属性!$AL93,0)</f>
        <v>12296</v>
      </c>
      <c r="L87" s="35">
        <f>ROUND(角色属性!$AL93,0)</f>
        <v>12296</v>
      </c>
      <c r="M87" s="35">
        <f>ROUND(角色属性!$AL93,0)</f>
        <v>12296</v>
      </c>
      <c r="N87" s="35">
        <f>ROUND(角色属性!$AL93,0)</f>
        <v>12296</v>
      </c>
      <c r="O87" s="35">
        <f>ROUND(角色属性!$AL93,0)</f>
        <v>12296</v>
      </c>
      <c r="P87" s="35">
        <f>ROUND(角色属性!$AL93,0)</f>
        <v>12296</v>
      </c>
      <c r="Q87" s="35">
        <f>ROUND(角色属性!$AL93,0)</f>
        <v>12296</v>
      </c>
      <c r="R87" s="35">
        <f>ROUND(角色属性!$AL93,0)</f>
        <v>12296</v>
      </c>
      <c r="S87" s="35">
        <f>ROUND(角色属性!$AL93,0)</f>
        <v>12296</v>
      </c>
      <c r="T87" s="35">
        <f>ROUND(角色属性!$AL93,0)</f>
        <v>12296</v>
      </c>
      <c r="U87" s="35">
        <f>ROUND(角色属性!$AL93,0)</f>
        <v>12296</v>
      </c>
      <c r="V87" s="35">
        <f>ROUND(角色属性!$AL93,0)</f>
        <v>12296</v>
      </c>
      <c r="W87" s="35">
        <f>ROUND(角色属性!$AL93,0)</f>
        <v>12296</v>
      </c>
      <c r="X87" s="35">
        <f>ROUND(角色属性!$AL93,0)</f>
        <v>12296</v>
      </c>
      <c r="Y87" s="35">
        <f>ROUND(角色属性!$AL93,0)</f>
        <v>12296</v>
      </c>
      <c r="Z87" s="35">
        <f>ROUND(角色属性!$AL93,0)</f>
        <v>12296</v>
      </c>
    </row>
    <row r="88" spans="1:26" x14ac:dyDescent="0.15">
      <c r="A88" s="37">
        <f>[2]技能伤害!$T89</f>
        <v>3.4598019346380124</v>
      </c>
      <c r="B88" s="37"/>
      <c r="D88" s="1">
        <v>87</v>
      </c>
      <c r="E88" s="35">
        <f>ROUND(角色属性!$AL94*A88,0)</f>
        <v>43929</v>
      </c>
      <c r="F88" s="35">
        <f>ROUND(角色属性!$AL94,0)</f>
        <v>12697</v>
      </c>
      <c r="G88" s="35">
        <f>ROUND(角色属性!$AL94,0)</f>
        <v>12697</v>
      </c>
      <c r="H88" s="35">
        <f>ROUND(角色属性!$AL94,0)</f>
        <v>12697</v>
      </c>
      <c r="I88" s="35">
        <f>ROUND(角色属性!$AL94,0)</f>
        <v>12697</v>
      </c>
      <c r="J88" s="35">
        <f>ROUND(角色属性!$AL94,0)</f>
        <v>12697</v>
      </c>
      <c r="K88" s="35">
        <f>ROUND(角色属性!$AL94,0)</f>
        <v>12697</v>
      </c>
      <c r="L88" s="35">
        <f>ROUND(角色属性!$AL94,0)</f>
        <v>12697</v>
      </c>
      <c r="M88" s="35">
        <f>ROUND(角色属性!$AL94,0)</f>
        <v>12697</v>
      </c>
      <c r="N88" s="35">
        <f>ROUND(角色属性!$AL94,0)</f>
        <v>12697</v>
      </c>
      <c r="O88" s="35">
        <f>ROUND(角色属性!$AL94,0)</f>
        <v>12697</v>
      </c>
      <c r="P88" s="35">
        <f>ROUND(角色属性!$AL94,0)</f>
        <v>12697</v>
      </c>
      <c r="Q88" s="35">
        <f>ROUND(角色属性!$AL94,0)</f>
        <v>12697</v>
      </c>
      <c r="R88" s="35">
        <f>ROUND(角色属性!$AL94,0)</f>
        <v>12697</v>
      </c>
      <c r="S88" s="35">
        <f>ROUND(角色属性!$AL94,0)</f>
        <v>12697</v>
      </c>
      <c r="T88" s="35">
        <f>ROUND(角色属性!$AL94,0)</f>
        <v>12697</v>
      </c>
      <c r="U88" s="35">
        <f>ROUND(角色属性!$AL94,0)</f>
        <v>12697</v>
      </c>
      <c r="V88" s="35">
        <f>ROUND(角色属性!$AL94,0)</f>
        <v>12697</v>
      </c>
      <c r="W88" s="35">
        <f>ROUND(角色属性!$AL94,0)</f>
        <v>12697</v>
      </c>
      <c r="X88" s="35">
        <f>ROUND(角色属性!$AL94,0)</f>
        <v>12697</v>
      </c>
      <c r="Y88" s="35">
        <f>ROUND(角色属性!$AL94,0)</f>
        <v>12697</v>
      </c>
      <c r="Z88" s="35">
        <f>ROUND(角色属性!$AL94,0)</f>
        <v>12697</v>
      </c>
    </row>
    <row r="89" spans="1:26" x14ac:dyDescent="0.15">
      <c r="A89" s="37">
        <f>[2]技能伤害!$T90</f>
        <v>3.4971190374162529</v>
      </c>
      <c r="B89" s="37"/>
      <c r="D89" s="1">
        <v>88</v>
      </c>
      <c r="E89" s="35">
        <f>ROUND(角色属性!$AL95*A89,0)</f>
        <v>45833</v>
      </c>
      <c r="F89" s="35">
        <f>ROUND(角色属性!$AL95,0)</f>
        <v>13106</v>
      </c>
      <c r="G89" s="35">
        <f>ROUND(角色属性!$AL95,0)</f>
        <v>13106</v>
      </c>
      <c r="H89" s="35">
        <f>ROUND(角色属性!$AL95,0)</f>
        <v>13106</v>
      </c>
      <c r="I89" s="35">
        <f>ROUND(角色属性!$AL95,0)</f>
        <v>13106</v>
      </c>
      <c r="J89" s="35">
        <f>ROUND(角色属性!$AL95,0)</f>
        <v>13106</v>
      </c>
      <c r="K89" s="35">
        <f>ROUND(角色属性!$AL95,0)</f>
        <v>13106</v>
      </c>
      <c r="L89" s="35">
        <f>ROUND(角色属性!$AL95,0)</f>
        <v>13106</v>
      </c>
      <c r="M89" s="35">
        <f>ROUND(角色属性!$AL95,0)</f>
        <v>13106</v>
      </c>
      <c r="N89" s="35">
        <f>ROUND(角色属性!$AL95,0)</f>
        <v>13106</v>
      </c>
      <c r="O89" s="35">
        <f>ROUND(角色属性!$AL95,0)</f>
        <v>13106</v>
      </c>
      <c r="P89" s="35">
        <f>ROUND(角色属性!$AL95,0)</f>
        <v>13106</v>
      </c>
      <c r="Q89" s="35">
        <f>ROUND(角色属性!$AL95,0)</f>
        <v>13106</v>
      </c>
      <c r="R89" s="35">
        <f>ROUND(角色属性!$AL95,0)</f>
        <v>13106</v>
      </c>
      <c r="S89" s="35">
        <f>ROUND(角色属性!$AL95,0)</f>
        <v>13106</v>
      </c>
      <c r="T89" s="35">
        <f>ROUND(角色属性!$AL95,0)</f>
        <v>13106</v>
      </c>
      <c r="U89" s="35">
        <f>ROUND(角色属性!$AL95,0)</f>
        <v>13106</v>
      </c>
      <c r="V89" s="35">
        <f>ROUND(角色属性!$AL95,0)</f>
        <v>13106</v>
      </c>
      <c r="W89" s="35">
        <f>ROUND(角色属性!$AL95,0)</f>
        <v>13106</v>
      </c>
      <c r="X89" s="35">
        <f>ROUND(角色属性!$AL95,0)</f>
        <v>13106</v>
      </c>
      <c r="Y89" s="35">
        <f>ROUND(角色属性!$AL95,0)</f>
        <v>13106</v>
      </c>
      <c r="Z89" s="35">
        <f>ROUND(角色属性!$AL95,0)</f>
        <v>13106</v>
      </c>
    </row>
    <row r="90" spans="1:26" x14ac:dyDescent="0.15">
      <c r="A90" s="37">
        <f>[2]技能伤害!$T91</f>
        <v>3.5344472270348177</v>
      </c>
      <c r="B90" s="37"/>
      <c r="D90" s="1">
        <v>89</v>
      </c>
      <c r="E90" s="35">
        <f>ROUND(角色属性!$AL96*A90,0)</f>
        <v>47803</v>
      </c>
      <c r="F90" s="35">
        <f>ROUND(角色属性!$AL96,0)</f>
        <v>13525</v>
      </c>
      <c r="G90" s="35">
        <f>ROUND(角色属性!$AL96,0)</f>
        <v>13525</v>
      </c>
      <c r="H90" s="35">
        <f>ROUND(角色属性!$AL96,0)</f>
        <v>13525</v>
      </c>
      <c r="I90" s="35">
        <f>ROUND(角色属性!$AL96,0)</f>
        <v>13525</v>
      </c>
      <c r="J90" s="35">
        <f>ROUND(角色属性!$AL96,0)</f>
        <v>13525</v>
      </c>
      <c r="K90" s="35">
        <f>ROUND(角色属性!$AL96,0)</f>
        <v>13525</v>
      </c>
      <c r="L90" s="35">
        <f>ROUND(角色属性!$AL96,0)</f>
        <v>13525</v>
      </c>
      <c r="M90" s="35">
        <f>ROUND(角色属性!$AL96,0)</f>
        <v>13525</v>
      </c>
      <c r="N90" s="35">
        <f>ROUND(角色属性!$AL96,0)</f>
        <v>13525</v>
      </c>
      <c r="O90" s="35">
        <f>ROUND(角色属性!$AL96,0)</f>
        <v>13525</v>
      </c>
      <c r="P90" s="35">
        <f>ROUND(角色属性!$AL96,0)</f>
        <v>13525</v>
      </c>
      <c r="Q90" s="35">
        <f>ROUND(角色属性!$AL96,0)</f>
        <v>13525</v>
      </c>
      <c r="R90" s="35">
        <f>ROUND(角色属性!$AL96,0)</f>
        <v>13525</v>
      </c>
      <c r="S90" s="35">
        <f>ROUND(角色属性!$AL96,0)</f>
        <v>13525</v>
      </c>
      <c r="T90" s="35">
        <f>ROUND(角色属性!$AL96,0)</f>
        <v>13525</v>
      </c>
      <c r="U90" s="35">
        <f>ROUND(角色属性!$AL96,0)</f>
        <v>13525</v>
      </c>
      <c r="V90" s="35">
        <f>ROUND(角色属性!$AL96,0)</f>
        <v>13525</v>
      </c>
      <c r="W90" s="35">
        <f>ROUND(角色属性!$AL96,0)</f>
        <v>13525</v>
      </c>
      <c r="X90" s="35">
        <f>ROUND(角色属性!$AL96,0)</f>
        <v>13525</v>
      </c>
      <c r="Y90" s="35">
        <f>ROUND(角色属性!$AL96,0)</f>
        <v>13525</v>
      </c>
      <c r="Z90" s="35">
        <f>ROUND(角色属性!$AL96,0)</f>
        <v>13525</v>
      </c>
    </row>
    <row r="91" spans="1:26" x14ac:dyDescent="0.15">
      <c r="A91" s="37">
        <f>[2]技能伤害!$T92</f>
        <v>3.572289117305508</v>
      </c>
      <c r="B91" s="37"/>
      <c r="D91" s="1">
        <v>90</v>
      </c>
      <c r="E91" s="35">
        <f>ROUND(角色属性!$AL97*A91,0)</f>
        <v>49841</v>
      </c>
      <c r="F91" s="35">
        <f>ROUND(角色属性!$AL97,0)</f>
        <v>13952</v>
      </c>
      <c r="G91" s="35">
        <f>ROUND(角色属性!$AL97,0)</f>
        <v>13952</v>
      </c>
      <c r="H91" s="35">
        <f>ROUND(角色属性!$AL97,0)</f>
        <v>13952</v>
      </c>
      <c r="I91" s="35">
        <f>ROUND(角色属性!$AL97,0)</f>
        <v>13952</v>
      </c>
      <c r="J91" s="35">
        <f>ROUND(角色属性!$AL97,0)</f>
        <v>13952</v>
      </c>
      <c r="K91" s="35">
        <f>ROUND(角色属性!$AL97,0)</f>
        <v>13952</v>
      </c>
      <c r="L91" s="35">
        <f>ROUND(角色属性!$AL97,0)</f>
        <v>13952</v>
      </c>
      <c r="M91" s="35">
        <f>ROUND(角色属性!$AL97,0)</f>
        <v>13952</v>
      </c>
      <c r="N91" s="35">
        <f>ROUND(角色属性!$AL97,0)</f>
        <v>13952</v>
      </c>
      <c r="O91" s="35">
        <f>ROUND(角色属性!$AL97,0)</f>
        <v>13952</v>
      </c>
      <c r="P91" s="35">
        <f>ROUND(角色属性!$AL97,0)</f>
        <v>13952</v>
      </c>
      <c r="Q91" s="35">
        <f>ROUND(角色属性!$AL97,0)</f>
        <v>13952</v>
      </c>
      <c r="R91" s="35">
        <f>ROUND(角色属性!$AL97,0)</f>
        <v>13952</v>
      </c>
      <c r="S91" s="35">
        <f>ROUND(角色属性!$AL97,0)</f>
        <v>13952</v>
      </c>
      <c r="T91" s="35">
        <f>ROUND(角色属性!$AL97,0)</f>
        <v>13952</v>
      </c>
      <c r="U91" s="35">
        <f>ROUND(角色属性!$AL97,0)</f>
        <v>13952</v>
      </c>
      <c r="V91" s="35">
        <f>ROUND(角色属性!$AL97,0)</f>
        <v>13952</v>
      </c>
      <c r="W91" s="35">
        <f>ROUND(角色属性!$AL97,0)</f>
        <v>13952</v>
      </c>
      <c r="X91" s="35">
        <f>ROUND(角色属性!$AL97,0)</f>
        <v>13952</v>
      </c>
      <c r="Y91" s="35">
        <f>ROUND(角色属性!$AL97,0)</f>
        <v>13952</v>
      </c>
      <c r="Z91" s="35">
        <f>ROUND(角色属性!$AL97,0)</f>
        <v>13952</v>
      </c>
    </row>
    <row r="92" spans="1:26" x14ac:dyDescent="0.15">
      <c r="A92" s="37">
        <f>[2]技能伤害!$T93</f>
        <v>3.6100440190609673</v>
      </c>
      <c r="B92" s="37"/>
      <c r="D92" s="1">
        <v>91</v>
      </c>
      <c r="E92" s="35">
        <f>ROUND(角色属性!$AL98*A92,0)</f>
        <v>51945</v>
      </c>
      <c r="F92" s="35">
        <f>ROUND(角色属性!$AL98,0)</f>
        <v>14389</v>
      </c>
      <c r="G92" s="35">
        <f>ROUND(角色属性!$AL98,0)</f>
        <v>14389</v>
      </c>
      <c r="H92" s="35">
        <f>ROUND(角色属性!$AL98,0)</f>
        <v>14389</v>
      </c>
      <c r="I92" s="35">
        <f>ROUND(角色属性!$AL98,0)</f>
        <v>14389</v>
      </c>
      <c r="J92" s="35">
        <f>ROUND(角色属性!$AL98,0)</f>
        <v>14389</v>
      </c>
      <c r="K92" s="35">
        <f>ROUND(角色属性!$AL98,0)</f>
        <v>14389</v>
      </c>
      <c r="L92" s="35">
        <f>ROUND(角色属性!$AL98,0)</f>
        <v>14389</v>
      </c>
      <c r="M92" s="35">
        <f>ROUND(角色属性!$AL98,0)</f>
        <v>14389</v>
      </c>
      <c r="N92" s="35">
        <f>ROUND(角色属性!$AL98,0)</f>
        <v>14389</v>
      </c>
      <c r="O92" s="35">
        <f>ROUND(角色属性!$AL98,0)</f>
        <v>14389</v>
      </c>
      <c r="P92" s="35">
        <f>ROUND(角色属性!$AL98,0)</f>
        <v>14389</v>
      </c>
      <c r="Q92" s="35">
        <f>ROUND(角色属性!$AL98,0)</f>
        <v>14389</v>
      </c>
      <c r="R92" s="35">
        <f>ROUND(角色属性!$AL98,0)</f>
        <v>14389</v>
      </c>
      <c r="S92" s="35">
        <f>ROUND(角色属性!$AL98,0)</f>
        <v>14389</v>
      </c>
      <c r="T92" s="35">
        <f>ROUND(角色属性!$AL98,0)</f>
        <v>14389</v>
      </c>
      <c r="U92" s="35">
        <f>ROUND(角色属性!$AL98,0)</f>
        <v>14389</v>
      </c>
      <c r="V92" s="35">
        <f>ROUND(角色属性!$AL98,0)</f>
        <v>14389</v>
      </c>
      <c r="W92" s="35">
        <f>ROUND(角色属性!$AL98,0)</f>
        <v>14389</v>
      </c>
      <c r="X92" s="35">
        <f>ROUND(角色属性!$AL98,0)</f>
        <v>14389</v>
      </c>
      <c r="Y92" s="35">
        <f>ROUND(角色属性!$AL98,0)</f>
        <v>14389</v>
      </c>
      <c r="Z92" s="35">
        <f>ROUND(角色属性!$AL98,0)</f>
        <v>14389</v>
      </c>
    </row>
    <row r="93" spans="1:26" x14ac:dyDescent="0.15">
      <c r="A93" s="37">
        <f>[2]技能伤害!$T94</f>
        <v>3.6483196914444331</v>
      </c>
      <c r="B93" s="37"/>
      <c r="D93" s="1">
        <v>92</v>
      </c>
      <c r="E93" s="35">
        <f>ROUND(角色属性!$AL99*A93,0)</f>
        <v>54119</v>
      </c>
      <c r="F93" s="35">
        <f>ROUND(角色属性!$AL99,0)</f>
        <v>14834</v>
      </c>
      <c r="G93" s="35">
        <f>ROUND(角色属性!$AL99,0)</f>
        <v>14834</v>
      </c>
      <c r="H93" s="35">
        <f>ROUND(角色属性!$AL99,0)</f>
        <v>14834</v>
      </c>
      <c r="I93" s="35">
        <f>ROUND(角色属性!$AL99,0)</f>
        <v>14834</v>
      </c>
      <c r="J93" s="35">
        <f>ROUND(角色属性!$AL99,0)</f>
        <v>14834</v>
      </c>
      <c r="K93" s="35">
        <f>ROUND(角色属性!$AL99,0)</f>
        <v>14834</v>
      </c>
      <c r="L93" s="35">
        <f>ROUND(角色属性!$AL99,0)</f>
        <v>14834</v>
      </c>
      <c r="M93" s="35">
        <f>ROUND(角色属性!$AL99,0)</f>
        <v>14834</v>
      </c>
      <c r="N93" s="35">
        <f>ROUND(角色属性!$AL99,0)</f>
        <v>14834</v>
      </c>
      <c r="O93" s="35">
        <f>ROUND(角色属性!$AL99,0)</f>
        <v>14834</v>
      </c>
      <c r="P93" s="35">
        <f>ROUND(角色属性!$AL99,0)</f>
        <v>14834</v>
      </c>
      <c r="Q93" s="35">
        <f>ROUND(角色属性!$AL99,0)</f>
        <v>14834</v>
      </c>
      <c r="R93" s="35">
        <f>ROUND(角色属性!$AL99,0)</f>
        <v>14834</v>
      </c>
      <c r="S93" s="35">
        <f>ROUND(角色属性!$AL99,0)</f>
        <v>14834</v>
      </c>
      <c r="T93" s="35">
        <f>ROUND(角色属性!$AL99,0)</f>
        <v>14834</v>
      </c>
      <c r="U93" s="35">
        <f>ROUND(角色属性!$AL99,0)</f>
        <v>14834</v>
      </c>
      <c r="V93" s="35">
        <f>ROUND(角色属性!$AL99,0)</f>
        <v>14834</v>
      </c>
      <c r="W93" s="35">
        <f>ROUND(角色属性!$AL99,0)</f>
        <v>14834</v>
      </c>
      <c r="X93" s="35">
        <f>ROUND(角色属性!$AL99,0)</f>
        <v>14834</v>
      </c>
      <c r="Y93" s="35">
        <f>ROUND(角色属性!$AL99,0)</f>
        <v>14834</v>
      </c>
      <c r="Z93" s="35">
        <f>ROUND(角色属性!$AL99,0)</f>
        <v>14834</v>
      </c>
    </row>
    <row r="94" spans="1:26" x14ac:dyDescent="0.15">
      <c r="A94" s="37">
        <f>[2]技能伤害!$T95</f>
        <v>3.6865155951859636</v>
      </c>
      <c r="B94" s="37"/>
      <c r="D94" s="1">
        <v>93</v>
      </c>
      <c r="E94" s="35">
        <f>ROUND(角色属性!$AL100*A94,0)</f>
        <v>56363</v>
      </c>
      <c r="F94" s="35">
        <f>ROUND(角色属性!$AL100,0)</f>
        <v>15289</v>
      </c>
      <c r="G94" s="35">
        <f>ROUND(角色属性!$AL100,0)</f>
        <v>15289</v>
      </c>
      <c r="H94" s="35">
        <f>ROUND(角色属性!$AL100,0)</f>
        <v>15289</v>
      </c>
      <c r="I94" s="35">
        <f>ROUND(角色属性!$AL100,0)</f>
        <v>15289</v>
      </c>
      <c r="J94" s="35">
        <f>ROUND(角色属性!$AL100,0)</f>
        <v>15289</v>
      </c>
      <c r="K94" s="35">
        <f>ROUND(角色属性!$AL100,0)</f>
        <v>15289</v>
      </c>
      <c r="L94" s="35">
        <f>ROUND(角色属性!$AL100,0)</f>
        <v>15289</v>
      </c>
      <c r="M94" s="35">
        <f>ROUND(角色属性!$AL100,0)</f>
        <v>15289</v>
      </c>
      <c r="N94" s="35">
        <f>ROUND(角色属性!$AL100,0)</f>
        <v>15289</v>
      </c>
      <c r="O94" s="35">
        <f>ROUND(角色属性!$AL100,0)</f>
        <v>15289</v>
      </c>
      <c r="P94" s="35">
        <f>ROUND(角色属性!$AL100,0)</f>
        <v>15289</v>
      </c>
      <c r="Q94" s="35">
        <f>ROUND(角色属性!$AL100,0)</f>
        <v>15289</v>
      </c>
      <c r="R94" s="35">
        <f>ROUND(角色属性!$AL100,0)</f>
        <v>15289</v>
      </c>
      <c r="S94" s="35">
        <f>ROUND(角色属性!$AL100,0)</f>
        <v>15289</v>
      </c>
      <c r="T94" s="35">
        <f>ROUND(角色属性!$AL100,0)</f>
        <v>15289</v>
      </c>
      <c r="U94" s="35">
        <f>ROUND(角色属性!$AL100,0)</f>
        <v>15289</v>
      </c>
      <c r="V94" s="35">
        <f>ROUND(角色属性!$AL100,0)</f>
        <v>15289</v>
      </c>
      <c r="W94" s="35">
        <f>ROUND(角色属性!$AL100,0)</f>
        <v>15289</v>
      </c>
      <c r="X94" s="35">
        <f>ROUND(角色属性!$AL100,0)</f>
        <v>15289</v>
      </c>
      <c r="Y94" s="35">
        <f>ROUND(角色属性!$AL100,0)</f>
        <v>15289</v>
      </c>
      <c r="Z94" s="35">
        <f>ROUND(角色属性!$AL100,0)</f>
        <v>15289</v>
      </c>
    </row>
    <row r="95" spans="1:26" x14ac:dyDescent="0.15">
      <c r="A95" s="37">
        <f>[2]技能伤害!$T96</f>
        <v>3.7250838795727566</v>
      </c>
      <c r="B95" s="37"/>
      <c r="D95" s="1">
        <v>94</v>
      </c>
      <c r="E95" s="35">
        <f>ROUND(角色属性!$AL101*A95,0)</f>
        <v>58685</v>
      </c>
      <c r="F95" s="35">
        <f>ROUND(角色属性!$AL101,0)</f>
        <v>15754</v>
      </c>
      <c r="G95" s="35">
        <f>ROUND(角色属性!$AL101,0)</f>
        <v>15754</v>
      </c>
      <c r="H95" s="35">
        <f>ROUND(角色属性!$AL101,0)</f>
        <v>15754</v>
      </c>
      <c r="I95" s="35">
        <f>ROUND(角色属性!$AL101,0)</f>
        <v>15754</v>
      </c>
      <c r="J95" s="35">
        <f>ROUND(角色属性!$AL101,0)</f>
        <v>15754</v>
      </c>
      <c r="K95" s="35">
        <f>ROUND(角色属性!$AL101,0)</f>
        <v>15754</v>
      </c>
      <c r="L95" s="35">
        <f>ROUND(角色属性!$AL101,0)</f>
        <v>15754</v>
      </c>
      <c r="M95" s="35">
        <f>ROUND(角色属性!$AL101,0)</f>
        <v>15754</v>
      </c>
      <c r="N95" s="35">
        <f>ROUND(角色属性!$AL101,0)</f>
        <v>15754</v>
      </c>
      <c r="O95" s="35">
        <f>ROUND(角色属性!$AL101,0)</f>
        <v>15754</v>
      </c>
      <c r="P95" s="35">
        <f>ROUND(角色属性!$AL101,0)</f>
        <v>15754</v>
      </c>
      <c r="Q95" s="35">
        <f>ROUND(角色属性!$AL101,0)</f>
        <v>15754</v>
      </c>
      <c r="R95" s="35">
        <f>ROUND(角色属性!$AL101,0)</f>
        <v>15754</v>
      </c>
      <c r="S95" s="35">
        <f>ROUND(角色属性!$AL101,0)</f>
        <v>15754</v>
      </c>
      <c r="T95" s="35">
        <f>ROUND(角色属性!$AL101,0)</f>
        <v>15754</v>
      </c>
      <c r="U95" s="35">
        <f>ROUND(角色属性!$AL101,0)</f>
        <v>15754</v>
      </c>
      <c r="V95" s="35">
        <f>ROUND(角色属性!$AL101,0)</f>
        <v>15754</v>
      </c>
      <c r="W95" s="35">
        <f>ROUND(角色属性!$AL101,0)</f>
        <v>15754</v>
      </c>
      <c r="X95" s="35">
        <f>ROUND(角色属性!$AL101,0)</f>
        <v>15754</v>
      </c>
      <c r="Y95" s="35">
        <f>ROUND(角色属性!$AL101,0)</f>
        <v>15754</v>
      </c>
      <c r="Z95" s="35">
        <f>ROUND(角色属性!$AL101,0)</f>
        <v>15754</v>
      </c>
    </row>
    <row r="96" spans="1:26" x14ac:dyDescent="0.15">
      <c r="A96" s="37">
        <f>[2]技能伤害!$T97</f>
        <v>3.7637758582477603</v>
      </c>
      <c r="B96" s="37"/>
      <c r="D96" s="1">
        <v>95</v>
      </c>
      <c r="E96" s="35">
        <f>ROUND(角色属性!$AL102*A96,0)</f>
        <v>61079</v>
      </c>
      <c r="F96" s="35">
        <f>ROUND(角色属性!$AL102,0)</f>
        <v>16228</v>
      </c>
      <c r="G96" s="35">
        <f>ROUND(角色属性!$AL102,0)</f>
        <v>16228</v>
      </c>
      <c r="H96" s="35">
        <f>ROUND(角色属性!$AL102,0)</f>
        <v>16228</v>
      </c>
      <c r="I96" s="35">
        <f>ROUND(角色属性!$AL102,0)</f>
        <v>16228</v>
      </c>
      <c r="J96" s="35">
        <f>ROUND(角色属性!$AL102,0)</f>
        <v>16228</v>
      </c>
      <c r="K96" s="35">
        <f>ROUND(角色属性!$AL102,0)</f>
        <v>16228</v>
      </c>
      <c r="L96" s="35">
        <f>ROUND(角色属性!$AL102,0)</f>
        <v>16228</v>
      </c>
      <c r="M96" s="35">
        <f>ROUND(角色属性!$AL102,0)</f>
        <v>16228</v>
      </c>
      <c r="N96" s="35">
        <f>ROUND(角色属性!$AL102,0)</f>
        <v>16228</v>
      </c>
      <c r="O96" s="35">
        <f>ROUND(角色属性!$AL102,0)</f>
        <v>16228</v>
      </c>
      <c r="P96" s="35">
        <f>ROUND(角色属性!$AL102,0)</f>
        <v>16228</v>
      </c>
      <c r="Q96" s="35">
        <f>ROUND(角色属性!$AL102,0)</f>
        <v>16228</v>
      </c>
      <c r="R96" s="35">
        <f>ROUND(角色属性!$AL102,0)</f>
        <v>16228</v>
      </c>
      <c r="S96" s="35">
        <f>ROUND(角色属性!$AL102,0)</f>
        <v>16228</v>
      </c>
      <c r="T96" s="35">
        <f>ROUND(角色属性!$AL102,0)</f>
        <v>16228</v>
      </c>
      <c r="U96" s="35">
        <f>ROUND(角色属性!$AL102,0)</f>
        <v>16228</v>
      </c>
      <c r="V96" s="35">
        <f>ROUND(角色属性!$AL102,0)</f>
        <v>16228</v>
      </c>
      <c r="W96" s="35">
        <f>ROUND(角色属性!$AL102,0)</f>
        <v>16228</v>
      </c>
      <c r="X96" s="35">
        <f>ROUND(角色属性!$AL102,0)</f>
        <v>16228</v>
      </c>
      <c r="Y96" s="35">
        <f>ROUND(角色属性!$AL102,0)</f>
        <v>16228</v>
      </c>
      <c r="Z96" s="35">
        <f>ROUND(角色属性!$AL102,0)</f>
        <v>16228</v>
      </c>
    </row>
    <row r="97" spans="1:26" x14ac:dyDescent="0.15">
      <c r="A97" s="37">
        <f>[2]技能伤害!$T98</f>
        <v>3.8026357347644657</v>
      </c>
      <c r="B97" s="37"/>
      <c r="D97" s="1">
        <v>96</v>
      </c>
      <c r="E97" s="35">
        <f>ROUND(角色属性!$AL103*A97,0)</f>
        <v>63546</v>
      </c>
      <c r="F97" s="35">
        <f>ROUND(角色属性!$AL103,0)</f>
        <v>16711</v>
      </c>
      <c r="G97" s="35">
        <f>ROUND(角色属性!$AL103,0)</f>
        <v>16711</v>
      </c>
      <c r="H97" s="35">
        <f>ROUND(角色属性!$AL103,0)</f>
        <v>16711</v>
      </c>
      <c r="I97" s="35">
        <f>ROUND(角色属性!$AL103,0)</f>
        <v>16711</v>
      </c>
      <c r="J97" s="35">
        <f>ROUND(角色属性!$AL103,0)</f>
        <v>16711</v>
      </c>
      <c r="K97" s="35">
        <f>ROUND(角色属性!$AL103,0)</f>
        <v>16711</v>
      </c>
      <c r="L97" s="35">
        <f>ROUND(角色属性!$AL103,0)</f>
        <v>16711</v>
      </c>
      <c r="M97" s="35">
        <f>ROUND(角色属性!$AL103,0)</f>
        <v>16711</v>
      </c>
      <c r="N97" s="35">
        <f>ROUND(角色属性!$AL103,0)</f>
        <v>16711</v>
      </c>
      <c r="O97" s="35">
        <f>ROUND(角色属性!$AL103,0)</f>
        <v>16711</v>
      </c>
      <c r="P97" s="35">
        <f>ROUND(角色属性!$AL103,0)</f>
        <v>16711</v>
      </c>
      <c r="Q97" s="35">
        <f>ROUND(角色属性!$AL103,0)</f>
        <v>16711</v>
      </c>
      <c r="R97" s="35">
        <f>ROUND(角色属性!$AL103,0)</f>
        <v>16711</v>
      </c>
      <c r="S97" s="35">
        <f>ROUND(角色属性!$AL103,0)</f>
        <v>16711</v>
      </c>
      <c r="T97" s="35">
        <f>ROUND(角色属性!$AL103,0)</f>
        <v>16711</v>
      </c>
      <c r="U97" s="35">
        <f>ROUND(角色属性!$AL103,0)</f>
        <v>16711</v>
      </c>
      <c r="V97" s="35">
        <f>ROUND(角色属性!$AL103,0)</f>
        <v>16711</v>
      </c>
      <c r="W97" s="35">
        <f>ROUND(角色属性!$AL103,0)</f>
        <v>16711</v>
      </c>
      <c r="X97" s="35">
        <f>ROUND(角色属性!$AL103,0)</f>
        <v>16711</v>
      </c>
      <c r="Y97" s="35">
        <f>ROUND(角色属性!$AL103,0)</f>
        <v>16711</v>
      </c>
      <c r="Z97" s="35">
        <f>ROUND(角色属性!$AL103,0)</f>
        <v>16711</v>
      </c>
    </row>
    <row r="98" spans="1:26" x14ac:dyDescent="0.15">
      <c r="A98" s="37">
        <f>[2]技能伤害!$T99</f>
        <v>3.841527104680158</v>
      </c>
      <c r="B98" s="37"/>
      <c r="D98" s="1">
        <v>97</v>
      </c>
      <c r="E98" s="35">
        <f>ROUND(角色属性!$AL104*A98,0)</f>
        <v>66093</v>
      </c>
      <c r="F98" s="35">
        <f>ROUND(角色属性!$AL104,0)</f>
        <v>17205</v>
      </c>
      <c r="G98" s="35">
        <f>ROUND(角色属性!$AL104,0)</f>
        <v>17205</v>
      </c>
      <c r="H98" s="35">
        <f>ROUND(角色属性!$AL104,0)</f>
        <v>17205</v>
      </c>
      <c r="I98" s="35">
        <f>ROUND(角色属性!$AL104,0)</f>
        <v>17205</v>
      </c>
      <c r="J98" s="35">
        <f>ROUND(角色属性!$AL104,0)</f>
        <v>17205</v>
      </c>
      <c r="K98" s="35">
        <f>ROUND(角色属性!$AL104,0)</f>
        <v>17205</v>
      </c>
      <c r="L98" s="35">
        <f>ROUND(角色属性!$AL104,0)</f>
        <v>17205</v>
      </c>
      <c r="M98" s="35">
        <f>ROUND(角色属性!$AL104,0)</f>
        <v>17205</v>
      </c>
      <c r="N98" s="35">
        <f>ROUND(角色属性!$AL104,0)</f>
        <v>17205</v>
      </c>
      <c r="O98" s="35">
        <f>ROUND(角色属性!$AL104,0)</f>
        <v>17205</v>
      </c>
      <c r="P98" s="35">
        <f>ROUND(角色属性!$AL104,0)</f>
        <v>17205</v>
      </c>
      <c r="Q98" s="35">
        <f>ROUND(角色属性!$AL104,0)</f>
        <v>17205</v>
      </c>
      <c r="R98" s="35">
        <f>ROUND(角色属性!$AL104,0)</f>
        <v>17205</v>
      </c>
      <c r="S98" s="35">
        <f>ROUND(角色属性!$AL104,0)</f>
        <v>17205</v>
      </c>
      <c r="T98" s="35">
        <f>ROUND(角色属性!$AL104,0)</f>
        <v>17205</v>
      </c>
      <c r="U98" s="35">
        <f>ROUND(角色属性!$AL104,0)</f>
        <v>17205</v>
      </c>
      <c r="V98" s="35">
        <f>ROUND(角色属性!$AL104,0)</f>
        <v>17205</v>
      </c>
      <c r="W98" s="35">
        <f>ROUND(角色属性!$AL104,0)</f>
        <v>17205</v>
      </c>
      <c r="X98" s="35">
        <f>ROUND(角色属性!$AL104,0)</f>
        <v>17205</v>
      </c>
      <c r="Y98" s="35">
        <f>ROUND(角色属性!$AL104,0)</f>
        <v>17205</v>
      </c>
      <c r="Z98" s="35">
        <f>ROUND(角色属性!$AL104,0)</f>
        <v>17205</v>
      </c>
    </row>
    <row r="99" spans="1:26" x14ac:dyDescent="0.15">
      <c r="A99" s="37">
        <f>[2]技能伤害!$T100</f>
        <v>3.8809856342820535</v>
      </c>
      <c r="B99" s="37"/>
      <c r="D99" s="1">
        <v>98</v>
      </c>
      <c r="E99" s="35">
        <f>ROUND(角色属性!$AL105*A99,0)</f>
        <v>68724</v>
      </c>
      <c r="F99" s="35">
        <f>ROUND(角色属性!$AL105,0)</f>
        <v>17708</v>
      </c>
      <c r="G99" s="35">
        <f>ROUND(角色属性!$AL105,0)</f>
        <v>17708</v>
      </c>
      <c r="H99" s="35">
        <f>ROUND(角色属性!$AL105,0)</f>
        <v>17708</v>
      </c>
      <c r="I99" s="35">
        <f>ROUND(角色属性!$AL105,0)</f>
        <v>17708</v>
      </c>
      <c r="J99" s="35">
        <f>ROUND(角色属性!$AL105,0)</f>
        <v>17708</v>
      </c>
      <c r="K99" s="35">
        <f>ROUND(角色属性!$AL105,0)</f>
        <v>17708</v>
      </c>
      <c r="L99" s="35">
        <f>ROUND(角色属性!$AL105,0)</f>
        <v>17708</v>
      </c>
      <c r="M99" s="35">
        <f>ROUND(角色属性!$AL105,0)</f>
        <v>17708</v>
      </c>
      <c r="N99" s="35">
        <f>ROUND(角色属性!$AL105,0)</f>
        <v>17708</v>
      </c>
      <c r="O99" s="35">
        <f>ROUND(角色属性!$AL105,0)</f>
        <v>17708</v>
      </c>
      <c r="P99" s="35">
        <f>ROUND(角色属性!$AL105,0)</f>
        <v>17708</v>
      </c>
      <c r="Q99" s="35">
        <f>ROUND(角色属性!$AL105,0)</f>
        <v>17708</v>
      </c>
      <c r="R99" s="35">
        <f>ROUND(角色属性!$AL105,0)</f>
        <v>17708</v>
      </c>
      <c r="S99" s="35">
        <f>ROUND(角色属性!$AL105,0)</f>
        <v>17708</v>
      </c>
      <c r="T99" s="35">
        <f>ROUND(角色属性!$AL105,0)</f>
        <v>17708</v>
      </c>
      <c r="U99" s="35">
        <f>ROUND(角色属性!$AL105,0)</f>
        <v>17708</v>
      </c>
      <c r="V99" s="35">
        <f>ROUND(角色属性!$AL105,0)</f>
        <v>17708</v>
      </c>
      <c r="W99" s="35">
        <f>ROUND(角色属性!$AL105,0)</f>
        <v>17708</v>
      </c>
      <c r="X99" s="35">
        <f>ROUND(角色属性!$AL105,0)</f>
        <v>17708</v>
      </c>
      <c r="Y99" s="35">
        <f>ROUND(角色属性!$AL105,0)</f>
        <v>17708</v>
      </c>
      <c r="Z99" s="35">
        <f>ROUND(角色属性!$AL105,0)</f>
        <v>17708</v>
      </c>
    </row>
    <row r="100" spans="1:26" x14ac:dyDescent="0.15">
      <c r="A100" s="37">
        <f>[2]技能伤害!$T101</f>
        <v>3.920538463960948</v>
      </c>
      <c r="B100" s="37"/>
      <c r="D100" s="1">
        <v>99</v>
      </c>
      <c r="E100" s="35">
        <f>ROUND(角色属性!$AL106*A100,0)</f>
        <v>71432</v>
      </c>
      <c r="F100" s="35">
        <f>ROUND(角色属性!$AL106,0)</f>
        <v>18220</v>
      </c>
      <c r="G100" s="35">
        <f>ROUND(角色属性!$AL106,0)</f>
        <v>18220</v>
      </c>
      <c r="H100" s="35">
        <f>ROUND(角色属性!$AL106,0)</f>
        <v>18220</v>
      </c>
      <c r="I100" s="35">
        <f>ROUND(角色属性!$AL106,0)</f>
        <v>18220</v>
      </c>
      <c r="J100" s="35">
        <f>ROUND(角色属性!$AL106,0)</f>
        <v>18220</v>
      </c>
      <c r="K100" s="35">
        <f>ROUND(角色属性!$AL106,0)</f>
        <v>18220</v>
      </c>
      <c r="L100" s="35">
        <f>ROUND(角色属性!$AL106,0)</f>
        <v>18220</v>
      </c>
      <c r="M100" s="35">
        <f>ROUND(角色属性!$AL106,0)</f>
        <v>18220</v>
      </c>
      <c r="N100" s="35">
        <f>ROUND(角色属性!$AL106,0)</f>
        <v>18220</v>
      </c>
      <c r="O100" s="35">
        <f>ROUND(角色属性!$AL106,0)</f>
        <v>18220</v>
      </c>
      <c r="P100" s="35">
        <f>ROUND(角色属性!$AL106,0)</f>
        <v>18220</v>
      </c>
      <c r="Q100" s="35">
        <f>ROUND(角色属性!$AL106,0)</f>
        <v>18220</v>
      </c>
      <c r="R100" s="35">
        <f>ROUND(角色属性!$AL106,0)</f>
        <v>18220</v>
      </c>
      <c r="S100" s="35">
        <f>ROUND(角色属性!$AL106,0)</f>
        <v>18220</v>
      </c>
      <c r="T100" s="35">
        <f>ROUND(角色属性!$AL106,0)</f>
        <v>18220</v>
      </c>
      <c r="U100" s="35">
        <f>ROUND(角色属性!$AL106,0)</f>
        <v>18220</v>
      </c>
      <c r="V100" s="35">
        <f>ROUND(角色属性!$AL106,0)</f>
        <v>18220</v>
      </c>
      <c r="W100" s="35">
        <f>ROUND(角色属性!$AL106,0)</f>
        <v>18220</v>
      </c>
      <c r="X100" s="35">
        <f>ROUND(角色属性!$AL106,0)</f>
        <v>18220</v>
      </c>
      <c r="Y100" s="35">
        <f>ROUND(角色属性!$AL106,0)</f>
        <v>18220</v>
      </c>
      <c r="Z100" s="35">
        <f>ROUND(角色属性!$AL106,0)</f>
        <v>18220</v>
      </c>
    </row>
    <row r="101" spans="1:26" x14ac:dyDescent="0.15">
      <c r="A101" s="37">
        <f>[2]技能伤害!$T102</f>
        <v>3.9600944399506424</v>
      </c>
      <c r="B101" s="37"/>
      <c r="D101" s="1">
        <v>100</v>
      </c>
      <c r="E101" s="35">
        <f>ROUND(角色属性!$AL107*A101,0)</f>
        <v>74224</v>
      </c>
      <c r="F101" s="35">
        <f>ROUND(角色属性!$AL107,0)</f>
        <v>18743</v>
      </c>
      <c r="G101" s="35">
        <f>ROUND(角色属性!$AL107,0)</f>
        <v>18743</v>
      </c>
      <c r="H101" s="35">
        <f>ROUND(角色属性!$AL107,0)</f>
        <v>18743</v>
      </c>
      <c r="I101" s="35">
        <f>ROUND(角色属性!$AL107,0)</f>
        <v>18743</v>
      </c>
      <c r="J101" s="35">
        <f>ROUND(角色属性!$AL107,0)</f>
        <v>18743</v>
      </c>
      <c r="K101" s="35">
        <f>ROUND(角色属性!$AL107,0)</f>
        <v>18743</v>
      </c>
      <c r="L101" s="35">
        <f>ROUND(角色属性!$AL107,0)</f>
        <v>18743</v>
      </c>
      <c r="M101" s="35">
        <f>ROUND(角色属性!$AL107,0)</f>
        <v>18743</v>
      </c>
      <c r="N101" s="35">
        <f>ROUND(角色属性!$AL107,0)</f>
        <v>18743</v>
      </c>
      <c r="O101" s="35">
        <f>ROUND(角色属性!$AL107,0)</f>
        <v>18743</v>
      </c>
      <c r="P101" s="35">
        <f>ROUND(角色属性!$AL107,0)</f>
        <v>18743</v>
      </c>
      <c r="Q101" s="35">
        <f>ROUND(角色属性!$AL107,0)</f>
        <v>18743</v>
      </c>
      <c r="R101" s="35">
        <f>ROUND(角色属性!$AL107,0)</f>
        <v>18743</v>
      </c>
      <c r="S101" s="35">
        <f>ROUND(角色属性!$AL107,0)</f>
        <v>18743</v>
      </c>
      <c r="T101" s="35">
        <f>ROUND(角色属性!$AL107,0)</f>
        <v>18743</v>
      </c>
      <c r="U101" s="35">
        <f>ROUND(角色属性!$AL107,0)</f>
        <v>18743</v>
      </c>
      <c r="V101" s="35">
        <f>ROUND(角色属性!$AL107,0)</f>
        <v>18743</v>
      </c>
      <c r="W101" s="35">
        <f>ROUND(角色属性!$AL107,0)</f>
        <v>18743</v>
      </c>
      <c r="X101" s="35">
        <f>ROUND(角色属性!$AL107,0)</f>
        <v>18743</v>
      </c>
      <c r="Y101" s="35">
        <f>ROUND(角色属性!$AL107,0)</f>
        <v>18743</v>
      </c>
      <c r="Z101" s="35">
        <f>ROUND(角色属性!$AL107,0)</f>
        <v>18743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202"/>
  <sheetViews>
    <sheetView workbookViewId="0">
      <pane xSplit="4" ySplit="2" topLeftCell="AB3" activePane="bottomRight" state="frozen"/>
      <selection pane="topRight" activeCell="E1" sqref="E1"/>
      <selection pane="bottomLeft" activeCell="A3" sqref="A3"/>
      <selection pane="bottomRight" activeCell="A17" sqref="A17:XFD17"/>
    </sheetView>
  </sheetViews>
  <sheetFormatPr defaultRowHeight="11.25" x14ac:dyDescent="0.15"/>
  <cols>
    <col min="1" max="5" width="9" style="1"/>
    <col min="6" max="6" width="9.75" style="1" bestFit="1" customWidth="1"/>
    <col min="7" max="7" width="9.75" style="1" customWidth="1"/>
    <col min="8" max="27" width="9" style="1"/>
    <col min="28" max="44" width="9" style="1" customWidth="1"/>
    <col min="45" max="45" width="9.875" style="1" bestFit="1" customWidth="1"/>
    <col min="46" max="47" width="9.875" style="1" customWidth="1"/>
    <col min="48" max="48" width="10.25" style="1" bestFit="1" customWidth="1"/>
    <col min="49" max="49" width="10.25" style="1" customWidth="1"/>
    <col min="50" max="16384" width="9" style="1"/>
  </cols>
  <sheetData>
    <row r="1" spans="2:66" ht="12" customHeight="1" thickBot="1" x14ac:dyDescent="0.2">
      <c r="N1" s="1" t="s">
        <v>219</v>
      </c>
      <c r="O1" s="35">
        <v>450</v>
      </c>
      <c r="P1" s="35"/>
      <c r="Q1" s="35"/>
      <c r="R1" s="96" t="s">
        <v>229</v>
      </c>
      <c r="S1" s="97"/>
      <c r="T1" s="97"/>
      <c r="U1" s="97"/>
      <c r="V1" s="98"/>
      <c r="W1" s="96" t="s">
        <v>237</v>
      </c>
      <c r="X1" s="97"/>
      <c r="Y1" s="97"/>
      <c r="Z1" s="97"/>
      <c r="AA1" s="98"/>
      <c r="AB1" s="96" t="s">
        <v>235</v>
      </c>
      <c r="AC1" s="97"/>
      <c r="AD1" s="97"/>
      <c r="AE1" s="97"/>
      <c r="AF1" s="98"/>
      <c r="AG1" s="96" t="s">
        <v>236</v>
      </c>
      <c r="AH1" s="97"/>
      <c r="AI1" s="97"/>
      <c r="AJ1" s="97"/>
      <c r="AK1" s="98"/>
      <c r="BL1" s="1" t="s">
        <v>97</v>
      </c>
    </row>
    <row r="2" spans="2:66" s="61" customFormat="1" ht="33.75" x14ac:dyDescent="0.15">
      <c r="B2" s="60" t="s">
        <v>96</v>
      </c>
      <c r="C2" s="60" t="s">
        <v>92</v>
      </c>
      <c r="D2" s="60" t="s">
        <v>93</v>
      </c>
      <c r="E2" s="60" t="s">
        <v>269</v>
      </c>
      <c r="F2" s="60" t="s">
        <v>268</v>
      </c>
      <c r="G2" s="60" t="s">
        <v>270</v>
      </c>
      <c r="H2" s="30" t="s">
        <v>213</v>
      </c>
      <c r="I2" s="30" t="s">
        <v>209</v>
      </c>
      <c r="J2" s="30" t="s">
        <v>271</v>
      </c>
      <c r="K2" s="30" t="s">
        <v>272</v>
      </c>
      <c r="L2" s="30" t="s">
        <v>216</v>
      </c>
      <c r="M2" s="30" t="s">
        <v>274</v>
      </c>
      <c r="N2" s="30" t="s">
        <v>273</v>
      </c>
      <c r="O2" s="75" t="s">
        <v>275</v>
      </c>
      <c r="P2" s="63" t="s">
        <v>276</v>
      </c>
      <c r="Q2" s="63" t="s">
        <v>226</v>
      </c>
      <c r="R2" s="66" t="s">
        <v>230</v>
      </c>
      <c r="S2" s="66" t="s">
        <v>231</v>
      </c>
      <c r="T2" s="66" t="s">
        <v>232</v>
      </c>
      <c r="U2" s="66" t="s">
        <v>233</v>
      </c>
      <c r="V2" s="66" t="s">
        <v>234</v>
      </c>
      <c r="W2" s="66" t="s">
        <v>1</v>
      </c>
      <c r="X2" s="66" t="s">
        <v>231</v>
      </c>
      <c r="Y2" s="66" t="s">
        <v>232</v>
      </c>
      <c r="Z2" s="66" t="s">
        <v>4</v>
      </c>
      <c r="AA2" s="66" t="s">
        <v>5</v>
      </c>
      <c r="AB2" s="66" t="s">
        <v>1</v>
      </c>
      <c r="AC2" s="66" t="s">
        <v>231</v>
      </c>
      <c r="AD2" s="66" t="s">
        <v>232</v>
      </c>
      <c r="AE2" s="66" t="s">
        <v>4</v>
      </c>
      <c r="AF2" s="66" t="s">
        <v>5</v>
      </c>
      <c r="AG2" s="66" t="s">
        <v>1</v>
      </c>
      <c r="AH2" s="66" t="s">
        <v>231</v>
      </c>
      <c r="AI2" s="66" t="s">
        <v>232</v>
      </c>
      <c r="AJ2" s="66" t="s">
        <v>4</v>
      </c>
      <c r="AK2" s="66" t="s">
        <v>5</v>
      </c>
      <c r="AL2" s="70" t="s">
        <v>148</v>
      </c>
      <c r="AM2" s="30" t="s">
        <v>147</v>
      </c>
      <c r="AN2" s="30" t="s">
        <v>150</v>
      </c>
      <c r="AO2" s="71" t="s">
        <v>29</v>
      </c>
      <c r="AP2" s="71" t="s">
        <v>151</v>
      </c>
      <c r="AQ2" s="30" t="s">
        <v>152</v>
      </c>
      <c r="AR2" s="30" t="s">
        <v>154</v>
      </c>
      <c r="AS2" s="72" t="s">
        <v>155</v>
      </c>
      <c r="AT2" s="72" t="s">
        <v>290</v>
      </c>
      <c r="AU2" s="72" t="s">
        <v>239</v>
      </c>
      <c r="AV2" s="72" t="s">
        <v>19</v>
      </c>
      <c r="AW2" s="72" t="s">
        <v>238</v>
      </c>
      <c r="AX2" s="30" t="s">
        <v>220</v>
      </c>
      <c r="AY2" s="30" t="s">
        <v>221</v>
      </c>
      <c r="AZ2" s="30" t="s">
        <v>222</v>
      </c>
      <c r="BA2" s="30" t="s">
        <v>223</v>
      </c>
      <c r="BB2" s="30" t="s">
        <v>224</v>
      </c>
      <c r="BC2" s="30" t="s">
        <v>225</v>
      </c>
      <c r="BL2" s="61" t="s">
        <v>96</v>
      </c>
      <c r="BM2" s="61" t="s">
        <v>95</v>
      </c>
    </row>
    <row r="3" spans="2:66" x14ac:dyDescent="0.15">
      <c r="B3" s="83" t="s">
        <v>112</v>
      </c>
      <c r="C3" s="2">
        <v>1</v>
      </c>
      <c r="D3" s="2">
        <v>1</v>
      </c>
      <c r="E3" s="2">
        <v>0</v>
      </c>
      <c r="F3" s="28">
        <f>INDEX([3]宠物属性!$AL$8:$AL$107,MATCH(D3,[3]宠物属性!$I$8:$I$107,0),1)</f>
        <v>700</v>
      </c>
      <c r="G3" s="68">
        <f>F3/INDEX(角色属性!$AI$8:$AI$107,MATCH(D3,角色属性!$I$8:$I$107,0),1)*E3</f>
        <v>0</v>
      </c>
      <c r="H3" s="2">
        <f>INDEX(角色属性!$AL$8:$AL$107,MATCH(D3,角色属性!$I$8:$I$107,0),1)</f>
        <v>90</v>
      </c>
      <c r="I3" s="2">
        <f>INDEX(角色属性!$Y$8:$Y$107,MATCH(D3,角色属性!$I$8:$I$107,0),1)</f>
        <v>1</v>
      </c>
      <c r="J3" s="28">
        <f>H3*10*(1+VLOOKUP(I3,技能效果!$B$2:$D$101,3,FALSE))</f>
        <v>900</v>
      </c>
      <c r="K3" s="28">
        <f>H3*10*(1+VLOOKUP(I3,技能效果!$B$2:$D$101,3,FALSE))*(1+G3)</f>
        <v>900</v>
      </c>
      <c r="L3" s="2">
        <f>(INT((C3-1)/10)+1)*10</f>
        <v>10</v>
      </c>
      <c r="M3" s="28">
        <f>INDEX($J$3:$J$202,MATCH(L3,$C$3:$C$202,0),1)</f>
        <v>1465.44</v>
      </c>
      <c r="N3" s="28">
        <f>INDEX($K$3:$K$202,MATCH(L3,$C$3:$C$202,0),1)</f>
        <v>1920.6145454545454</v>
      </c>
      <c r="O3" s="64">
        <f t="shared" ref="O3" si="0">ROUND((N3-$O$1)*VLOOKUP(INT(RIGHT(C3,1)),$BF$4:$BH$13,3,FALSE)+O$1,0)</f>
        <v>494</v>
      </c>
      <c r="P3" s="64">
        <f>ROUND((M3-$O$1)*VLOOKUP(INT(RIGHT(C3,1)),$BF$4:$BH$13,3,FALSE)+O$1,0)</f>
        <v>480</v>
      </c>
      <c r="Q3" s="64">
        <v>0</v>
      </c>
      <c r="R3" s="67">
        <v>1.4</v>
      </c>
      <c r="S3" s="67">
        <v>1</v>
      </c>
      <c r="T3" s="67">
        <v>1</v>
      </c>
      <c r="U3" s="67">
        <v>1</v>
      </c>
      <c r="V3" s="67">
        <v>1</v>
      </c>
      <c r="W3" s="28">
        <v>0</v>
      </c>
      <c r="X3" s="28">
        <v>0</v>
      </c>
      <c r="Y3" s="28">
        <v>0</v>
      </c>
      <c r="Z3" s="28">
        <v>-4</v>
      </c>
      <c r="AA3" s="28">
        <v>10</v>
      </c>
      <c r="AB3" s="64">
        <f>INDEX(角色属性!AM$8:AM$107,MATCH($D3,角色属性!$I$8:$I$107,0),1)</f>
        <v>1260</v>
      </c>
      <c r="AC3" s="64">
        <f>INDEX(角色属性!AN$8:AN$107,MATCH($D3,角色属性!$I$8:$I$107,0),1)</f>
        <v>126</v>
      </c>
      <c r="AD3" s="64">
        <f>INDEX(角色属性!AO$8:AO$107,MATCH($D3,角色属性!$I$8:$I$107,0),1)</f>
        <v>63</v>
      </c>
      <c r="AE3" s="64">
        <f>INDEX(角色属性!AP$8:AP$107,MATCH($D3,角色属性!$I$8:$I$107,0),1)</f>
        <v>50.4</v>
      </c>
      <c r="AF3" s="64">
        <f>INDEX(角色属性!AQ$8:AQ$107,MATCH($D3,角色属性!$I$8:$I$107,0),1)</f>
        <v>50.4</v>
      </c>
      <c r="AG3" s="64">
        <f>$P3/10/(1+VLOOKUP(I3,技能效果!$B$2:$D$101,3,FALSE))*怪物属性规划!A$18*INDEX(怪物属性等级系数!$A$2:$A$101,MATCH(D3,怪物属性等级系数!$D$2:$D$101,0),1)*R3+W3</f>
        <v>336</v>
      </c>
      <c r="AH3" s="64">
        <f>$P3/10/(1+VLOOKUP($I3,技能效果!$B$2:$D$101,3,FALSE))*怪物属性规划!B$18*S3+X3</f>
        <v>48</v>
      </c>
      <c r="AI3" s="64">
        <f>$P3/10/(1+VLOOKUP($I3,技能效果!$B$2:$D$101,3,FALSE))*怪物属性规划!C$18*T3+Y3</f>
        <v>48</v>
      </c>
      <c r="AJ3" s="64">
        <f>$P3/10/(1+VLOOKUP($I3,技能效果!$B$2:$D$101,3,FALSE))*怪物属性规划!D$18*U3+Z3</f>
        <v>34.400000000000006</v>
      </c>
      <c r="AK3" s="64">
        <f>$P3/10/(1+VLOOKUP($I3,技能效果!$B$2:$D$101,3,FALSE))*怪物属性规划!E$18*V3+AA3</f>
        <v>48.400000000000006</v>
      </c>
      <c r="AL3" s="67">
        <f>INDEX(角色属性!BB$8:BB$107,MATCH($D3,角色属性!$I$8:$I$107,0),1)</f>
        <v>1</v>
      </c>
      <c r="AM3" s="64">
        <f>INDEX(角色属性!BC$8:BC$107,MATCH($D3,角色属性!$I$8:$I$107,0),1)</f>
        <v>44</v>
      </c>
      <c r="AN3" s="64">
        <f>INDEX(角色属性!BD$8:BD$107,MATCH($D3,角色属性!$I$8:$I$107,0),1)</f>
        <v>63</v>
      </c>
      <c r="AO3" s="69">
        <f>1*AI3/(AI3+0+0.429*AM3)</f>
        <v>0.71774627669118962</v>
      </c>
      <c r="AP3" s="69">
        <f>1*AD3/(AD3+0+0.429*AN3)</f>
        <v>0.69979006298110569</v>
      </c>
      <c r="AQ3" s="64">
        <f>AL3*角色属性!$BA$1*(AC3*(1-AO3)+MAX(AF3-AJ3,0))</f>
        <v>103.12793827382021</v>
      </c>
      <c r="AR3" s="64">
        <f>角色属性!$BA$1*(AH3*(1-AP3)+MAX(AK3-AE3,0))</f>
        <v>28.820153953813854</v>
      </c>
      <c r="AS3" s="73">
        <f>AG3/(AQ3*1.8)</f>
        <v>1.8100494375349439</v>
      </c>
      <c r="AT3" s="73">
        <f>AG3/(AQ3*1.8*1.5)</f>
        <v>1.206699625023296</v>
      </c>
      <c r="AU3" s="73">
        <f>AG3/(AQ3*1.8*2)</f>
        <v>0.90502471876747193</v>
      </c>
      <c r="AV3" s="73">
        <f t="shared" ref="AV3:AV67" si="1">AB3/AR3</f>
        <v>43.7194055944056</v>
      </c>
      <c r="AW3" s="73">
        <f>AB3/(AR3*1.5)</f>
        <v>29.146270396270399</v>
      </c>
      <c r="AX3" s="2" t="str">
        <f>"r_guanqia_"&amp;C3</f>
        <v>r_guanqia_1</v>
      </c>
      <c r="AY3" s="2">
        <f>ROUND(($P3*R3/10/$H3/(1+VLOOKUP($I3,技能效果!$B$2:$D$101,3,FALSE))-1)*10000,0)</f>
        <v>-2533</v>
      </c>
      <c r="AZ3" s="2">
        <f>ROUND(($P3*S3/10/$H3/(1+VLOOKUP($I3,技能效果!$B$2:$D$101,3,FALSE))-1)*10000,0)</f>
        <v>-4667</v>
      </c>
      <c r="BA3" s="2">
        <f>ROUND(($P3*T3/10/$H3/(1+VLOOKUP($I3,技能效果!$B$2:$D$101,3,FALSE))-1)*10000,0)</f>
        <v>-4667</v>
      </c>
      <c r="BB3" s="2">
        <f>ROUND(($P3*U3/10/$H3/(1+VLOOKUP($I3,技能效果!$B$2:$D$101,3,FALSE))-1)*10000,0)</f>
        <v>-4667</v>
      </c>
      <c r="BC3" s="2">
        <f>ROUND(($P3*V3/10/$H3/(1+VLOOKUP($I3,技能效果!$B$2:$D$101,3,FALSE))-1)*10000,0)</f>
        <v>-4667</v>
      </c>
      <c r="BF3" s="2" t="s">
        <v>217</v>
      </c>
      <c r="BG3" s="2" t="s">
        <v>218</v>
      </c>
      <c r="BH3" s="2" t="s">
        <v>227</v>
      </c>
      <c r="BL3" s="1" t="s">
        <v>111</v>
      </c>
      <c r="BM3" s="1">
        <v>5</v>
      </c>
      <c r="BN3" s="1">
        <v>6</v>
      </c>
    </row>
    <row r="4" spans="2:66" x14ac:dyDescent="0.15">
      <c r="B4" s="83"/>
      <c r="C4" s="2">
        <v>2</v>
      </c>
      <c r="D4" s="2">
        <v>2</v>
      </c>
      <c r="E4" s="2">
        <v>0</v>
      </c>
      <c r="F4" s="28">
        <f>INDEX([3]宠物属性!$AL$8:$AL$107,MATCH(D4,[3]宠物属性!$I$8:$I$107,0),1)</f>
        <v>745.19111111111113</v>
      </c>
      <c r="G4" s="68">
        <f>F4/INDEX(角色属性!$AI$8:$AI$107,MATCH(D4,角色属性!$I$8:$I$107,0),1)*E4</f>
        <v>0</v>
      </c>
      <c r="H4" s="2">
        <f>INDEX(角色属性!$AL$8:$AL$107,MATCH(D4,角色属性!$I$8:$I$107,0),1)</f>
        <v>54</v>
      </c>
      <c r="I4" s="2">
        <f>INDEX(角色属性!$Y$8:$Y$107,MATCH(D4,角色属性!$I$8:$I$107,0),1)</f>
        <v>1</v>
      </c>
      <c r="J4" s="28">
        <f>H4*10*(1+VLOOKUP(I4,技能效果!$B$2:$D$101,3,FALSE))</f>
        <v>540</v>
      </c>
      <c r="K4" s="28">
        <f>H4*10*(1+VLOOKUP(I4,技能效果!$B$2:$D$101,3,FALSE))*(1+G4)</f>
        <v>540</v>
      </c>
      <c r="L4" s="2">
        <f t="shared" ref="L4:L67" si="2">(INT((C4-1)/10)+1)*10</f>
        <v>10</v>
      </c>
      <c r="M4" s="28">
        <f t="shared" ref="M4:M67" si="3">INDEX($J$3:$J$202,MATCH(L4,$C$3:$C$202,0),1)</f>
        <v>1465.44</v>
      </c>
      <c r="N4" s="28">
        <f t="shared" ref="N4:N67" si="4">INDEX($K$3:$K$202,MATCH(L4,$C$3:$C$202,0),1)</f>
        <v>1920.6145454545454</v>
      </c>
      <c r="O4" s="64">
        <v>615</v>
      </c>
      <c r="P4" s="64">
        <f t="shared" ref="P4:P12" si="5">ROUND((M4-$O$1)*VLOOKUP(INT(RIGHT(C4,1)),$BF$4:$BH$13,3,FALSE)+O$1,0)</f>
        <v>531</v>
      </c>
      <c r="Q4" s="64">
        <f>O4-O3</f>
        <v>121</v>
      </c>
      <c r="R4" s="67">
        <v>1.5</v>
      </c>
      <c r="S4" s="67">
        <v>1</v>
      </c>
      <c r="T4" s="67">
        <v>1</v>
      </c>
      <c r="U4" s="67">
        <v>1</v>
      </c>
      <c r="V4" s="67">
        <v>1</v>
      </c>
      <c r="W4" s="28">
        <v>0</v>
      </c>
      <c r="X4" s="28">
        <v>0</v>
      </c>
      <c r="Y4" s="28">
        <v>0</v>
      </c>
      <c r="Z4" s="28">
        <v>-8</v>
      </c>
      <c r="AA4" s="28">
        <v>8</v>
      </c>
      <c r="AB4" s="64">
        <f>INDEX(角色属性!AM$8:AM$107,MATCH($D4,角色属性!$I$8:$I$107,0),1)</f>
        <v>1400</v>
      </c>
      <c r="AC4" s="64">
        <f>INDEX(角色属性!AN$8:AN$107,MATCH($D4,角色属性!$I$8:$I$107,0),1)</f>
        <v>140</v>
      </c>
      <c r="AD4" s="64">
        <f>INDEX(角色属性!AO$8:AO$107,MATCH($D4,角色属性!$I$8:$I$107,0),1)</f>
        <v>70</v>
      </c>
      <c r="AE4" s="64">
        <f>INDEX(角色属性!AP$8:AP$107,MATCH($D4,角色属性!$I$8:$I$107,0),1)</f>
        <v>56</v>
      </c>
      <c r="AF4" s="64">
        <f>INDEX(角色属性!AQ$8:AQ$107,MATCH($D4,角色属性!$I$8:$I$107,0),1)</f>
        <v>56</v>
      </c>
      <c r="AG4" s="64">
        <f>$P4/10/(1+VLOOKUP(I4,技能效果!$B$2:$D$101,3,FALSE))*怪物属性规划!A$18*INDEX(怪物属性等级系数!$A$2:$A$101,MATCH(D4,怪物属性等级系数!$D$2:$D$101,0),1)*R4+W4</f>
        <v>408.70851281508851</v>
      </c>
      <c r="AH4" s="64">
        <f>$P4/10/(1+VLOOKUP($I4,技能效果!$B$2:$D$101,3,FALSE))*怪物属性规划!B$18*S4+X4</f>
        <v>53.1</v>
      </c>
      <c r="AI4" s="64">
        <f>$P4/10/(1+VLOOKUP($I4,技能效果!$B$2:$D$101,3,FALSE))*怪物属性规划!C$18*T4+Y4</f>
        <v>53.1</v>
      </c>
      <c r="AJ4" s="64">
        <f>$P4/10/(1+VLOOKUP($I4,技能效果!$B$2:$D$101,3,FALSE))*怪物属性规划!D$18*U4+Z4</f>
        <v>34.480000000000004</v>
      </c>
      <c r="AK4" s="64">
        <f>$P4/10/(1+VLOOKUP($I4,技能效果!$B$2:$D$101,3,FALSE))*怪物属性规划!E$18*V4+AA4</f>
        <v>50.480000000000004</v>
      </c>
      <c r="AL4" s="67">
        <f>INDEX(角色属性!BB$8:BB$107,MATCH($D4,角色属性!$I$8:$I$107,0),1)</f>
        <v>1.01</v>
      </c>
      <c r="AM4" s="64">
        <f>INDEX(角色属性!BC$8:BC$107,MATCH($D4,角色属性!$I$8:$I$107,0),1)</f>
        <v>55</v>
      </c>
      <c r="AN4" s="64">
        <f>INDEX(角色属性!BD$8:BD$107,MATCH($D4,角色属性!$I$8:$I$107,0),1)</f>
        <v>69</v>
      </c>
      <c r="AO4" s="69">
        <f t="shared" ref="AO4:AO67" si="6">1*AI4/(AI4+0+0.429*AM4)</f>
        <v>0.69235282612947402</v>
      </c>
      <c r="AP4" s="69">
        <f t="shared" ref="AP4:AP67" si="7">1*AD4/(AD4+0+0.429*AN4)</f>
        <v>0.70280418871296468</v>
      </c>
      <c r="AQ4" s="64">
        <f>AL4*角色属性!$BA$1*(AC4*(1-AO4)+MAX(AF4-AJ4,0))</f>
        <v>130.47302077058475</v>
      </c>
      <c r="AR4" s="64">
        <f>角色属性!$BA$1*(AH4*(1-AP4)+MAX(AK4-AE4,0))</f>
        <v>31.562195158683153</v>
      </c>
      <c r="AS4" s="73">
        <f t="shared" ref="AS4:AS67" si="8">AG4/(AQ4*1.8)</f>
        <v>1.7402853368170219</v>
      </c>
      <c r="AT4" s="73">
        <f t="shared" ref="AT4:AT67" si="9">AG4/(AQ4*1.8*1.5)</f>
        <v>1.1601902245446813</v>
      </c>
      <c r="AU4" s="73">
        <f t="shared" ref="AU4:AU67" si="10">AG4/(AQ4*1.8*2)</f>
        <v>0.87014266840851096</v>
      </c>
      <c r="AV4" s="73">
        <f t="shared" si="1"/>
        <v>44.35686405718338</v>
      </c>
      <c r="AW4" s="73">
        <f t="shared" ref="AW4:AW67" si="11">AB4/(AR4*1.5)</f>
        <v>29.571242704788919</v>
      </c>
      <c r="AX4" s="2" t="str">
        <f t="shared" ref="AX4:AX67" si="12">"r_guanqia_"&amp;C4</f>
        <v>r_guanqia_2</v>
      </c>
      <c r="AY4" s="2">
        <f>ROUND(($P4*R4/10/$H4/(1+VLOOKUP($I4,技能效果!$B$2:$D$101,3,FALSE))-1)*10000,0)</f>
        <v>4750</v>
      </c>
      <c r="AZ4" s="2">
        <f>ROUND(($P4*S4/10/$H4/(1+VLOOKUP($I4,技能效果!$B$2:$D$101,3,FALSE))-1)*10000,0)</f>
        <v>-167</v>
      </c>
      <c r="BA4" s="2">
        <f>ROUND(($P4*T4/10/$H4/(1+VLOOKUP($I4,技能效果!$B$2:$D$101,3,FALSE))-1)*10000,0)</f>
        <v>-167</v>
      </c>
      <c r="BB4" s="2">
        <f>ROUND(($P4*U4/10/$H4/(1+VLOOKUP($I4,技能效果!$B$2:$D$101,3,FALSE))-1)*10000,0)</f>
        <v>-167</v>
      </c>
      <c r="BC4" s="2">
        <f>ROUND(($P4*V4/10/$H4/(1+VLOOKUP($I4,技能效果!$B$2:$D$101,3,FALSE))-1)*10000,0)</f>
        <v>-167</v>
      </c>
      <c r="BD4" s="1">
        <f>R4*1.5/2</f>
        <v>1.125</v>
      </c>
      <c r="BF4" s="2">
        <v>1</v>
      </c>
      <c r="BG4" s="2">
        <v>0.03</v>
      </c>
      <c r="BH4" s="2">
        <f>SUM(BG$4:BG4)</f>
        <v>0.03</v>
      </c>
      <c r="BL4" s="1" t="s">
        <v>94</v>
      </c>
      <c r="BM4" s="1">
        <v>10</v>
      </c>
    </row>
    <row r="5" spans="2:66" x14ac:dyDescent="0.15">
      <c r="B5" s="83"/>
      <c r="C5" s="2">
        <v>3</v>
      </c>
      <c r="D5" s="2">
        <v>3</v>
      </c>
      <c r="E5" s="2">
        <v>0</v>
      </c>
      <c r="F5" s="28">
        <f>INDEX([3]宠物属性!$AL$8:$AL$107,MATCH(D5,[3]宠物属性!$I$8:$I$107,0),1)</f>
        <v>790.72</v>
      </c>
      <c r="G5" s="68">
        <f>F5/INDEX(角色属性!$AI$8:$AI$107,MATCH(D5,角色属性!$I$8:$I$107,0),1)*E5</f>
        <v>0</v>
      </c>
      <c r="H5" s="2">
        <f>INDEX(角色属性!$AL$8:$AL$107,MATCH(D5,角色属性!$I$8:$I$107,0),1)</f>
        <v>66</v>
      </c>
      <c r="I5" s="2">
        <f>INDEX(角色属性!$Y$8:$Y$107,MATCH(D5,角色属性!$I$8:$I$107,0),1)</f>
        <v>1</v>
      </c>
      <c r="J5" s="28">
        <f>H5*10*(1+VLOOKUP(I5,技能效果!$B$2:$D$101,3,FALSE))</f>
        <v>660</v>
      </c>
      <c r="K5" s="28">
        <f>H5*10*(1+VLOOKUP(I5,技能效果!$B$2:$D$101,3,FALSE))*(1+G5)</f>
        <v>660</v>
      </c>
      <c r="L5" s="2">
        <f t="shared" si="2"/>
        <v>10</v>
      </c>
      <c r="M5" s="28">
        <f t="shared" si="3"/>
        <v>1465.44</v>
      </c>
      <c r="N5" s="28">
        <f t="shared" si="4"/>
        <v>1920.6145454545454</v>
      </c>
      <c r="O5" s="64">
        <v>653</v>
      </c>
      <c r="P5" s="64">
        <f t="shared" si="5"/>
        <v>602</v>
      </c>
      <c r="Q5" s="64">
        <f t="shared" ref="Q5:Q68" si="13">O5-O4</f>
        <v>38</v>
      </c>
      <c r="R5" s="67">
        <v>1.65</v>
      </c>
      <c r="S5" s="67">
        <v>1</v>
      </c>
      <c r="T5" s="67">
        <v>1</v>
      </c>
      <c r="U5" s="67">
        <v>1</v>
      </c>
      <c r="V5" s="67">
        <v>1</v>
      </c>
      <c r="W5" s="28">
        <v>0</v>
      </c>
      <c r="X5" s="28">
        <v>0</v>
      </c>
      <c r="Y5" s="28">
        <v>0</v>
      </c>
      <c r="Z5" s="28">
        <v>-12</v>
      </c>
      <c r="AA5" s="28">
        <v>7</v>
      </c>
      <c r="AB5" s="64">
        <f>INDEX(角色属性!AM$8:AM$107,MATCH($D5,角色属性!$I$8:$I$107,0),1)</f>
        <v>1540</v>
      </c>
      <c r="AC5" s="64">
        <f>INDEX(角色属性!AN$8:AN$107,MATCH($D5,角色属性!$I$8:$I$107,0),1)</f>
        <v>154</v>
      </c>
      <c r="AD5" s="64">
        <f>INDEX(角色属性!AO$8:AO$107,MATCH($D5,角色属性!$I$8:$I$107,0),1)</f>
        <v>77</v>
      </c>
      <c r="AE5" s="64">
        <f>INDEX(角色属性!AP$8:AP$107,MATCH($D5,角色属性!$I$8:$I$107,0),1)</f>
        <v>61.6</v>
      </c>
      <c r="AF5" s="64">
        <f>INDEX(角色属性!AQ$8:AQ$107,MATCH($D5,角色属性!$I$8:$I$107,0),1)</f>
        <v>61.6</v>
      </c>
      <c r="AG5" s="64">
        <f>$P5/10/(1+VLOOKUP(I5,技能效果!$B$2:$D$101,3,FALSE))*怪物属性规划!A$18*INDEX(怪物属性等级系数!$A$2:$A$101,MATCH(D5,怪物属性等级系数!$D$2:$D$101,0),1)*R5+W5</f>
        <v>518.17609223300951</v>
      </c>
      <c r="AH5" s="64">
        <f>$P5/10/(1+VLOOKUP($I5,技能效果!$B$2:$D$101,3,FALSE))*怪物属性规划!B$18*S5+X5</f>
        <v>60.2</v>
      </c>
      <c r="AI5" s="64">
        <f>$P5/10/(1+VLOOKUP($I5,技能效果!$B$2:$D$101,3,FALSE))*怪物属性规划!C$18*T5+Y5</f>
        <v>60.2</v>
      </c>
      <c r="AJ5" s="64">
        <f>$P5/10/(1+VLOOKUP($I5,技能效果!$B$2:$D$101,3,FALSE))*怪物属性规划!D$18*U5+Z5</f>
        <v>36.160000000000004</v>
      </c>
      <c r="AK5" s="64">
        <f>$P5/10/(1+VLOOKUP($I5,技能效果!$B$2:$D$101,3,FALSE))*怪物属性规划!E$18*V5+AA5</f>
        <v>55.160000000000004</v>
      </c>
      <c r="AL5" s="67">
        <f>INDEX(角色属性!BB$8:BB$107,MATCH($D5,角色属性!$I$8:$I$107,0),1)</f>
        <v>1.02</v>
      </c>
      <c r="AM5" s="64">
        <f>INDEX(角色属性!BC$8:BC$107,MATCH($D5,角色属性!$I$8:$I$107,0),1)</f>
        <v>68</v>
      </c>
      <c r="AN5" s="64">
        <f>INDEX(角色属性!BD$8:BD$107,MATCH($D5,角色属性!$I$8:$I$107,0),1)</f>
        <v>75</v>
      </c>
      <c r="AO5" s="69">
        <f t="shared" si="6"/>
        <v>0.67358904354831495</v>
      </c>
      <c r="AP5" s="69">
        <f t="shared" si="7"/>
        <v>0.70528967254408059</v>
      </c>
      <c r="AQ5" s="64">
        <f>AL5*角色属性!$BA$1*(AC5*(1-AO5)+MAX(AF5-AJ5,0))</f>
        <v>154.44286607886136</v>
      </c>
      <c r="AR5" s="64">
        <f>角色属性!$BA$1*(AH5*(1-AP5)+MAX(AK5-AE5,0))</f>
        <v>35.483123425692696</v>
      </c>
      <c r="AS5" s="73">
        <f t="shared" si="8"/>
        <v>1.8639618268228837</v>
      </c>
      <c r="AT5" s="73">
        <f t="shared" si="9"/>
        <v>1.2426412178819224</v>
      </c>
      <c r="AU5" s="73">
        <f t="shared" si="10"/>
        <v>0.93198091341144185</v>
      </c>
      <c r="AV5" s="73">
        <f t="shared" si="1"/>
        <v>43.400914331146886</v>
      </c>
      <c r="AW5" s="73">
        <f t="shared" si="11"/>
        <v>28.933942887431257</v>
      </c>
      <c r="AX5" s="2" t="str">
        <f t="shared" si="12"/>
        <v>r_guanqia_3</v>
      </c>
      <c r="AY5" s="2">
        <f>ROUND(($P5*R5/10/$H5/(1+VLOOKUP($I5,技能效果!$B$2:$D$101,3,FALSE))-1)*10000,0)</f>
        <v>5050</v>
      </c>
      <c r="AZ5" s="2">
        <f>ROUND(($P5*S5/10/$H5/(1+VLOOKUP($I5,技能效果!$B$2:$D$101,3,FALSE))-1)*10000,0)</f>
        <v>-879</v>
      </c>
      <c r="BA5" s="2">
        <f>ROUND(($P5*T5/10/$H5/(1+VLOOKUP($I5,技能效果!$B$2:$D$101,3,FALSE))-1)*10000,0)</f>
        <v>-879</v>
      </c>
      <c r="BB5" s="2">
        <f>ROUND(($P5*U5/10/$H5/(1+VLOOKUP($I5,技能效果!$B$2:$D$101,3,FALSE))-1)*10000,0)</f>
        <v>-879</v>
      </c>
      <c r="BC5" s="2">
        <f>ROUND(($P5*V5/10/$H5/(1+VLOOKUP($I5,技能效果!$B$2:$D$101,3,FALSE))-1)*10000,0)</f>
        <v>-879</v>
      </c>
      <c r="BD5" s="1">
        <f t="shared" ref="BD5:BD11" si="14">R5*1.5/2</f>
        <v>1.2374999999999998</v>
      </c>
      <c r="BF5" s="2">
        <v>2</v>
      </c>
      <c r="BG5" s="2">
        <v>0.05</v>
      </c>
      <c r="BH5" s="2">
        <f>SUM(BG$4:BG5)</f>
        <v>0.08</v>
      </c>
      <c r="BL5" s="1" t="s">
        <v>99</v>
      </c>
      <c r="BM5" s="1">
        <v>15</v>
      </c>
    </row>
    <row r="6" spans="2:66" x14ac:dyDescent="0.15">
      <c r="B6" s="83"/>
      <c r="C6" s="2">
        <v>4</v>
      </c>
      <c r="D6" s="2">
        <v>4</v>
      </c>
      <c r="E6" s="2">
        <v>0</v>
      </c>
      <c r="F6" s="28">
        <f>INDEX([3]宠物属性!$AL$8:$AL$107,MATCH(D6,[3]宠物属性!$I$8:$I$107,0),1)</f>
        <v>836.5866666666667</v>
      </c>
      <c r="G6" s="68">
        <f>F6/INDEX(角色属性!$AI$8:$AI$107,MATCH(D6,角色属性!$I$8:$I$107,0),1)*E6</f>
        <v>0</v>
      </c>
      <c r="H6" s="2">
        <f>INDEX(角色属性!$AL$8:$AL$107,MATCH(D6,角色属性!$I$8:$I$107,0),1)</f>
        <v>79</v>
      </c>
      <c r="I6" s="2">
        <f>INDEX(角色属性!$Y$8:$Y$107,MATCH(D6,角色属性!$I$8:$I$107,0),1)</f>
        <v>1</v>
      </c>
      <c r="J6" s="28">
        <f>H6*10*(1+VLOOKUP(I6,技能效果!$B$2:$D$101,3,FALSE))</f>
        <v>790</v>
      </c>
      <c r="K6" s="28">
        <f>H6*10*(1+VLOOKUP(I6,技能效果!$B$2:$D$101,3,FALSE))*(1+G6)</f>
        <v>790</v>
      </c>
      <c r="L6" s="2">
        <f t="shared" si="2"/>
        <v>10</v>
      </c>
      <c r="M6" s="28">
        <f t="shared" si="3"/>
        <v>1465.44</v>
      </c>
      <c r="N6" s="28">
        <f t="shared" si="4"/>
        <v>1920.6145454545454</v>
      </c>
      <c r="O6" s="64">
        <v>720</v>
      </c>
      <c r="P6" s="64">
        <f t="shared" si="5"/>
        <v>694</v>
      </c>
      <c r="Q6" s="64">
        <f t="shared" si="13"/>
        <v>67</v>
      </c>
      <c r="R6" s="67">
        <v>1.55</v>
      </c>
      <c r="S6" s="67">
        <v>0.85</v>
      </c>
      <c r="T6" s="67">
        <v>1</v>
      </c>
      <c r="U6" s="67">
        <v>1</v>
      </c>
      <c r="V6" s="67">
        <v>1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64">
        <f>INDEX(角色属性!AM$8:AM$107,MATCH($D6,角色属性!$I$8:$I$107,0),1)</f>
        <v>1700</v>
      </c>
      <c r="AC6" s="64">
        <f>INDEX(角色属性!AN$8:AN$107,MATCH($D6,角色属性!$I$8:$I$107,0),1)</f>
        <v>170</v>
      </c>
      <c r="AD6" s="64">
        <f>INDEX(角色属性!AO$8:AO$107,MATCH($D6,角色属性!$I$8:$I$107,0),1)</f>
        <v>85</v>
      </c>
      <c r="AE6" s="64">
        <f>INDEX(角色属性!AP$8:AP$107,MATCH($D6,角色属性!$I$8:$I$107,0),1)</f>
        <v>68</v>
      </c>
      <c r="AF6" s="64">
        <f>INDEX(角色属性!AQ$8:AQ$107,MATCH($D6,角色属性!$I$8:$I$107,0),1)</f>
        <v>68</v>
      </c>
      <c r="AG6" s="64">
        <f>$P6/10/(1+VLOOKUP(I6,技能效果!$B$2:$D$101,3,FALSE))*怪物属性规划!A$18*INDEX(怪物属性等级系数!$A$2:$A$101,MATCH(D6,怪物属性等级系数!$D$2:$D$101,0),1)*R6+W6</f>
        <v>567.22943847602676</v>
      </c>
      <c r="AH6" s="64">
        <f>$P6/10/(1+VLOOKUP($I6,技能效果!$B$2:$D$101,3,FALSE))*怪物属性规划!B$18*S6+X6</f>
        <v>58.99</v>
      </c>
      <c r="AI6" s="64">
        <f>$P6/10/(1+VLOOKUP($I6,技能效果!$B$2:$D$101,3,FALSE))*怪物属性规划!C$18*T6+Y6</f>
        <v>69.400000000000006</v>
      </c>
      <c r="AJ6" s="64">
        <f>$P6/10/(1+VLOOKUP($I6,技能效果!$B$2:$D$101,3,FALSE))*怪物属性规划!D$18*U6+Z6</f>
        <v>55.52000000000001</v>
      </c>
      <c r="AK6" s="64">
        <f>$P6/10/(1+VLOOKUP($I6,技能效果!$B$2:$D$101,3,FALSE))*怪物属性规划!E$18*V6+AA6</f>
        <v>55.52000000000001</v>
      </c>
      <c r="AL6" s="67">
        <f>INDEX(角色属性!BB$8:BB$107,MATCH($D6,角色属性!$I$8:$I$107,0),1)</f>
        <v>1.03</v>
      </c>
      <c r="AM6" s="64">
        <f>INDEX(角色属性!BC$8:BC$107,MATCH($D6,角色属性!$I$8:$I$107,0),1)</f>
        <v>82</v>
      </c>
      <c r="AN6" s="64">
        <f>INDEX(角色属性!BD$8:BD$107,MATCH($D6,角色属性!$I$8:$I$107,0),1)</f>
        <v>82</v>
      </c>
      <c r="AO6" s="69">
        <f t="shared" si="6"/>
        <v>0.663619499321081</v>
      </c>
      <c r="AP6" s="69">
        <f t="shared" si="7"/>
        <v>0.70728419511058593</v>
      </c>
      <c r="AQ6" s="64">
        <f>AL6*角色属性!$BA$1*(AC6*(1-AO6)+MAX(AF6-AJ6,0))</f>
        <v>143.50925133775741</v>
      </c>
      <c r="AR6" s="64">
        <f>角色属性!$BA$1*(AH6*(1-AP6)+MAX(AK6-AE6,0))</f>
        <v>34.534610660853076</v>
      </c>
      <c r="AS6" s="73">
        <f t="shared" si="8"/>
        <v>2.1958686487628869</v>
      </c>
      <c r="AT6" s="73">
        <f t="shared" si="9"/>
        <v>1.4639124325085915</v>
      </c>
      <c r="AU6" s="73">
        <f t="shared" si="10"/>
        <v>1.0979343243814434</v>
      </c>
      <c r="AV6" s="73">
        <f t="shared" si="1"/>
        <v>49.225978445068897</v>
      </c>
      <c r="AW6" s="73">
        <f t="shared" si="11"/>
        <v>32.817318963379265</v>
      </c>
      <c r="AX6" s="2" t="str">
        <f t="shared" si="12"/>
        <v>r_guanqia_4</v>
      </c>
      <c r="AY6" s="2">
        <f>ROUND(($P6*R6/10/$H6/(1+VLOOKUP($I6,技能效果!$B$2:$D$101,3,FALSE))-1)*10000,0)</f>
        <v>3616</v>
      </c>
      <c r="AZ6" s="2">
        <f>ROUND(($P6*S6/10/$H6/(1+VLOOKUP($I6,技能效果!$B$2:$D$101,3,FALSE))-1)*10000,0)</f>
        <v>-2533</v>
      </c>
      <c r="BA6" s="2">
        <f>ROUND(($P6*T6/10/$H6/(1+VLOOKUP($I6,技能效果!$B$2:$D$101,3,FALSE))-1)*10000,0)</f>
        <v>-1215</v>
      </c>
      <c r="BB6" s="2">
        <f>ROUND(($P6*U6/10/$H6/(1+VLOOKUP($I6,技能效果!$B$2:$D$101,3,FALSE))-1)*10000,0)</f>
        <v>-1215</v>
      </c>
      <c r="BC6" s="2">
        <f>ROUND(($P6*V6/10/$H6/(1+VLOOKUP($I6,技能效果!$B$2:$D$101,3,FALSE))-1)*10000,0)</f>
        <v>-1215</v>
      </c>
      <c r="BD6" s="1">
        <f t="shared" si="14"/>
        <v>1.1625000000000001</v>
      </c>
      <c r="BF6" s="2">
        <v>3</v>
      </c>
      <c r="BG6" s="2">
        <v>7.0000000000000007E-2</v>
      </c>
      <c r="BH6" s="2">
        <f>SUM(BG$4:BG6)</f>
        <v>0.15000000000000002</v>
      </c>
      <c r="BL6" s="1" t="s">
        <v>100</v>
      </c>
      <c r="BM6" s="1">
        <v>20</v>
      </c>
    </row>
    <row r="7" spans="2:66" x14ac:dyDescent="0.15">
      <c r="B7" s="83"/>
      <c r="C7" s="2">
        <v>5</v>
      </c>
      <c r="D7" s="2">
        <v>5</v>
      </c>
      <c r="E7" s="2">
        <v>0</v>
      </c>
      <c r="F7" s="28">
        <f>INDEX([3]宠物属性!$AL$8:$AL$107,MATCH(D7,[3]宠物属性!$I$8:$I$107,0),1)</f>
        <v>1171.7866666666669</v>
      </c>
      <c r="G7" s="68">
        <f>F7/INDEX(角色属性!$AI$8:$AI$107,MATCH(D7,角色属性!$I$8:$I$107,0),1)*E7</f>
        <v>0</v>
      </c>
      <c r="H7" s="2">
        <f>INDEX(角色属性!$AL$8:$AL$107,MATCH(D7,角色属性!$I$8:$I$107,0),1)</f>
        <v>94</v>
      </c>
      <c r="I7" s="2">
        <f>INDEX(角色属性!$Y$8:$Y$107,MATCH(D7,角色属性!$I$8:$I$107,0),1)</f>
        <v>1</v>
      </c>
      <c r="J7" s="28">
        <f>H7*10*(1+VLOOKUP(I7,技能效果!$B$2:$D$101,3,FALSE))</f>
        <v>940</v>
      </c>
      <c r="K7" s="28">
        <f>H7*10*(1+VLOOKUP(I7,技能效果!$B$2:$D$101,3,FALSE))*(1+G7)</f>
        <v>940</v>
      </c>
      <c r="L7" s="2">
        <f t="shared" si="2"/>
        <v>10</v>
      </c>
      <c r="M7" s="28">
        <f t="shared" si="3"/>
        <v>1465.44</v>
      </c>
      <c r="N7" s="28">
        <f t="shared" si="4"/>
        <v>1920.6145454545454</v>
      </c>
      <c r="O7" s="64">
        <v>920</v>
      </c>
      <c r="P7" s="64">
        <f t="shared" si="5"/>
        <v>876</v>
      </c>
      <c r="Q7" s="64">
        <f t="shared" si="13"/>
        <v>200</v>
      </c>
      <c r="R7" s="67">
        <v>1.24</v>
      </c>
      <c r="S7" s="67">
        <v>0.8</v>
      </c>
      <c r="T7" s="67">
        <v>1</v>
      </c>
      <c r="U7" s="67">
        <v>1</v>
      </c>
      <c r="V7" s="67">
        <v>1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64">
        <f>INDEX(角色属性!AM$8:AM$107,MATCH($D7,角色属性!$I$8:$I$107,0),1)</f>
        <v>2400</v>
      </c>
      <c r="AC7" s="64">
        <f>INDEX(角色属性!AN$8:AN$107,MATCH($D7,角色属性!$I$8:$I$107,0),1)</f>
        <v>240</v>
      </c>
      <c r="AD7" s="64">
        <f>INDEX(角色属性!AO$8:AO$107,MATCH($D7,角色属性!$I$8:$I$107,0),1)</f>
        <v>120</v>
      </c>
      <c r="AE7" s="64">
        <f>INDEX(角色属性!AP$8:AP$107,MATCH($D7,角色属性!$I$8:$I$107,0),1)</f>
        <v>96</v>
      </c>
      <c r="AF7" s="64">
        <f>INDEX(角色属性!AQ$8:AQ$107,MATCH($D7,角色属性!$I$8:$I$107,0),1)</f>
        <v>96</v>
      </c>
      <c r="AG7" s="64">
        <f>$P7/10/(1+VLOOKUP(I7,技能效果!$B$2:$D$101,3,FALSE))*怪物属性规划!A$18*INDEX(怪物属性等级系数!$A$2:$A$101,MATCH(D7,怪物属性等级系数!$D$2:$D$101,0),1)*R7+W7</f>
        <v>585.15327883217435</v>
      </c>
      <c r="AH7" s="64">
        <f>$P7/10/(1+VLOOKUP($I7,技能效果!$B$2:$D$101,3,FALSE))*怪物属性规划!B$18*S7+X7</f>
        <v>70.08</v>
      </c>
      <c r="AI7" s="64">
        <f>$P7/10/(1+VLOOKUP($I7,技能效果!$B$2:$D$101,3,FALSE))*怪物属性规划!C$18*T7+Y7</f>
        <v>87.6</v>
      </c>
      <c r="AJ7" s="64">
        <f>$P7/10/(1+VLOOKUP($I7,技能效果!$B$2:$D$101,3,FALSE))*怪物属性规划!D$18*U7+Z7</f>
        <v>70.08</v>
      </c>
      <c r="AK7" s="64">
        <f>$P7/10/(1+VLOOKUP($I7,技能效果!$B$2:$D$101,3,FALSE))*怪物属性规划!E$18*V7+AA7</f>
        <v>70.08</v>
      </c>
      <c r="AL7" s="67">
        <f>INDEX(角色属性!BB$8:BB$107,MATCH($D7,角色属性!$I$8:$I$107,0),1)</f>
        <v>1.04</v>
      </c>
      <c r="AM7" s="64">
        <f>INDEX(角色属性!BC$8:BC$107,MATCH($D7,角色属性!$I$8:$I$107,0),1)</f>
        <v>99</v>
      </c>
      <c r="AN7" s="64">
        <f>INDEX(角色属性!BD$8:BD$107,MATCH($D7,角色属性!$I$8:$I$107,0),1)</f>
        <v>114</v>
      </c>
      <c r="AO7" s="69">
        <f t="shared" si="6"/>
        <v>0.67347833106534116</v>
      </c>
      <c r="AP7" s="69">
        <f t="shared" si="7"/>
        <v>0.71045433554758264</v>
      </c>
      <c r="AQ7" s="64">
        <f>AL7*角色属性!$BA$1*(AC7*(1-AO7)+MAX(AF7-AJ7,0))</f>
        <v>216.91321713218173</v>
      </c>
      <c r="AR7" s="64">
        <f>角色属性!$BA$1*(AH7*(1-AP7)+MAX(AK7-AE7,0))</f>
        <v>40.582720329650819</v>
      </c>
      <c r="AS7" s="73">
        <f t="shared" si="8"/>
        <v>1.4986876281894081</v>
      </c>
      <c r="AT7" s="73">
        <f t="shared" si="9"/>
        <v>0.99912508545960543</v>
      </c>
      <c r="AU7" s="73">
        <f t="shared" si="10"/>
        <v>0.74934381409470407</v>
      </c>
      <c r="AV7" s="73">
        <f t="shared" si="1"/>
        <v>59.138470277619511</v>
      </c>
      <c r="AW7" s="73">
        <f t="shared" si="11"/>
        <v>39.425646851746336</v>
      </c>
      <c r="AX7" s="2" t="str">
        <f t="shared" si="12"/>
        <v>r_guanqia_5</v>
      </c>
      <c r="AY7" s="2">
        <f>ROUND(($P7*R7/10/$H7/(1+VLOOKUP($I7,技能效果!$B$2:$D$101,3,FALSE))-1)*10000,0)</f>
        <v>1556</v>
      </c>
      <c r="AZ7" s="2">
        <f>ROUND(($P7*S7/10/$H7/(1+VLOOKUP($I7,技能效果!$B$2:$D$101,3,FALSE))-1)*10000,0)</f>
        <v>-2545</v>
      </c>
      <c r="BA7" s="2">
        <f>ROUND(($P7*T7/10/$H7/(1+VLOOKUP($I7,技能效果!$B$2:$D$101,3,FALSE))-1)*10000,0)</f>
        <v>-681</v>
      </c>
      <c r="BB7" s="2">
        <f>ROUND(($P7*U7/10/$H7/(1+VLOOKUP($I7,技能效果!$B$2:$D$101,3,FALSE))-1)*10000,0)</f>
        <v>-681</v>
      </c>
      <c r="BC7" s="2">
        <f>ROUND(($P7*V7/10/$H7/(1+VLOOKUP($I7,技能效果!$B$2:$D$101,3,FALSE))-1)*10000,0)</f>
        <v>-681</v>
      </c>
      <c r="BD7" s="1">
        <f t="shared" si="14"/>
        <v>0.92999999999999994</v>
      </c>
      <c r="BF7" s="2">
        <v>4</v>
      </c>
      <c r="BG7" s="2">
        <v>0.09</v>
      </c>
      <c r="BH7" s="2">
        <f>SUM(BG$4:BG7)</f>
        <v>0.24000000000000002</v>
      </c>
      <c r="BL7" s="1" t="s">
        <v>101</v>
      </c>
      <c r="BM7" s="1">
        <v>25</v>
      </c>
    </row>
    <row r="8" spans="2:66" x14ac:dyDescent="0.15">
      <c r="B8" s="83"/>
      <c r="C8" s="2">
        <v>6</v>
      </c>
      <c r="D8" s="2">
        <v>6</v>
      </c>
      <c r="E8" s="2">
        <v>0.1</v>
      </c>
      <c r="F8" s="28">
        <f>INDEX([3]宠物属性!$AL$8:$AL$107,MATCH(D8,[3]宠物属性!$I$8:$I$107,0),1)</f>
        <v>1230.8000000000002</v>
      </c>
      <c r="G8" s="68">
        <f>F8/INDEX(角色属性!$AI$8:$AI$107,MATCH(D8,角色属性!$I$8:$I$107,0),1)*E8</f>
        <v>9.5410852713178312E-2</v>
      </c>
      <c r="H8" s="2">
        <f>INDEX(角色属性!$AL$8:$AL$107,MATCH(D8,角色属性!$I$8:$I$107,0),1)</f>
        <v>105</v>
      </c>
      <c r="I8" s="2">
        <f>INDEX(角色属性!$Y$8:$Y$107,MATCH(D8,角色属性!$I$8:$I$107,0),1)</f>
        <v>1</v>
      </c>
      <c r="J8" s="28">
        <f>H8*10*(1+VLOOKUP(I8,技能效果!$B$2:$D$101,3,FALSE))</f>
        <v>1050</v>
      </c>
      <c r="K8" s="28">
        <f>H8*10*(1+VLOOKUP(I8,技能效果!$B$2:$D$101,3,FALSE))*(1+G8)</f>
        <v>1150.1813953488372</v>
      </c>
      <c r="L8" s="2">
        <f t="shared" si="2"/>
        <v>10</v>
      </c>
      <c r="M8" s="28">
        <f t="shared" si="3"/>
        <v>1465.44</v>
      </c>
      <c r="N8" s="28">
        <f t="shared" si="4"/>
        <v>1920.6145454545454</v>
      </c>
      <c r="O8" s="64">
        <v>1120</v>
      </c>
      <c r="P8" s="64">
        <f t="shared" si="5"/>
        <v>917</v>
      </c>
      <c r="Q8" s="64">
        <f t="shared" si="13"/>
        <v>200</v>
      </c>
      <c r="R8" s="67">
        <v>1.05</v>
      </c>
      <c r="S8" s="67">
        <v>1</v>
      </c>
      <c r="T8" s="67">
        <v>1</v>
      </c>
      <c r="U8" s="67">
        <v>1</v>
      </c>
      <c r="V8" s="67">
        <v>1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64">
        <f>INDEX(角色属性!AM$8:AM$107,MATCH($D8,角色属性!$I$8:$I$107,0),1)</f>
        <v>2580</v>
      </c>
      <c r="AC8" s="64">
        <f>INDEX(角色属性!AN$8:AN$107,MATCH($D8,角色属性!$I$8:$I$107,0),1)</f>
        <v>258</v>
      </c>
      <c r="AD8" s="64">
        <f>INDEX(角色属性!AO$8:AO$107,MATCH($D8,角色属性!$I$8:$I$107,0),1)</f>
        <v>129</v>
      </c>
      <c r="AE8" s="64">
        <f>INDEX(角色属性!AP$8:AP$107,MATCH($D8,角色属性!$I$8:$I$107,0),1)</f>
        <v>103.2</v>
      </c>
      <c r="AF8" s="64">
        <f>INDEX(角色属性!AQ$8:AQ$107,MATCH($D8,角色属性!$I$8:$I$107,0),1)</f>
        <v>103.2</v>
      </c>
      <c r="AG8" s="64">
        <f>$P8/10/(1+VLOOKUP(I8,技能效果!$B$2:$D$101,3,FALSE))*怪物属性规划!A$18*INDEX(怪物属性等级系数!$A$2:$A$101,MATCH(D8,怪物属性等级系数!$D$2:$D$101,0),1)*R8+W8</f>
        <v>531.8376839852225</v>
      </c>
      <c r="AH8" s="64">
        <f>$P8/10/(1+VLOOKUP($I8,技能效果!$B$2:$D$101,3,FALSE))*怪物属性规划!B$18*S8+X8</f>
        <v>91.7</v>
      </c>
      <c r="AI8" s="64">
        <f>$P8/10/(1+VLOOKUP($I8,技能效果!$B$2:$D$101,3,FALSE))*怪物属性规划!C$18*T8+Y8</f>
        <v>91.7</v>
      </c>
      <c r="AJ8" s="64">
        <f>$P8/10/(1+VLOOKUP($I8,技能效果!$B$2:$D$101,3,FALSE))*怪物属性规划!D$18*U8+Z8</f>
        <v>73.36</v>
      </c>
      <c r="AK8" s="64">
        <f>$P8/10/(1+VLOOKUP($I8,技能效果!$B$2:$D$101,3,FALSE))*怪物属性规划!E$18*V8+AA8</f>
        <v>73.36</v>
      </c>
      <c r="AL8" s="67">
        <f>INDEX(角色属性!BB$8:BB$107,MATCH($D8,角色属性!$I$8:$I$107,0),1)</f>
        <v>1.05</v>
      </c>
      <c r="AM8" s="64">
        <f>INDEX(角色属性!BC$8:BC$107,MATCH($D8,角色属性!$I$8:$I$107,0),1)</f>
        <v>113</v>
      </c>
      <c r="AN8" s="64">
        <f>INDEX(角色属性!BD$8:BD$107,MATCH($D8,角色属性!$I$8:$I$107,0),1)</f>
        <v>120</v>
      </c>
      <c r="AO8" s="69">
        <f t="shared" si="6"/>
        <v>0.65417293849918323</v>
      </c>
      <c r="AP8" s="69">
        <f t="shared" si="7"/>
        <v>0.7147606382978724</v>
      </c>
      <c r="AQ8" s="64">
        <f>AL8*角色属性!$BA$1*(AC8*(1-AO8)+MAX(AF8-AJ8,0))</f>
        <v>250.03310192114253</v>
      </c>
      <c r="AR8" s="64">
        <f>角色属性!$BA$1*(AH8*(1-AP8)+MAX(AK8-AE8,0))</f>
        <v>52.312898936170207</v>
      </c>
      <c r="AS8" s="73">
        <f t="shared" si="8"/>
        <v>1.1817050531372304</v>
      </c>
      <c r="AT8" s="73">
        <f t="shared" si="9"/>
        <v>0.78780336875815349</v>
      </c>
      <c r="AU8" s="73">
        <f t="shared" si="10"/>
        <v>0.5908525265686152</v>
      </c>
      <c r="AV8" s="73">
        <f t="shared" si="1"/>
        <v>49.318620310986731</v>
      </c>
      <c r="AW8" s="73">
        <f t="shared" si="11"/>
        <v>32.879080207324485</v>
      </c>
      <c r="AX8" s="2" t="str">
        <f t="shared" si="12"/>
        <v>r_guanqia_6</v>
      </c>
      <c r="AY8" s="2">
        <f>ROUND(($P8*R8/10/$H8/(1+VLOOKUP($I8,技能效果!$B$2:$D$101,3,FALSE))-1)*10000,0)</f>
        <v>-830</v>
      </c>
      <c r="AZ8" s="2">
        <f>ROUND(($P8*S8/10/$H8/(1+VLOOKUP($I8,技能效果!$B$2:$D$101,3,FALSE))-1)*10000,0)</f>
        <v>-1267</v>
      </c>
      <c r="BA8" s="2">
        <f>ROUND(($P8*T8/10/$H8/(1+VLOOKUP($I8,技能效果!$B$2:$D$101,3,FALSE))-1)*10000,0)</f>
        <v>-1267</v>
      </c>
      <c r="BB8" s="2">
        <f>ROUND(($P8*U8/10/$H8/(1+VLOOKUP($I8,技能效果!$B$2:$D$101,3,FALSE))-1)*10000,0)</f>
        <v>-1267</v>
      </c>
      <c r="BC8" s="2">
        <f>ROUND(($P8*V8/10/$H8/(1+VLOOKUP($I8,技能效果!$B$2:$D$101,3,FALSE))-1)*10000,0)</f>
        <v>-1267</v>
      </c>
      <c r="BD8" s="1">
        <f t="shared" si="14"/>
        <v>0.78750000000000009</v>
      </c>
      <c r="BF8" s="2">
        <v>5</v>
      </c>
      <c r="BG8" s="2">
        <v>0.18</v>
      </c>
      <c r="BH8" s="2">
        <f>SUM(BG$4:BG8)</f>
        <v>0.42000000000000004</v>
      </c>
      <c r="BL8" s="1" t="s">
        <v>102</v>
      </c>
      <c r="BM8" s="1">
        <v>30</v>
      </c>
    </row>
    <row r="9" spans="2:66" x14ac:dyDescent="0.15">
      <c r="B9" s="83"/>
      <c r="C9" s="2">
        <v>7</v>
      </c>
      <c r="D9" s="2">
        <v>7</v>
      </c>
      <c r="E9" s="2">
        <v>0.15</v>
      </c>
      <c r="F9" s="28">
        <f>INDEX([3]宠物属性!$AL$8:$AL$107,MATCH(D9,[3]宠物属性!$I$8:$I$107,0),1)</f>
        <v>1290.24</v>
      </c>
      <c r="G9" s="68">
        <f>F9/INDEX(角色属性!$AI$8:$AI$107,MATCH(D9,角色属性!$I$8:$I$107,0),1)*E9</f>
        <v>0.13795620437956205</v>
      </c>
      <c r="H9" s="2">
        <f>INDEX(角色属性!$AL$8:$AL$107,MATCH(D9,角色属性!$I$8:$I$107,0),1)</f>
        <v>110</v>
      </c>
      <c r="I9" s="2">
        <f>INDEX(角色属性!$Y$8:$Y$107,MATCH(D9,角色属性!$I$8:$I$107,0),1)</f>
        <v>7</v>
      </c>
      <c r="J9" s="28">
        <f>H9*10*(1+VLOOKUP(I9,技能效果!$B$2:$D$101,3,FALSE))</f>
        <v>1126.4000000000001</v>
      </c>
      <c r="K9" s="28">
        <f>H9*10*(1+VLOOKUP(I9,技能效果!$B$2:$D$101,3,FALSE))*(1+G9)</f>
        <v>1281.7938686131388</v>
      </c>
      <c r="L9" s="2">
        <f t="shared" si="2"/>
        <v>10</v>
      </c>
      <c r="M9" s="28">
        <f t="shared" si="3"/>
        <v>1465.44</v>
      </c>
      <c r="N9" s="28">
        <f t="shared" si="4"/>
        <v>1920.6145454545454</v>
      </c>
      <c r="O9" s="64">
        <v>1425</v>
      </c>
      <c r="P9" s="64">
        <f t="shared" si="5"/>
        <v>978</v>
      </c>
      <c r="Q9" s="64">
        <f t="shared" si="13"/>
        <v>305</v>
      </c>
      <c r="R9" s="67">
        <v>1.5</v>
      </c>
      <c r="S9" s="67">
        <v>1</v>
      </c>
      <c r="T9" s="67">
        <v>1</v>
      </c>
      <c r="U9" s="67">
        <v>1</v>
      </c>
      <c r="V9" s="67">
        <v>1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64">
        <f>INDEX(角色属性!AM$8:AM$107,MATCH($D9,角色属性!$I$8:$I$107,0),1)</f>
        <v>2740</v>
      </c>
      <c r="AC9" s="64">
        <f>INDEX(角色属性!AN$8:AN$107,MATCH($D9,角色属性!$I$8:$I$107,0),1)</f>
        <v>274</v>
      </c>
      <c r="AD9" s="64">
        <f>INDEX(角色属性!AO$8:AO$107,MATCH($D9,角色属性!$I$8:$I$107,0),1)</f>
        <v>137</v>
      </c>
      <c r="AE9" s="64">
        <f>INDEX(角色属性!AP$8:AP$107,MATCH($D9,角色属性!$I$8:$I$107,0),1)</f>
        <v>109.6</v>
      </c>
      <c r="AF9" s="64">
        <f>INDEX(角色属性!AQ$8:AQ$107,MATCH($D9,角色属性!$I$8:$I$107,0),1)</f>
        <v>109.6</v>
      </c>
      <c r="AG9" s="64">
        <f>$P9/10/(1+VLOOKUP(I9,技能效果!$B$2:$D$101,3,FALSE))*怪物属性规划!A$18*INDEX(怪物属性等级系数!$A$2:$A$101,MATCH(D9,怪物属性等级系数!$D$2:$D$101,0),1)*R9+W9</f>
        <v>808.10091091385175</v>
      </c>
      <c r="AH9" s="64">
        <f>$P9/10/(1+VLOOKUP($I9,技能效果!$B$2:$D$101,3,FALSE))*怪物属性规划!B$18*S9+X9</f>
        <v>95.5078125</v>
      </c>
      <c r="AI9" s="64">
        <f>$P9/10/(1+VLOOKUP($I9,技能效果!$B$2:$D$101,3,FALSE))*怪物属性规划!C$18*T9+Y9</f>
        <v>95.5078125</v>
      </c>
      <c r="AJ9" s="64">
        <f>$P9/10/(1+VLOOKUP($I9,技能效果!$B$2:$D$101,3,FALSE))*怪物属性规划!D$18*U9+Z9</f>
        <v>76.40625</v>
      </c>
      <c r="AK9" s="64">
        <f>$P9/10/(1+VLOOKUP($I9,技能效果!$B$2:$D$101,3,FALSE))*怪物属性规划!E$18*V9+AA9</f>
        <v>76.40625</v>
      </c>
      <c r="AL9" s="67">
        <f>INDEX(角色属性!BB$8:BB$107,MATCH($D9,角色属性!$I$8:$I$107,0),1)</f>
        <v>1.06</v>
      </c>
      <c r="AM9" s="64">
        <f>INDEX(角色属性!BC$8:BC$107,MATCH($D9,角色属性!$I$8:$I$107,0),1)</f>
        <v>120</v>
      </c>
      <c r="AN9" s="64">
        <f>INDEX(角色属性!BD$8:BD$107,MATCH($D9,角色属性!$I$8:$I$107,0),1)</f>
        <v>126</v>
      </c>
      <c r="AO9" s="69">
        <f t="shared" si="6"/>
        <v>0.64976688118275117</v>
      </c>
      <c r="AP9" s="69">
        <f t="shared" si="7"/>
        <v>0.71707475373454621</v>
      </c>
      <c r="AQ9" s="64">
        <f>AL9*角色属性!$BA$1*(AC9*(1-AO9)+MAX(AF9-AJ9,0))</f>
        <v>273.81416405856356</v>
      </c>
      <c r="AR9" s="64">
        <f>角色属性!$BA$1*(AH9*(1-AP9)+MAX(AK9-AE9,0))</f>
        <v>54.043142743674572</v>
      </c>
      <c r="AS9" s="73">
        <f t="shared" si="8"/>
        <v>1.6395972503879483</v>
      </c>
      <c r="AT9" s="73">
        <f t="shared" si="9"/>
        <v>1.0930648335919657</v>
      </c>
      <c r="AU9" s="73">
        <f t="shared" si="10"/>
        <v>0.81979862519397417</v>
      </c>
      <c r="AV9" s="73">
        <f t="shared" si="1"/>
        <v>50.700234310868247</v>
      </c>
      <c r="AW9" s="73">
        <f t="shared" si="11"/>
        <v>33.8001562072455</v>
      </c>
      <c r="AX9" s="2" t="str">
        <f t="shared" si="12"/>
        <v>r_guanqia_7</v>
      </c>
      <c r="AY9" s="2">
        <f>ROUND(($P9*R9/10/$H9/(1+VLOOKUP($I9,技能效果!$B$2:$D$101,3,FALSE))-1)*10000,0)</f>
        <v>3024</v>
      </c>
      <c r="AZ9" s="2">
        <f>ROUND(($P9*S9/10/$H9/(1+VLOOKUP($I9,技能效果!$B$2:$D$101,3,FALSE))-1)*10000,0)</f>
        <v>-1317</v>
      </c>
      <c r="BA9" s="2">
        <f>ROUND(($P9*T9/10/$H9/(1+VLOOKUP($I9,技能效果!$B$2:$D$101,3,FALSE))-1)*10000,0)</f>
        <v>-1317</v>
      </c>
      <c r="BB9" s="2">
        <f>ROUND(($P9*U9/10/$H9/(1+VLOOKUP($I9,技能效果!$B$2:$D$101,3,FALSE))-1)*10000,0)</f>
        <v>-1317</v>
      </c>
      <c r="BC9" s="2">
        <f>ROUND(($P9*V9/10/$H9/(1+VLOOKUP($I9,技能效果!$B$2:$D$101,3,FALSE))-1)*10000,0)</f>
        <v>-1317</v>
      </c>
      <c r="BD9" s="1">
        <f t="shared" si="14"/>
        <v>1.125</v>
      </c>
      <c r="BF9" s="2">
        <v>6</v>
      </c>
      <c r="BG9" s="2">
        <v>0.04</v>
      </c>
      <c r="BH9" s="2">
        <f>SUM(BG$4:BG9)</f>
        <v>0.46</v>
      </c>
      <c r="BL9" s="1" t="s">
        <v>103</v>
      </c>
      <c r="BM9" s="1">
        <v>35</v>
      </c>
    </row>
    <row r="10" spans="2:66" x14ac:dyDescent="0.15">
      <c r="B10" s="83"/>
      <c r="C10" s="2">
        <v>8</v>
      </c>
      <c r="D10" s="2">
        <v>8</v>
      </c>
      <c r="E10" s="2">
        <v>0.2</v>
      </c>
      <c r="F10" s="28">
        <f>INDEX([3]宠物属性!$AL$8:$AL$107,MATCH(D10,[3]宠物属性!$I$8:$I$107,0),1)</f>
        <v>1350.1066666666668</v>
      </c>
      <c r="G10" s="68">
        <f>F10/INDEX(角色属性!$AI$8:$AI$107,MATCH(D10,角色属性!$I$8:$I$107,0),1)*E10</f>
        <v>0.18114942528735634</v>
      </c>
      <c r="H10" s="2">
        <f>INDEX(角色属性!$AL$8:$AL$107,MATCH(D10,角色属性!$I$8:$I$107,0),1)</f>
        <v>122</v>
      </c>
      <c r="I10" s="2">
        <f>INDEX(角色属性!$Y$8:$Y$107,MATCH(D10,角色属性!$I$8:$I$107,0),1)</f>
        <v>8</v>
      </c>
      <c r="J10" s="28">
        <f>H10*10*(1+VLOOKUP(I10,技能效果!$B$2:$D$101,3,FALSE))</f>
        <v>1254.1600000000001</v>
      </c>
      <c r="K10" s="28">
        <f>H10*10*(1+VLOOKUP(I10,技能效果!$B$2:$D$101,3,FALSE))*(1+G10)</f>
        <v>1481.3503632183911</v>
      </c>
      <c r="L10" s="2">
        <f t="shared" si="2"/>
        <v>10</v>
      </c>
      <c r="M10" s="28">
        <f t="shared" si="3"/>
        <v>1465.44</v>
      </c>
      <c r="N10" s="28">
        <f t="shared" si="4"/>
        <v>1920.6145454545454</v>
      </c>
      <c r="O10" s="64">
        <v>1786</v>
      </c>
      <c r="P10" s="64">
        <f t="shared" si="5"/>
        <v>1059</v>
      </c>
      <c r="Q10" s="64">
        <f t="shared" si="13"/>
        <v>361</v>
      </c>
      <c r="R10" s="67">
        <v>1.05</v>
      </c>
      <c r="S10" s="67">
        <v>0.75</v>
      </c>
      <c r="T10" s="67">
        <v>1</v>
      </c>
      <c r="U10" s="67">
        <v>1</v>
      </c>
      <c r="V10" s="67">
        <v>1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64">
        <f>INDEX(角色属性!AM$8:AM$107,MATCH($D10,角色属性!$I$8:$I$107,0),1)</f>
        <v>2900</v>
      </c>
      <c r="AC10" s="64">
        <f>INDEX(角色属性!AN$8:AN$107,MATCH($D10,角色属性!$I$8:$I$107,0),1)</f>
        <v>290</v>
      </c>
      <c r="AD10" s="64">
        <f>INDEX(角色属性!AO$8:AO$107,MATCH($D10,角色属性!$I$8:$I$107,0),1)</f>
        <v>145</v>
      </c>
      <c r="AE10" s="64">
        <f>INDEX(角色属性!AP$8:AP$107,MATCH($D10,角色属性!$I$8:$I$107,0),1)</f>
        <v>116</v>
      </c>
      <c r="AF10" s="64">
        <f>INDEX(角色属性!AQ$8:AQ$107,MATCH($D10,角色属性!$I$8:$I$107,0),1)</f>
        <v>116</v>
      </c>
      <c r="AG10" s="64">
        <f>$P10/10/(1+VLOOKUP(I10,技能效果!$B$2:$D$101,3,FALSE))*怪物属性规划!A$18*INDEX(怪物属性等级系数!$A$2:$A$101,MATCH(D10,怪物属性等级系数!$D$2:$D$101,0),1)*R10+W10</f>
        <v>620.12617633596574</v>
      </c>
      <c r="AH10" s="64">
        <f>$P10/10/(1+VLOOKUP($I10,技能效果!$B$2:$D$101,3,FALSE))*怪物属性规划!B$18*S10+X10</f>
        <v>77.261673151750969</v>
      </c>
      <c r="AI10" s="64">
        <f>$P10/10/(1+VLOOKUP($I10,技能效果!$B$2:$D$101,3,FALSE))*怪物属性规划!C$18*T10+Y10</f>
        <v>103.01556420233463</v>
      </c>
      <c r="AJ10" s="64">
        <f>$P10/10/(1+VLOOKUP($I10,技能效果!$B$2:$D$101,3,FALSE))*怪物属性规划!D$18*U10+Z10</f>
        <v>82.41245136186771</v>
      </c>
      <c r="AK10" s="64">
        <f>$P10/10/(1+VLOOKUP($I10,技能效果!$B$2:$D$101,3,FALSE))*怪物属性规划!E$18*V10+AA10</f>
        <v>82.41245136186771</v>
      </c>
      <c r="AL10" s="67">
        <f>INDEX(角色属性!BB$8:BB$107,MATCH($D10,角色属性!$I$8:$I$107,0),1)</f>
        <v>1.07</v>
      </c>
      <c r="AM10" s="64">
        <f>INDEX(角色属性!BC$8:BC$107,MATCH($D10,角色属性!$I$8:$I$107,0),1)</f>
        <v>135</v>
      </c>
      <c r="AN10" s="64">
        <f>INDEX(角色属性!BD$8:BD$107,MATCH($D10,角色属性!$I$8:$I$107,0),1)</f>
        <v>132</v>
      </c>
      <c r="AO10" s="69">
        <f t="shared" si="6"/>
        <v>0.6401242965432925</v>
      </c>
      <c r="AP10" s="69">
        <f t="shared" si="7"/>
        <v>0.71914615033626283</v>
      </c>
      <c r="AQ10" s="64">
        <f>AL10*角色属性!$BA$1*(AC10*(1-AO10)+MAX(AF10-AJ10,0))</f>
        <v>295.21621565083581</v>
      </c>
      <c r="AR10" s="64">
        <f>角色属性!$BA$1*(AH10*(1-AP10)+MAX(AK10-AE10,0))</f>
        <v>43.398476672261332</v>
      </c>
      <c r="AS10" s="73">
        <f t="shared" si="8"/>
        <v>1.166990578919761</v>
      </c>
      <c r="AT10" s="73">
        <f t="shared" si="9"/>
        <v>0.77799371927984062</v>
      </c>
      <c r="AU10" s="73">
        <f t="shared" si="10"/>
        <v>0.5834952894598805</v>
      </c>
      <c r="AV10" s="73">
        <f t="shared" si="1"/>
        <v>66.822621952847726</v>
      </c>
      <c r="AW10" s="73">
        <f t="shared" si="11"/>
        <v>44.548414635231815</v>
      </c>
      <c r="AX10" s="2" t="str">
        <f t="shared" si="12"/>
        <v>r_guanqia_8</v>
      </c>
      <c r="AY10" s="2">
        <f>ROUND(($P10*R10/10/$H10/(1+VLOOKUP($I10,技能效果!$B$2:$D$101,3,FALSE))-1)*10000,0)</f>
        <v>-1134</v>
      </c>
      <c r="AZ10" s="2">
        <f>ROUND(($P10*S10/10/$H10/(1+VLOOKUP($I10,技能效果!$B$2:$D$101,3,FALSE))-1)*10000,0)</f>
        <v>-3667</v>
      </c>
      <c r="BA10" s="2">
        <f>ROUND(($P10*T10/10/$H10/(1+VLOOKUP($I10,技能效果!$B$2:$D$101,3,FALSE))-1)*10000,0)</f>
        <v>-1556</v>
      </c>
      <c r="BB10" s="2">
        <f>ROUND(($P10*U10/10/$H10/(1+VLOOKUP($I10,技能效果!$B$2:$D$101,3,FALSE))-1)*10000,0)</f>
        <v>-1556</v>
      </c>
      <c r="BC10" s="2">
        <f>ROUND(($P10*V10/10/$H10/(1+VLOOKUP($I10,技能效果!$B$2:$D$101,3,FALSE))-1)*10000,0)</f>
        <v>-1556</v>
      </c>
      <c r="BD10" s="1">
        <f t="shared" si="14"/>
        <v>0.78750000000000009</v>
      </c>
      <c r="BF10" s="2">
        <v>7</v>
      </c>
      <c r="BG10" s="2">
        <v>0.06</v>
      </c>
      <c r="BH10" s="2">
        <f>SUM(BG$4:BG10)</f>
        <v>0.52</v>
      </c>
      <c r="BL10" s="1" t="s">
        <v>104</v>
      </c>
      <c r="BM10" s="1">
        <v>40</v>
      </c>
    </row>
    <row r="11" spans="2:66" x14ac:dyDescent="0.15">
      <c r="B11" s="83"/>
      <c r="C11" s="2">
        <v>9</v>
      </c>
      <c r="D11" s="2">
        <v>9</v>
      </c>
      <c r="E11" s="2">
        <v>0.25</v>
      </c>
      <c r="F11" s="28">
        <f>INDEX([3]宠物属性!$AL$8:$AL$107,MATCH(D11,[3]宠物属性!$I$8:$I$107,0),1)</f>
        <v>1410.4000000000003</v>
      </c>
      <c r="G11" s="68">
        <f>F11/INDEX(角色属性!$AI$8:$AI$107,MATCH(D11,角色属性!$I$8:$I$107,0),1)*E11</f>
        <v>0.22186147186147193</v>
      </c>
      <c r="H11" s="2">
        <f>INDEX(角色属性!$AL$8:$AL$107,MATCH(D11,角色属性!$I$8:$I$107,0),1)</f>
        <v>142</v>
      </c>
      <c r="I11" s="2">
        <f>INDEX(角色属性!$Y$8:$Y$107,MATCH(D11,角色属性!$I$8:$I$107,0),1)</f>
        <v>9</v>
      </c>
      <c r="J11" s="28">
        <f>H11*10*(1+VLOOKUP(I11,技能效果!$B$2:$D$101,3,FALSE))</f>
        <v>1465.44</v>
      </c>
      <c r="K11" s="28">
        <f>H11*10*(1+VLOOKUP(I11,技能效果!$B$2:$D$101,3,FALSE))*(1+G11)</f>
        <v>1790.5646753246756</v>
      </c>
      <c r="L11" s="2">
        <f t="shared" si="2"/>
        <v>10</v>
      </c>
      <c r="M11" s="28">
        <f t="shared" si="3"/>
        <v>1465.44</v>
      </c>
      <c r="N11" s="28">
        <f t="shared" si="4"/>
        <v>1920.6145454545454</v>
      </c>
      <c r="O11" s="64">
        <v>2158</v>
      </c>
      <c r="P11" s="64">
        <f t="shared" si="5"/>
        <v>1161</v>
      </c>
      <c r="Q11" s="64">
        <f t="shared" si="13"/>
        <v>372</v>
      </c>
      <c r="R11" s="67">
        <v>1.5</v>
      </c>
      <c r="S11" s="67">
        <v>0.9</v>
      </c>
      <c r="T11" s="67">
        <v>1</v>
      </c>
      <c r="U11" s="67">
        <v>1</v>
      </c>
      <c r="V11" s="67">
        <v>1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64">
        <f>INDEX(角色属性!AM$8:AM$107,MATCH($D11,角色属性!$I$8:$I$107,0),1)</f>
        <v>3080</v>
      </c>
      <c r="AC11" s="64">
        <f>INDEX(角色属性!AN$8:AN$107,MATCH($D11,角色属性!$I$8:$I$107,0),1)</f>
        <v>308</v>
      </c>
      <c r="AD11" s="64">
        <f>INDEX(角色属性!AO$8:AO$107,MATCH($D11,角色属性!$I$8:$I$107,0),1)</f>
        <v>154</v>
      </c>
      <c r="AE11" s="64">
        <f>INDEX(角色属性!AP$8:AP$107,MATCH($D11,角色属性!$I$8:$I$107,0),1)</f>
        <v>123.2</v>
      </c>
      <c r="AF11" s="64">
        <f>INDEX(角色属性!AQ$8:AQ$107,MATCH($D11,角色属性!$I$8:$I$107,0),1)</f>
        <v>123.2</v>
      </c>
      <c r="AG11" s="64">
        <f>$P11/10/(1+VLOOKUP(I11,技能效果!$B$2:$D$101,3,FALSE))*怪物属性规划!A$18*INDEX(怪物属性等级系数!$A$2:$A$101,MATCH(D11,怪物属性等级系数!$D$2:$D$101,0),1)*R11+W11</f>
        <v>987.36273376727559</v>
      </c>
      <c r="AH11" s="64">
        <f>$P11/10/(1+VLOOKUP($I11,技能效果!$B$2:$D$101,3,FALSE))*怪物属性规划!B$18*S11+X11</f>
        <v>101.24999999999999</v>
      </c>
      <c r="AI11" s="64">
        <f>$P11/10/(1+VLOOKUP($I11,技能效果!$B$2:$D$101,3,FALSE))*怪物属性规划!C$18*T11+Y11</f>
        <v>112.49999999999999</v>
      </c>
      <c r="AJ11" s="64">
        <f>$P11/10/(1+VLOOKUP($I11,技能效果!$B$2:$D$101,3,FALSE))*怪物属性规划!D$18*U11+Z11</f>
        <v>90</v>
      </c>
      <c r="AK11" s="64">
        <f>$P11/10/(1+VLOOKUP($I11,技能效果!$B$2:$D$101,3,FALSE))*怪物属性规划!E$18*V11+AA11</f>
        <v>90</v>
      </c>
      <c r="AL11" s="67">
        <f>INDEX(角色属性!BB$8:BB$107,MATCH($D11,角色属性!$I$8:$I$107,0),1)</f>
        <v>1.08</v>
      </c>
      <c r="AM11" s="64">
        <f>INDEX(角色属性!BC$8:BC$107,MATCH($D11,角色属性!$I$8:$I$107,0),1)</f>
        <v>159</v>
      </c>
      <c r="AN11" s="64">
        <f>INDEX(角色属性!BD$8:BD$107,MATCH($D11,角色属性!$I$8:$I$107,0),1)</f>
        <v>138</v>
      </c>
      <c r="AO11" s="69">
        <f t="shared" si="6"/>
        <v>0.62254096319537822</v>
      </c>
      <c r="AP11" s="69">
        <f t="shared" si="7"/>
        <v>0.72231967805180064</v>
      </c>
      <c r="AQ11" s="64">
        <f>AL11*角色属性!$BA$1*(AC11*(1-AO11)+MAX(AF11-AJ11,0))</f>
        <v>322.8279480053788</v>
      </c>
      <c r="AR11" s="64">
        <f>角色属性!$BA$1*(AH11*(1-AP11)+MAX(AK11-AE11,0))</f>
        <v>56.230265194510359</v>
      </c>
      <c r="AS11" s="73">
        <f t="shared" si="8"/>
        <v>1.6991554030005838</v>
      </c>
      <c r="AT11" s="73">
        <f t="shared" si="9"/>
        <v>1.1327702686670558</v>
      </c>
      <c r="AU11" s="73">
        <f t="shared" si="10"/>
        <v>0.84957770150029188</v>
      </c>
      <c r="AV11" s="73">
        <f t="shared" si="1"/>
        <v>54.774772790875865</v>
      </c>
      <c r="AW11" s="73">
        <f t="shared" si="11"/>
        <v>36.516515193917243</v>
      </c>
      <c r="AX11" s="2" t="str">
        <f t="shared" si="12"/>
        <v>r_guanqia_9</v>
      </c>
      <c r="AY11" s="2">
        <f>ROUND(($P11*R11/10/$H11/(1+VLOOKUP($I11,技能效果!$B$2:$D$101,3,FALSE))-1)*10000,0)</f>
        <v>1884</v>
      </c>
      <c r="AZ11" s="2">
        <f>ROUND(($P11*S11/10/$H11/(1+VLOOKUP($I11,技能效果!$B$2:$D$101,3,FALSE))-1)*10000,0)</f>
        <v>-2870</v>
      </c>
      <c r="BA11" s="2">
        <f>ROUND(($P11*T11/10/$H11/(1+VLOOKUP($I11,技能效果!$B$2:$D$101,3,FALSE))-1)*10000,0)</f>
        <v>-2077</v>
      </c>
      <c r="BB11" s="2">
        <f>ROUND(($P11*U11/10/$H11/(1+VLOOKUP($I11,技能效果!$B$2:$D$101,3,FALSE))-1)*10000,0)</f>
        <v>-2077</v>
      </c>
      <c r="BC11" s="2">
        <f>ROUND(($P11*V11/10/$H11/(1+VLOOKUP($I11,技能效果!$B$2:$D$101,3,FALSE))-1)*10000,0)</f>
        <v>-2077</v>
      </c>
      <c r="BD11" s="1">
        <f t="shared" si="14"/>
        <v>1.125</v>
      </c>
      <c r="BF11" s="2">
        <v>8</v>
      </c>
      <c r="BG11" s="2">
        <v>0.08</v>
      </c>
      <c r="BH11" s="2">
        <f>SUM(BG$4:BG11)</f>
        <v>0.6</v>
      </c>
      <c r="BL11" s="1" t="s">
        <v>105</v>
      </c>
      <c r="BM11" s="1">
        <v>45</v>
      </c>
    </row>
    <row r="12" spans="2:66" x14ac:dyDescent="0.15">
      <c r="B12" s="83"/>
      <c r="C12" s="2">
        <v>10</v>
      </c>
      <c r="D12" s="2">
        <v>9</v>
      </c>
      <c r="E12" s="2">
        <v>0.35</v>
      </c>
      <c r="F12" s="28">
        <f>INDEX([3]宠物属性!$AL$8:$AL$107,MATCH(D12,[3]宠物属性!$I$8:$I$107,0),1)</f>
        <v>1410.4000000000003</v>
      </c>
      <c r="G12" s="68">
        <f>F12/INDEX(角色属性!$AI$8:$AI$107,MATCH(D12,角色属性!$I$8:$I$107,0),1)*E12</f>
        <v>0.31060606060606066</v>
      </c>
      <c r="H12" s="2">
        <f>INDEX(角色属性!$AL$8:$AL$107,MATCH(D12,角色属性!$I$8:$I$107,0),1)</f>
        <v>142</v>
      </c>
      <c r="I12" s="2">
        <f>INDEX(角色属性!$Y$8:$Y$107,MATCH(D12,角色属性!$I$8:$I$107,0),1)</f>
        <v>9</v>
      </c>
      <c r="J12" s="28">
        <f>H12*10*(1+VLOOKUP(I12,技能效果!$B$2:$D$101,3,FALSE))</f>
        <v>1465.44</v>
      </c>
      <c r="K12" s="28">
        <f>H12*10*(1+VLOOKUP(I12,技能效果!$B$2:$D$101,3,FALSE))*(1+G12)</f>
        <v>1920.6145454545454</v>
      </c>
      <c r="L12" s="2">
        <f t="shared" si="2"/>
        <v>10</v>
      </c>
      <c r="M12" s="28">
        <f t="shared" si="3"/>
        <v>1465.44</v>
      </c>
      <c r="N12" s="28">
        <f t="shared" si="4"/>
        <v>1920.6145454545454</v>
      </c>
      <c r="O12" s="64">
        <v>2699</v>
      </c>
      <c r="P12" s="64">
        <f t="shared" si="5"/>
        <v>1465</v>
      </c>
      <c r="Q12" s="64">
        <f t="shared" si="13"/>
        <v>541</v>
      </c>
      <c r="R12" s="67">
        <v>1.2</v>
      </c>
      <c r="S12" s="67">
        <v>0.8</v>
      </c>
      <c r="T12" s="67">
        <v>1</v>
      </c>
      <c r="U12" s="67">
        <v>1</v>
      </c>
      <c r="V12" s="67">
        <v>0.8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64">
        <f>INDEX(角色属性!AM$8:AM$107,MATCH($D12,角色属性!$I$8:$I$107,0),1)</f>
        <v>3080</v>
      </c>
      <c r="AC12" s="64">
        <f>INDEX(角色属性!AN$8:AN$107,MATCH($D12,角色属性!$I$8:$I$107,0),1)</f>
        <v>308</v>
      </c>
      <c r="AD12" s="64">
        <f>INDEX(角色属性!AO$8:AO$107,MATCH($D12,角色属性!$I$8:$I$107,0),1)</f>
        <v>154</v>
      </c>
      <c r="AE12" s="64">
        <f>INDEX(角色属性!AP$8:AP$107,MATCH($D12,角色属性!$I$8:$I$107,0),1)</f>
        <v>123.2</v>
      </c>
      <c r="AF12" s="64">
        <f>INDEX(角色属性!AQ$8:AQ$107,MATCH($D12,角色属性!$I$8:$I$107,0),1)</f>
        <v>123.2</v>
      </c>
      <c r="AG12" s="64">
        <f>$P12/10/(1+VLOOKUP(I12,技能效果!$B$2:$D$101,3,FALSE))*怪物属性规划!A$18*INDEX(怪物属性等级系数!$A$2:$A$101,MATCH(D12,怪物属性等级系数!$D$2:$D$101,0),1)*R12+W12</f>
        <v>996.71759170994596</v>
      </c>
      <c r="AH12" s="64">
        <f>$P12/10/(1+VLOOKUP($I12,技能效果!$B$2:$D$101,3,FALSE))*怪物属性规划!B$18*S12+X12</f>
        <v>113.56589147286823</v>
      </c>
      <c r="AI12" s="64">
        <f>$P12/10/(1+VLOOKUP($I12,技能效果!$B$2:$D$101,3,FALSE))*怪物属性规划!C$18*T12+Y12</f>
        <v>141.95736434108528</v>
      </c>
      <c r="AJ12" s="64">
        <f>$P12/10/(1+VLOOKUP($I12,技能效果!$B$2:$D$101,3,FALSE))*怪物属性规划!D$18*U12+Z12</f>
        <v>113.56589147286823</v>
      </c>
      <c r="AK12" s="64">
        <f>$P12/10/(1+VLOOKUP($I12,技能效果!$B$2:$D$101,3,FALSE))*怪物属性规划!E$18*V12+AA12</f>
        <v>90.852713178294593</v>
      </c>
      <c r="AL12" s="67">
        <f>INDEX(角色属性!BB$8:BB$107,MATCH($D12,角色属性!$I$8:$I$107,0),1)</f>
        <v>1.08</v>
      </c>
      <c r="AM12" s="64">
        <f>INDEX(角色属性!BC$8:BC$107,MATCH($D12,角色属性!$I$8:$I$107,0),1)</f>
        <v>159</v>
      </c>
      <c r="AN12" s="64">
        <f>INDEX(角色属性!BD$8:BD$107,MATCH($D12,角色属性!$I$8:$I$107,0),1)</f>
        <v>138</v>
      </c>
      <c r="AO12" s="69">
        <f t="shared" si="6"/>
        <v>0.6754459206367549</v>
      </c>
      <c r="AP12" s="69">
        <f t="shared" si="7"/>
        <v>0.72231967805180064</v>
      </c>
      <c r="AQ12" s="64">
        <f>AL12*角色属性!$BA$1*(AC12*(1-AO12)+MAX(AF12-AJ12,0))</f>
        <v>236.72901233738435</v>
      </c>
      <c r="AR12" s="64">
        <f>角色属性!$BA$1*(AH12*(1-AP12)+MAX(AK12-AE12,0))</f>
        <v>63.070026613040639</v>
      </c>
      <c r="AS12" s="73">
        <f t="shared" si="8"/>
        <v>2.3390964627742368</v>
      </c>
      <c r="AT12" s="73">
        <f t="shared" si="9"/>
        <v>1.5593976418494913</v>
      </c>
      <c r="AU12" s="73">
        <f t="shared" si="10"/>
        <v>1.1695482313871184</v>
      </c>
      <c r="AV12" s="73">
        <f t="shared" si="1"/>
        <v>48.834607584629836</v>
      </c>
      <c r="AW12" s="73">
        <f t="shared" si="11"/>
        <v>32.556405056419891</v>
      </c>
      <c r="AX12" s="2" t="str">
        <f t="shared" si="12"/>
        <v>r_guanqia_10</v>
      </c>
      <c r="AY12" s="2">
        <f>ROUND(($P12*R12/10/$H12/(1+VLOOKUP($I12,技能效果!$B$2:$D$101,3,FALSE))-1)*10000,0)</f>
        <v>1996</v>
      </c>
      <c r="AZ12" s="2">
        <f>ROUND(($P12*S12/10/$H12/(1+VLOOKUP($I12,技能效果!$B$2:$D$101,3,FALSE))-1)*10000,0)</f>
        <v>-2002</v>
      </c>
      <c r="BA12" s="2">
        <f>ROUND(($P12*T12/10/$H12/(1+VLOOKUP($I12,技能效果!$B$2:$D$101,3,FALSE))-1)*10000,0)</f>
        <v>-3</v>
      </c>
      <c r="BB12" s="2">
        <f>ROUND(($P12*U12/10/$H12/(1+VLOOKUP($I12,技能效果!$B$2:$D$101,3,FALSE))-1)*10000,0)</f>
        <v>-3</v>
      </c>
      <c r="BC12" s="2">
        <f>ROUND(($P12*V12/10/$H12/(1+VLOOKUP($I12,技能效果!$B$2:$D$101,3,FALSE))-1)*10000,0)</f>
        <v>-2002</v>
      </c>
      <c r="BF12" s="2">
        <v>9</v>
      </c>
      <c r="BG12" s="2">
        <v>0.1</v>
      </c>
      <c r="BH12" s="2">
        <f>SUM(BG$4:BG12)</f>
        <v>0.7</v>
      </c>
      <c r="BL12" s="1" t="s">
        <v>106</v>
      </c>
      <c r="BM12" s="1">
        <v>50</v>
      </c>
    </row>
    <row r="13" spans="2:66" x14ac:dyDescent="0.15">
      <c r="B13" s="83" t="s">
        <v>113</v>
      </c>
      <c r="C13" s="2">
        <v>11</v>
      </c>
      <c r="D13" s="2">
        <v>10</v>
      </c>
      <c r="E13" s="2">
        <v>0.35</v>
      </c>
      <c r="F13" s="28">
        <f>INDEX([3]宠物属性!$AL$8:$AL$107,MATCH(D13,[3]宠物属性!$I$8:$I$107,0),1)</f>
        <v>1823.3600000000001</v>
      </c>
      <c r="G13" s="68">
        <f>F13/INDEX(角色属性!$AI$8:$AI$107,MATCH(D13,角色属性!$I$8:$I$107,0),1)*E13</f>
        <v>0.31428571428571428</v>
      </c>
      <c r="H13" s="2">
        <f>INDEX(角色属性!$AL$8:$AL$107,MATCH(D13,角色属性!$I$8:$I$107,0),1)</f>
        <v>174</v>
      </c>
      <c r="I13" s="2">
        <f>INDEX(角色属性!$Y$8:$Y$107,MATCH(D13,角色属性!$I$8:$I$107,0),1)</f>
        <v>10</v>
      </c>
      <c r="J13" s="28">
        <f>H13*10*(1+VLOOKUP(I13,技能效果!$B$2:$D$101,3,FALSE))</f>
        <v>1802.64</v>
      </c>
      <c r="K13" s="28">
        <f>H13*10*(1+VLOOKUP(I13,技能效果!$B$2:$D$101,3,FALSE))*(1+G13)</f>
        <v>2369.1840000000002</v>
      </c>
      <c r="L13" s="2">
        <f t="shared" si="2"/>
        <v>20</v>
      </c>
      <c r="M13" s="28">
        <f t="shared" si="3"/>
        <v>3500.5600000000004</v>
      </c>
      <c r="N13" s="28">
        <f t="shared" si="4"/>
        <v>5941.2282222222238</v>
      </c>
      <c r="O13" s="62">
        <v>2720</v>
      </c>
      <c r="P13" s="62">
        <f>ROUND((M13-M3)*VLOOKUP(INT(RIGHT(C13,1)),$BF$4:$BH$13,3,FALSE)+M3,0)</f>
        <v>1526</v>
      </c>
      <c r="Q13" s="64">
        <f t="shared" si="13"/>
        <v>21</v>
      </c>
      <c r="R13" s="67">
        <v>1.4</v>
      </c>
      <c r="S13" s="67">
        <v>1</v>
      </c>
      <c r="T13" s="67">
        <v>1</v>
      </c>
      <c r="U13" s="67">
        <v>1</v>
      </c>
      <c r="V13" s="67">
        <v>1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64">
        <f>INDEX(角色属性!AM$8:AM$107,MATCH($D13,角色属性!$I$8:$I$107,0),1)</f>
        <v>3920.0000000000005</v>
      </c>
      <c r="AC13" s="64">
        <f>INDEX(角色属性!AN$8:AN$107,MATCH($D13,角色属性!$I$8:$I$107,0),1)</f>
        <v>392</v>
      </c>
      <c r="AD13" s="64">
        <f>INDEX(角色属性!AO$8:AO$107,MATCH($D13,角色属性!$I$8:$I$107,0),1)</f>
        <v>196</v>
      </c>
      <c r="AE13" s="64">
        <f>INDEX(角色属性!AP$8:AP$107,MATCH($D13,角色属性!$I$8:$I$107,0),1)</f>
        <v>156.80000000000001</v>
      </c>
      <c r="AF13" s="64">
        <f>INDEX(角色属性!AQ$8:AQ$107,MATCH($D13,角色属性!$I$8:$I$107,0),1)</f>
        <v>156.80000000000001</v>
      </c>
      <c r="AG13" s="64">
        <f>$P13/10/(1+VLOOKUP(I13,技能效果!$B$2:$D$101,3,FALSE))*怪物属性规划!A$18*INDEX(怪物属性等级系数!$A$2:$A$101,MATCH(D13,怪物属性等级系数!$D$2:$D$101,0),1)*R13+W13</f>
        <v>1224.8603948659654</v>
      </c>
      <c r="AH13" s="64">
        <f>$P13/10/(1+VLOOKUP($I13,技能效果!$B$2:$D$101,3,FALSE))*怪物属性规划!B$18*S13+X13</f>
        <v>147.29729729729729</v>
      </c>
      <c r="AI13" s="64">
        <f>$P13/10/(1+VLOOKUP($I13,技能效果!$B$2:$D$101,3,FALSE))*怪物属性规划!C$18*T13+Y13</f>
        <v>147.29729729729729</v>
      </c>
      <c r="AJ13" s="64">
        <f>$P13/10/(1+VLOOKUP($I13,技能效果!$B$2:$D$101,3,FALSE))*怪物属性规划!D$18*U13+Z13</f>
        <v>117.83783783783784</v>
      </c>
      <c r="AK13" s="64">
        <f>$P13/10/(1+VLOOKUP($I13,技能效果!$B$2:$D$101,3,FALSE))*怪物属性规划!E$18*V13+AA13</f>
        <v>117.83783783783784</v>
      </c>
      <c r="AL13" s="67">
        <f>INDEX(角色属性!BB$8:BB$107,MATCH($D13,角色属性!$I$8:$I$107,0),1)</f>
        <v>1.0900000000000001</v>
      </c>
      <c r="AM13" s="64">
        <f>INDEX(角色属性!BC$8:BC$107,MATCH($D13,角色属性!$I$8:$I$107,0),1)</f>
        <v>197</v>
      </c>
      <c r="AN13" s="64">
        <f>INDEX(角色属性!BD$8:BD$107,MATCH($D13,角色属性!$I$8:$I$107,0),1)</f>
        <v>174</v>
      </c>
      <c r="AO13" s="69">
        <f t="shared" si="6"/>
        <v>0.6354217177349466</v>
      </c>
      <c r="AP13" s="69">
        <f t="shared" si="7"/>
        <v>0.72419322657641338</v>
      </c>
      <c r="AQ13" s="64">
        <f>AL13*角色属性!$BA$1*(AC13*(1-AO13)+MAX(AF13-AJ13,0))</f>
        <v>396.49153040593762</v>
      </c>
      <c r="AR13" s="64">
        <f>角色属性!$BA$1*(AH13*(1-AP13)+MAX(AK13-AE13,0))</f>
        <v>81.251184603164702</v>
      </c>
      <c r="AS13" s="73">
        <f t="shared" si="8"/>
        <v>1.7162485071271731</v>
      </c>
      <c r="AT13" s="73">
        <f t="shared" si="9"/>
        <v>1.1441656714181154</v>
      </c>
      <c r="AU13" s="73">
        <f t="shared" si="10"/>
        <v>0.85812425356358657</v>
      </c>
      <c r="AV13" s="73">
        <f t="shared" si="1"/>
        <v>48.245450440452018</v>
      </c>
      <c r="AW13" s="73">
        <f t="shared" si="11"/>
        <v>32.163633626968007</v>
      </c>
      <c r="AX13" s="2" t="str">
        <f t="shared" si="12"/>
        <v>r_guanqia_11</v>
      </c>
      <c r="AY13" s="2">
        <f>ROUND(($P13*R13/10/$H13/(1+VLOOKUP($I13,技能效果!$B$2:$D$101,3,FALSE))-1)*10000,0)</f>
        <v>1852</v>
      </c>
      <c r="AZ13" s="2">
        <f>ROUND(($P13*S13/10/$H13/(1+VLOOKUP($I13,技能效果!$B$2:$D$101,3,FALSE))-1)*10000,0)</f>
        <v>-1535</v>
      </c>
      <c r="BA13" s="2">
        <f>ROUND(($P13*T13/10/$H13/(1+VLOOKUP($I13,技能效果!$B$2:$D$101,3,FALSE))-1)*10000,0)</f>
        <v>-1535</v>
      </c>
      <c r="BB13" s="2">
        <f>ROUND(($P13*U13/10/$H13/(1+VLOOKUP($I13,技能效果!$B$2:$D$101,3,FALSE))-1)*10000,0)</f>
        <v>-1535</v>
      </c>
      <c r="BC13" s="2">
        <f>ROUND(($P13*V13/10/$H13/(1+VLOOKUP($I13,技能效果!$B$2:$D$101,3,FALSE))-1)*10000,0)</f>
        <v>-1535</v>
      </c>
      <c r="BF13" s="2">
        <v>0</v>
      </c>
      <c r="BG13" s="2">
        <v>0.3</v>
      </c>
      <c r="BH13" s="2">
        <f>SUM(BG$4:BG13)</f>
        <v>1</v>
      </c>
      <c r="BL13" s="1" t="s">
        <v>107</v>
      </c>
      <c r="BM13" s="1">
        <v>55</v>
      </c>
    </row>
    <row r="14" spans="2:66" x14ac:dyDescent="0.15">
      <c r="B14" s="83"/>
      <c r="C14" s="2">
        <v>12</v>
      </c>
      <c r="D14" s="2">
        <v>10</v>
      </c>
      <c r="E14" s="2">
        <v>0.4</v>
      </c>
      <c r="F14" s="28">
        <f>INDEX([3]宠物属性!$AL$8:$AL$107,MATCH(D14,[3]宠物属性!$I$8:$I$107,0),1)</f>
        <v>1823.3600000000001</v>
      </c>
      <c r="G14" s="68">
        <f>F14/INDEX(角色属性!$AI$8:$AI$107,MATCH(D14,角色属性!$I$8:$I$107,0),1)*E14</f>
        <v>0.35918367346938779</v>
      </c>
      <c r="H14" s="2">
        <f>INDEX(角色属性!$AL$8:$AL$107,MATCH(D14,角色属性!$I$8:$I$107,0),1)</f>
        <v>174</v>
      </c>
      <c r="I14" s="2">
        <f>INDEX(角色属性!$Y$8:$Y$107,MATCH(D14,角色属性!$I$8:$I$107,0),1)</f>
        <v>10</v>
      </c>
      <c r="J14" s="28">
        <f>H14*10*(1+VLOOKUP(I14,技能效果!$B$2:$D$101,3,FALSE))</f>
        <v>1802.64</v>
      </c>
      <c r="K14" s="28">
        <f>H14*10*(1+VLOOKUP(I14,技能效果!$B$2:$D$101,3,FALSE))*(1+G14)</f>
        <v>2450.1188571428575</v>
      </c>
      <c r="L14" s="2">
        <f t="shared" si="2"/>
        <v>20</v>
      </c>
      <c r="M14" s="28">
        <f t="shared" si="3"/>
        <v>3500.5600000000004</v>
      </c>
      <c r="N14" s="28">
        <f t="shared" si="4"/>
        <v>5941.2282222222238</v>
      </c>
      <c r="O14" s="62">
        <v>2888</v>
      </c>
      <c r="P14" s="62">
        <f t="shared" ref="P14:P77" si="15">ROUND((M14-M4)*VLOOKUP(INT(RIGHT(C14,1)),$BF$4:$BH$13,3,FALSE)+M4,0)</f>
        <v>1628</v>
      </c>
      <c r="Q14" s="64">
        <f t="shared" si="13"/>
        <v>168</v>
      </c>
      <c r="R14" s="67">
        <v>1.4</v>
      </c>
      <c r="S14" s="67">
        <v>1</v>
      </c>
      <c r="T14" s="67">
        <v>1</v>
      </c>
      <c r="U14" s="67">
        <v>1</v>
      </c>
      <c r="V14" s="67">
        <v>1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64">
        <f>INDEX(角色属性!AM$8:AM$107,MATCH($D14,角色属性!$I$8:$I$107,0),1)</f>
        <v>3920.0000000000005</v>
      </c>
      <c r="AC14" s="64">
        <f>INDEX(角色属性!AN$8:AN$107,MATCH($D14,角色属性!$I$8:$I$107,0),1)</f>
        <v>392</v>
      </c>
      <c r="AD14" s="64">
        <f>INDEX(角色属性!AO$8:AO$107,MATCH($D14,角色属性!$I$8:$I$107,0),1)</f>
        <v>196</v>
      </c>
      <c r="AE14" s="64">
        <f>INDEX(角色属性!AP$8:AP$107,MATCH($D14,角色属性!$I$8:$I$107,0),1)</f>
        <v>156.80000000000001</v>
      </c>
      <c r="AF14" s="64">
        <f>INDEX(角色属性!AQ$8:AQ$107,MATCH($D14,角色属性!$I$8:$I$107,0),1)</f>
        <v>156.80000000000001</v>
      </c>
      <c r="AG14" s="64">
        <f>$P14/10/(1+VLOOKUP(I14,技能效果!$B$2:$D$101,3,FALSE))*怪物属性规划!A$18*INDEX(怪物属性等级系数!$A$2:$A$101,MATCH(D14,怪物属性等级系数!$D$2:$D$101,0),1)*R14+W14</f>
        <v>1306.7317974061546</v>
      </c>
      <c r="AH14" s="64">
        <f>$P14/10/(1+VLOOKUP($I14,技能效果!$B$2:$D$101,3,FALSE))*怪物属性规划!B$18*S14+X14</f>
        <v>157.14285714285714</v>
      </c>
      <c r="AI14" s="64">
        <f>$P14/10/(1+VLOOKUP($I14,技能效果!$B$2:$D$101,3,FALSE))*怪物属性规划!C$18*T14+Y14</f>
        <v>157.14285714285714</v>
      </c>
      <c r="AJ14" s="64">
        <f>$P14/10/(1+VLOOKUP($I14,技能效果!$B$2:$D$101,3,FALSE))*怪物属性规划!D$18*U14+Z14</f>
        <v>125.71428571428572</v>
      </c>
      <c r="AK14" s="64">
        <f>$P14/10/(1+VLOOKUP($I14,技能效果!$B$2:$D$101,3,FALSE))*怪物属性规划!E$18*V14+AA14</f>
        <v>125.71428571428572</v>
      </c>
      <c r="AL14" s="67">
        <f>INDEX(角色属性!BB$8:BB$107,MATCH($D14,角色属性!$I$8:$I$107,0),1)</f>
        <v>1.0900000000000001</v>
      </c>
      <c r="AM14" s="64">
        <f>INDEX(角色属性!BC$8:BC$107,MATCH($D14,角色属性!$I$8:$I$107,0),1)</f>
        <v>197</v>
      </c>
      <c r="AN14" s="64">
        <f>INDEX(角色属性!BD$8:BD$107,MATCH($D14,角色属性!$I$8:$I$107,0),1)</f>
        <v>174</v>
      </c>
      <c r="AO14" s="69">
        <f t="shared" si="6"/>
        <v>0.65027539162835457</v>
      </c>
      <c r="AP14" s="69">
        <f t="shared" si="7"/>
        <v>0.72419322657641338</v>
      </c>
      <c r="AQ14" s="64">
        <f>AL14*角色属性!$BA$1*(AC14*(1-AO14)+MAX(AF14-AJ14,0))</f>
        <v>366.62751847293049</v>
      </c>
      <c r="AR14" s="64">
        <f>角色属性!$BA$1*(AH14*(1-AP14)+MAX(AK14-AE14,0))</f>
        <v>86.68212879027007</v>
      </c>
      <c r="AS14" s="73">
        <f t="shared" si="8"/>
        <v>1.9801080745216524</v>
      </c>
      <c r="AT14" s="73">
        <f t="shared" si="9"/>
        <v>1.3200720496811014</v>
      </c>
      <c r="AU14" s="73">
        <f t="shared" si="10"/>
        <v>0.99005403726082619</v>
      </c>
      <c r="AV14" s="73">
        <f t="shared" si="1"/>
        <v>45.222701088531807</v>
      </c>
      <c r="AW14" s="73">
        <f t="shared" si="11"/>
        <v>30.14846739235454</v>
      </c>
      <c r="AX14" s="2" t="str">
        <f t="shared" si="12"/>
        <v>r_guanqia_12</v>
      </c>
      <c r="AY14" s="2">
        <f>ROUND(($P14*R14/10/$H14/(1+VLOOKUP($I14,技能效果!$B$2:$D$101,3,FALSE))-1)*10000,0)</f>
        <v>2644</v>
      </c>
      <c r="AZ14" s="2">
        <f>ROUND(($P14*S14/10/$H14/(1+VLOOKUP($I14,技能效果!$B$2:$D$101,3,FALSE))-1)*10000,0)</f>
        <v>-969</v>
      </c>
      <c r="BA14" s="2">
        <f>ROUND(($P14*T14/10/$H14/(1+VLOOKUP($I14,技能效果!$B$2:$D$101,3,FALSE))-1)*10000,0)</f>
        <v>-969</v>
      </c>
      <c r="BB14" s="2">
        <f>ROUND(($P14*U14/10/$H14/(1+VLOOKUP($I14,技能效果!$B$2:$D$101,3,FALSE))-1)*10000,0)</f>
        <v>-969</v>
      </c>
      <c r="BC14" s="2">
        <f>ROUND(($P14*V14/10/$H14/(1+VLOOKUP($I14,技能效果!$B$2:$D$101,3,FALSE))-1)*10000,0)</f>
        <v>-969</v>
      </c>
      <c r="BL14" s="1" t="s">
        <v>108</v>
      </c>
      <c r="BM14" s="1">
        <v>60</v>
      </c>
    </row>
    <row r="15" spans="2:66" x14ac:dyDescent="0.15">
      <c r="B15" s="83"/>
      <c r="C15" s="2">
        <v>13</v>
      </c>
      <c r="D15" s="2">
        <v>11</v>
      </c>
      <c r="E15" s="2">
        <v>0.45</v>
      </c>
      <c r="F15" s="28">
        <f>INDEX([3]宠物属性!$AL$8:$AL$107,MATCH(D15,[3]宠物属性!$I$8:$I$107,0),1)</f>
        <v>1897.4222222222224</v>
      </c>
      <c r="G15" s="68">
        <f>F15/INDEX(角色属性!$AI$8:$AI$107,MATCH(D15,角色属性!$I$8:$I$107,0),1)*E15</f>
        <v>0.40048780487804886</v>
      </c>
      <c r="H15" s="2">
        <f>INDEX(角色属性!$AL$8:$AL$107,MATCH(D15,角色属性!$I$8:$I$107,0),1)</f>
        <v>192</v>
      </c>
      <c r="I15" s="2">
        <f>INDEX(角色属性!$Y$8:$Y$107,MATCH(D15,角色属性!$I$8:$I$107,0),1)</f>
        <v>11</v>
      </c>
      <c r="J15" s="28">
        <f>H15*10*(1+VLOOKUP(I15,技能效果!$B$2:$D$101,3,FALSE))</f>
        <v>1996.8000000000002</v>
      </c>
      <c r="K15" s="28">
        <f>H15*10*(1+VLOOKUP(I15,技能效果!$B$2:$D$101,3,FALSE))*(1+G15)</f>
        <v>2796.4940487804884</v>
      </c>
      <c r="L15" s="2">
        <f t="shared" si="2"/>
        <v>20</v>
      </c>
      <c r="M15" s="28">
        <f t="shared" si="3"/>
        <v>3500.5600000000004</v>
      </c>
      <c r="N15" s="28">
        <f t="shared" si="4"/>
        <v>5941.2282222222238</v>
      </c>
      <c r="O15" s="62">
        <v>3126</v>
      </c>
      <c r="P15" s="62">
        <f t="shared" si="15"/>
        <v>1771</v>
      </c>
      <c r="Q15" s="64">
        <f t="shared" si="13"/>
        <v>238</v>
      </c>
      <c r="R15" s="67">
        <v>1.4</v>
      </c>
      <c r="S15" s="67">
        <v>1</v>
      </c>
      <c r="T15" s="67">
        <v>1</v>
      </c>
      <c r="U15" s="67">
        <v>1</v>
      </c>
      <c r="V15" s="67">
        <v>1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64">
        <f>INDEX(角色属性!AM$8:AM$107,MATCH($D15,角色属性!$I$8:$I$107,0),1)</f>
        <v>4100</v>
      </c>
      <c r="AC15" s="64">
        <f>INDEX(角色属性!AN$8:AN$107,MATCH($D15,角色属性!$I$8:$I$107,0),1)</f>
        <v>410</v>
      </c>
      <c r="AD15" s="64">
        <f>INDEX(角色属性!AO$8:AO$107,MATCH($D15,角色属性!$I$8:$I$107,0),1)</f>
        <v>205</v>
      </c>
      <c r="AE15" s="64">
        <f>INDEX(角色属性!AP$8:AP$107,MATCH($D15,角色属性!$I$8:$I$107,0),1)</f>
        <v>164</v>
      </c>
      <c r="AF15" s="64">
        <f>INDEX(角色属性!AQ$8:AQ$107,MATCH($D15,角色属性!$I$8:$I$107,0),1)</f>
        <v>164</v>
      </c>
      <c r="AG15" s="64">
        <f>$P15/10/(1+VLOOKUP(I15,技能效果!$B$2:$D$101,3,FALSE))*怪物属性规划!A$18*INDEX(怪物属性等级系数!$A$2:$A$101,MATCH(D15,怪物属性等级系数!$D$2:$D$101,0),1)*R15+W15</f>
        <v>1443.7627523892202</v>
      </c>
      <c r="AH15" s="64">
        <f>$P15/10/(1+VLOOKUP($I15,技能效果!$B$2:$D$101,3,FALSE))*怪物属性规划!B$18*S15+X15</f>
        <v>170.28846153846152</v>
      </c>
      <c r="AI15" s="64">
        <f>$P15/10/(1+VLOOKUP($I15,技能效果!$B$2:$D$101,3,FALSE))*怪物属性规划!C$18*T15+Y15</f>
        <v>170.28846153846152</v>
      </c>
      <c r="AJ15" s="64">
        <f>$P15/10/(1+VLOOKUP($I15,技能效果!$B$2:$D$101,3,FALSE))*怪物属性规划!D$18*U15+Z15</f>
        <v>136.23076923076923</v>
      </c>
      <c r="AK15" s="64">
        <f>$P15/10/(1+VLOOKUP($I15,技能效果!$B$2:$D$101,3,FALSE))*怪物属性规划!E$18*V15+AA15</f>
        <v>136.23076923076923</v>
      </c>
      <c r="AL15" s="67">
        <f>INDEX(角色属性!BB$8:BB$107,MATCH($D15,角色属性!$I$8:$I$107,0),1)</f>
        <v>1.1000000000000001</v>
      </c>
      <c r="AM15" s="64">
        <f>INDEX(角色属性!BC$8:BC$107,MATCH($D15,角色属性!$I$8:$I$107,0),1)</f>
        <v>221</v>
      </c>
      <c r="AN15" s="64">
        <f>INDEX(角色属性!BD$8:BD$107,MATCH($D15,角色属性!$I$8:$I$107,0),1)</f>
        <v>179</v>
      </c>
      <c r="AO15" s="69">
        <f t="shared" si="6"/>
        <v>0.64236172066760933</v>
      </c>
      <c r="AP15" s="69">
        <f t="shared" si="7"/>
        <v>0.7274895223765131</v>
      </c>
      <c r="AQ15" s="64">
        <f>AL15*角色属性!$BA$1*(AC15*(1-AO15)+MAX(AF15-AJ15,0))</f>
        <v>383.68203565012413</v>
      </c>
      <c r="AR15" s="64">
        <f>角色属性!$BA$1*(AH15*(1-AP15)+MAX(AK15-AE15,0))</f>
        <v>92.810779975229849</v>
      </c>
      <c r="AS15" s="73">
        <f t="shared" si="8"/>
        <v>2.0905081381642519</v>
      </c>
      <c r="AT15" s="73">
        <f t="shared" si="9"/>
        <v>1.3936720921095012</v>
      </c>
      <c r="AU15" s="73">
        <f t="shared" si="10"/>
        <v>1.0452540690821259</v>
      </c>
      <c r="AV15" s="73">
        <f t="shared" si="1"/>
        <v>44.175902854110738</v>
      </c>
      <c r="AW15" s="73">
        <f t="shared" si="11"/>
        <v>29.450601902740488</v>
      </c>
      <c r="AX15" s="2" t="str">
        <f t="shared" si="12"/>
        <v>r_guanqia_13</v>
      </c>
      <c r="AY15" s="2">
        <f>ROUND(($P15*R15/10/$H15/(1+VLOOKUP($I15,技能效果!$B$2:$D$101,3,FALSE))-1)*10000,0)</f>
        <v>2417</v>
      </c>
      <c r="AZ15" s="2">
        <f>ROUND(($P15*S15/10/$H15/(1+VLOOKUP($I15,技能效果!$B$2:$D$101,3,FALSE))-1)*10000,0)</f>
        <v>-1131</v>
      </c>
      <c r="BA15" s="2">
        <f>ROUND(($P15*T15/10/$H15/(1+VLOOKUP($I15,技能效果!$B$2:$D$101,3,FALSE))-1)*10000,0)</f>
        <v>-1131</v>
      </c>
      <c r="BB15" s="2">
        <f>ROUND(($P15*U15/10/$H15/(1+VLOOKUP($I15,技能效果!$B$2:$D$101,3,FALSE))-1)*10000,0)</f>
        <v>-1131</v>
      </c>
      <c r="BC15" s="2">
        <f>ROUND(($P15*V15/10/$H15/(1+VLOOKUP($I15,技能效果!$B$2:$D$101,3,FALSE))-1)*10000,0)</f>
        <v>-1131</v>
      </c>
      <c r="BL15" s="1" t="s">
        <v>109</v>
      </c>
      <c r="BM15" s="1">
        <v>65</v>
      </c>
    </row>
    <row r="16" spans="2:66" x14ac:dyDescent="0.15">
      <c r="B16" s="83"/>
      <c r="C16" s="2">
        <v>14</v>
      </c>
      <c r="D16" s="2">
        <v>11</v>
      </c>
      <c r="E16" s="2">
        <v>0.5</v>
      </c>
      <c r="F16" s="28">
        <f>INDEX([3]宠物属性!$AL$8:$AL$107,MATCH(D16,[3]宠物属性!$I$8:$I$107,0),1)</f>
        <v>1897.4222222222224</v>
      </c>
      <c r="G16" s="68">
        <f>F16/INDEX(角色属性!$AI$8:$AI$107,MATCH(D16,角色属性!$I$8:$I$107,0),1)*E16</f>
        <v>0.4449864498644987</v>
      </c>
      <c r="H16" s="2">
        <f>INDEX(角色属性!$AL$8:$AL$107,MATCH(D16,角色属性!$I$8:$I$107,0),1)</f>
        <v>192</v>
      </c>
      <c r="I16" s="2">
        <f>INDEX(角色属性!$Y$8:$Y$107,MATCH(D16,角色属性!$I$8:$I$107,0),1)</f>
        <v>11</v>
      </c>
      <c r="J16" s="28">
        <f>H16*10*(1+VLOOKUP(I16,技能效果!$B$2:$D$101,3,FALSE))</f>
        <v>1996.8000000000002</v>
      </c>
      <c r="K16" s="28">
        <f>H16*10*(1+VLOOKUP(I16,技能效果!$B$2:$D$101,3,FALSE))*(1+G16)</f>
        <v>2885.348943089431</v>
      </c>
      <c r="L16" s="2">
        <f t="shared" si="2"/>
        <v>20</v>
      </c>
      <c r="M16" s="28">
        <f t="shared" si="3"/>
        <v>3500.5600000000004</v>
      </c>
      <c r="N16" s="28">
        <f t="shared" si="4"/>
        <v>5941.2282222222238</v>
      </c>
      <c r="O16" s="62">
        <v>3700</v>
      </c>
      <c r="P16" s="62">
        <f t="shared" si="15"/>
        <v>1954</v>
      </c>
      <c r="Q16" s="64">
        <f t="shared" si="13"/>
        <v>574</v>
      </c>
      <c r="R16" s="67">
        <v>1.2</v>
      </c>
      <c r="S16" s="67">
        <v>1</v>
      </c>
      <c r="T16" s="67">
        <v>1</v>
      </c>
      <c r="U16" s="67">
        <v>1</v>
      </c>
      <c r="V16" s="67">
        <v>1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64">
        <f>INDEX(角色属性!AM$8:AM$107,MATCH($D16,角色属性!$I$8:$I$107,0),1)</f>
        <v>4100</v>
      </c>
      <c r="AC16" s="64">
        <f>INDEX(角色属性!AN$8:AN$107,MATCH($D16,角色属性!$I$8:$I$107,0),1)</f>
        <v>410</v>
      </c>
      <c r="AD16" s="64">
        <f>INDEX(角色属性!AO$8:AO$107,MATCH($D16,角色属性!$I$8:$I$107,0),1)</f>
        <v>205</v>
      </c>
      <c r="AE16" s="64">
        <f>INDEX(角色属性!AP$8:AP$107,MATCH($D16,角色属性!$I$8:$I$107,0),1)</f>
        <v>164</v>
      </c>
      <c r="AF16" s="64">
        <f>INDEX(角色属性!AQ$8:AQ$107,MATCH($D16,角色属性!$I$8:$I$107,0),1)</f>
        <v>164</v>
      </c>
      <c r="AG16" s="64">
        <f>$P16/10/(1+VLOOKUP(I16,技能效果!$B$2:$D$101,3,FALSE))*怪物属性规划!A$18*INDEX(怪物属性等级系数!$A$2:$A$101,MATCH(D16,怪物属性等级系数!$D$2:$D$101,0),1)*R16+W16</f>
        <v>1365.3847309035425</v>
      </c>
      <c r="AH16" s="64">
        <f>$P16/10/(1+VLOOKUP($I16,技能效果!$B$2:$D$101,3,FALSE))*怪物属性规划!B$18*S16+X16</f>
        <v>187.88461538461539</v>
      </c>
      <c r="AI16" s="64">
        <f>$P16/10/(1+VLOOKUP($I16,技能效果!$B$2:$D$101,3,FALSE))*怪物属性规划!C$18*T16+Y16</f>
        <v>187.88461538461539</v>
      </c>
      <c r="AJ16" s="64">
        <f>$P16/10/(1+VLOOKUP($I16,技能效果!$B$2:$D$101,3,FALSE))*怪物属性规划!D$18*U16+Z16</f>
        <v>150.30769230769232</v>
      </c>
      <c r="AK16" s="64">
        <f>$P16/10/(1+VLOOKUP($I16,技能效果!$B$2:$D$101,3,FALSE))*怪物属性规划!E$18*V16+AA16</f>
        <v>150.30769230769232</v>
      </c>
      <c r="AL16" s="67">
        <f>INDEX(角色属性!BB$8:BB$107,MATCH($D16,角色属性!$I$8:$I$107,0),1)</f>
        <v>1.1000000000000001</v>
      </c>
      <c r="AM16" s="64">
        <f>INDEX(角色属性!BC$8:BC$107,MATCH($D16,角色属性!$I$8:$I$107,0),1)</f>
        <v>221</v>
      </c>
      <c r="AN16" s="64">
        <f>INDEX(角色属性!BD$8:BD$107,MATCH($D16,角色属性!$I$8:$I$107,0),1)</f>
        <v>179</v>
      </c>
      <c r="AO16" s="69">
        <f t="shared" si="6"/>
        <v>0.66462277589464214</v>
      </c>
      <c r="AP16" s="69">
        <f t="shared" si="7"/>
        <v>0.7274895223765131</v>
      </c>
      <c r="AQ16" s="64">
        <f>AL16*角色属性!$BA$1*(AC16*(1-AO16)+MAX(AF16-AJ16,0))</f>
        <v>332.63333306610969</v>
      </c>
      <c r="AR16" s="64">
        <f>角色属性!$BA$1*(AH16*(1-AP16)+MAX(AK16-AE16,0))</f>
        <v>102.40105255313335</v>
      </c>
      <c r="AS16" s="73">
        <f t="shared" si="8"/>
        <v>2.2804301232595705</v>
      </c>
      <c r="AT16" s="73">
        <f t="shared" si="9"/>
        <v>1.5202867488397136</v>
      </c>
      <c r="AU16" s="73">
        <f t="shared" si="10"/>
        <v>1.1402150616297853</v>
      </c>
      <c r="AV16" s="73">
        <f t="shared" si="1"/>
        <v>40.038650949145392</v>
      </c>
      <c r="AW16" s="73">
        <f t="shared" si="11"/>
        <v>26.692433966096928</v>
      </c>
      <c r="AX16" s="2" t="str">
        <f t="shared" si="12"/>
        <v>r_guanqia_14</v>
      </c>
      <c r="AY16" s="2">
        <f>ROUND(($P16*R16/10/$H16/(1+VLOOKUP($I16,技能效果!$B$2:$D$101,3,FALSE))-1)*10000,0)</f>
        <v>1743</v>
      </c>
      <c r="AZ16" s="2">
        <f>ROUND(($P16*S16/10/$H16/(1+VLOOKUP($I16,技能效果!$B$2:$D$101,3,FALSE))-1)*10000,0)</f>
        <v>-214</v>
      </c>
      <c r="BA16" s="2">
        <f>ROUND(($P16*T16/10/$H16/(1+VLOOKUP($I16,技能效果!$B$2:$D$101,3,FALSE))-1)*10000,0)</f>
        <v>-214</v>
      </c>
      <c r="BB16" s="2">
        <f>ROUND(($P16*U16/10/$H16/(1+VLOOKUP($I16,技能效果!$B$2:$D$101,3,FALSE))-1)*10000,0)</f>
        <v>-214</v>
      </c>
      <c r="BC16" s="2">
        <f>ROUND(($P16*V16/10/$H16/(1+VLOOKUP($I16,技能效果!$B$2:$D$101,3,FALSE))-1)*10000,0)</f>
        <v>-214</v>
      </c>
      <c r="BL16" s="1" t="s">
        <v>98</v>
      </c>
      <c r="BM16" s="1">
        <v>70</v>
      </c>
    </row>
    <row r="17" spans="2:65" x14ac:dyDescent="0.15">
      <c r="B17" s="83"/>
      <c r="C17" s="2">
        <v>15</v>
      </c>
      <c r="D17" s="2">
        <v>12</v>
      </c>
      <c r="E17" s="2">
        <v>0.55000000000000004</v>
      </c>
      <c r="F17" s="28">
        <f>INDEX([3]宠物属性!$AL$8:$AL$107,MATCH(D17,[3]宠物属性!$I$8:$I$107,0),1)</f>
        <v>1972</v>
      </c>
      <c r="G17" s="68">
        <f>F17/INDEX(角色属性!$AI$8:$AI$107,MATCH(D17,角色属性!$I$8:$I$107,0),1)*E17</f>
        <v>0.48320413436692516</v>
      </c>
      <c r="H17" s="2">
        <f>INDEX(角色属性!$AL$8:$AL$107,MATCH(D17,角色属性!$I$8:$I$107,0),1)</f>
        <v>210</v>
      </c>
      <c r="I17" s="2">
        <f>INDEX(角色属性!$Y$8:$Y$107,MATCH(D17,角色属性!$I$8:$I$107,0),1)</f>
        <v>12</v>
      </c>
      <c r="J17" s="28">
        <f>H17*10*(1+VLOOKUP(I17,技能效果!$B$2:$D$101,3,FALSE))</f>
        <v>2192.4</v>
      </c>
      <c r="K17" s="28">
        <f>H17*10*(1+VLOOKUP(I17,技能效果!$B$2:$D$101,3,FALSE))*(1+G17)</f>
        <v>3251.7767441860469</v>
      </c>
      <c r="L17" s="2">
        <f t="shared" si="2"/>
        <v>20</v>
      </c>
      <c r="M17" s="28">
        <f t="shared" si="3"/>
        <v>3500.5600000000004</v>
      </c>
      <c r="N17" s="28">
        <f t="shared" si="4"/>
        <v>5941.2282222222238</v>
      </c>
      <c r="O17" s="62">
        <v>4525</v>
      </c>
      <c r="P17" s="62">
        <f t="shared" si="15"/>
        <v>2320</v>
      </c>
      <c r="Q17" s="64">
        <f t="shared" si="13"/>
        <v>825</v>
      </c>
      <c r="R17" s="67">
        <v>1.2</v>
      </c>
      <c r="S17" s="67">
        <v>1</v>
      </c>
      <c r="T17" s="67">
        <v>1</v>
      </c>
      <c r="U17" s="67">
        <v>1</v>
      </c>
      <c r="V17" s="67">
        <v>1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64">
        <f>INDEX(角色属性!AM$8:AM$107,MATCH($D17,角色属性!$I$8:$I$107,0),1)</f>
        <v>4300</v>
      </c>
      <c r="AC17" s="64">
        <f>INDEX(角色属性!AN$8:AN$107,MATCH($D17,角色属性!$I$8:$I$107,0),1)</f>
        <v>430</v>
      </c>
      <c r="AD17" s="64">
        <f>INDEX(角色属性!AO$8:AO$107,MATCH($D17,角色属性!$I$8:$I$107,0),1)</f>
        <v>215</v>
      </c>
      <c r="AE17" s="64">
        <f>INDEX(角色属性!AP$8:AP$107,MATCH($D17,角色属性!$I$8:$I$107,0),1)</f>
        <v>172</v>
      </c>
      <c r="AF17" s="64">
        <f>INDEX(角色属性!AQ$8:AQ$107,MATCH($D17,角色属性!$I$8:$I$107,0),1)</f>
        <v>172</v>
      </c>
      <c r="AG17" s="64">
        <f>$P17/10/(1+VLOOKUP(I17,技能效果!$B$2:$D$101,3,FALSE))*怪物属性规划!A$18*INDEX(怪物属性等级系数!$A$2:$A$101,MATCH(D17,怪物属性等级系数!$D$2:$D$101,0),1)*R17+W17</f>
        <v>1647.5318540228761</v>
      </c>
      <c r="AH17" s="64">
        <f>$P17/10/(1+VLOOKUP($I17,技能效果!$B$2:$D$101,3,FALSE))*怪物属性规划!B$18*S17+X17</f>
        <v>222.2222222222222</v>
      </c>
      <c r="AI17" s="64">
        <f>$P17/10/(1+VLOOKUP($I17,技能效果!$B$2:$D$101,3,FALSE))*怪物属性规划!C$18*T17+Y17</f>
        <v>222.2222222222222</v>
      </c>
      <c r="AJ17" s="64">
        <f>$P17/10/(1+VLOOKUP($I17,技能效果!$B$2:$D$101,3,FALSE))*怪物属性规划!D$18*U17+Z17</f>
        <v>177.77777777777777</v>
      </c>
      <c r="AK17" s="64">
        <f>$P17/10/(1+VLOOKUP($I17,技能效果!$B$2:$D$101,3,FALSE))*怪物属性规划!E$18*V17+AA17</f>
        <v>177.77777777777777</v>
      </c>
      <c r="AL17" s="67">
        <f>INDEX(角色属性!BB$8:BB$107,MATCH($D17,角色属性!$I$8:$I$107,0),1)</f>
        <v>1.1100000000000001</v>
      </c>
      <c r="AM17" s="64">
        <f>INDEX(角色属性!BC$8:BC$107,MATCH($D17,角色属性!$I$8:$I$107,0),1)</f>
        <v>245</v>
      </c>
      <c r="AN17" s="64">
        <f>INDEX(角色属性!BD$8:BD$107,MATCH($D17,角色属性!$I$8:$I$107,0),1)</f>
        <v>186</v>
      </c>
      <c r="AO17" s="69">
        <f t="shared" si="6"/>
        <v>0.67889930056399561</v>
      </c>
      <c r="AP17" s="69">
        <f t="shared" si="7"/>
        <v>0.72932284917603485</v>
      </c>
      <c r="AQ17" s="64">
        <f>AL17*角色属性!$BA$1*(AC17*(1-AO17)+MAX(AF17-AJ17,0))</f>
        <v>306.52272768160981</v>
      </c>
      <c r="AR17" s="64">
        <f>角色属性!$BA$1*(AH17*(1-AP17)+MAX(AK17-AE17,0))</f>
        <v>131.85651147731784</v>
      </c>
      <c r="AS17" s="73">
        <f t="shared" si="8"/>
        <v>2.9860607119739773</v>
      </c>
      <c r="AT17" s="73">
        <f t="shared" si="9"/>
        <v>1.9907071413159849</v>
      </c>
      <c r="AU17" s="73">
        <f t="shared" si="10"/>
        <v>1.4930303559869886</v>
      </c>
      <c r="AV17" s="73">
        <f t="shared" si="1"/>
        <v>32.611207075197747</v>
      </c>
      <c r="AW17" s="73">
        <f t="shared" si="11"/>
        <v>21.740804716798497</v>
      </c>
      <c r="AX17" s="2" t="str">
        <f t="shared" si="12"/>
        <v>r_guanqia_15</v>
      </c>
      <c r="AY17" s="2">
        <f>ROUND(($P17*R17/10/$H17/(1+VLOOKUP($I17,技能效果!$B$2:$D$101,3,FALSE))-1)*10000,0)</f>
        <v>2698</v>
      </c>
      <c r="AZ17" s="2">
        <f>ROUND(($P17*S17/10/$H17/(1+VLOOKUP($I17,技能效果!$B$2:$D$101,3,FALSE))-1)*10000,0)</f>
        <v>582</v>
      </c>
      <c r="BA17" s="2">
        <f>ROUND(($P17*T17/10/$H17/(1+VLOOKUP($I17,技能效果!$B$2:$D$101,3,FALSE))-1)*10000,0)</f>
        <v>582</v>
      </c>
      <c r="BB17" s="2">
        <f>ROUND(($P17*U17/10/$H17/(1+VLOOKUP($I17,技能效果!$B$2:$D$101,3,FALSE))-1)*10000,0)</f>
        <v>582</v>
      </c>
      <c r="BC17" s="2">
        <f>ROUND(($P17*V17/10/$H17/(1+VLOOKUP($I17,技能效果!$B$2:$D$101,3,FALSE))-1)*10000,0)</f>
        <v>582</v>
      </c>
      <c r="BL17" s="1" t="s">
        <v>110</v>
      </c>
      <c r="BM17" s="1">
        <v>75</v>
      </c>
    </row>
    <row r="18" spans="2:65" x14ac:dyDescent="0.15">
      <c r="B18" s="83"/>
      <c r="C18" s="2">
        <v>16</v>
      </c>
      <c r="D18" s="2">
        <v>12</v>
      </c>
      <c r="E18" s="2">
        <v>0.6</v>
      </c>
      <c r="F18" s="28">
        <f>INDEX([3]宠物属性!$AL$8:$AL$107,MATCH(D18,[3]宠物属性!$I$8:$I$107,0),1)</f>
        <v>1972</v>
      </c>
      <c r="G18" s="68">
        <f>F18/INDEX(角色属性!$AI$8:$AI$107,MATCH(D18,角色属性!$I$8:$I$107,0),1)*E18</f>
        <v>0.52713178294573648</v>
      </c>
      <c r="H18" s="2">
        <f>INDEX(角色属性!$AL$8:$AL$107,MATCH(D18,角色属性!$I$8:$I$107,0),1)</f>
        <v>210</v>
      </c>
      <c r="I18" s="2">
        <f>INDEX(角色属性!$Y$8:$Y$107,MATCH(D18,角色属性!$I$8:$I$107,0),1)</f>
        <v>12</v>
      </c>
      <c r="J18" s="28">
        <f>H18*10*(1+VLOOKUP(I18,技能效果!$B$2:$D$101,3,FALSE))</f>
        <v>2192.4</v>
      </c>
      <c r="K18" s="28">
        <f>H18*10*(1+VLOOKUP(I18,技能效果!$B$2:$D$101,3,FALSE))*(1+G18)</f>
        <v>3348.0837209302326</v>
      </c>
      <c r="L18" s="2">
        <f t="shared" si="2"/>
        <v>20</v>
      </c>
      <c r="M18" s="28">
        <f t="shared" si="3"/>
        <v>3500.5600000000004</v>
      </c>
      <c r="N18" s="28">
        <f t="shared" si="4"/>
        <v>5941.2282222222238</v>
      </c>
      <c r="O18" s="62">
        <v>4920</v>
      </c>
      <c r="P18" s="62">
        <f t="shared" si="15"/>
        <v>2402</v>
      </c>
      <c r="Q18" s="64">
        <f t="shared" si="13"/>
        <v>395</v>
      </c>
      <c r="R18" s="67">
        <v>1</v>
      </c>
      <c r="S18" s="67">
        <v>1</v>
      </c>
      <c r="T18" s="67">
        <v>1</v>
      </c>
      <c r="U18" s="67">
        <v>1</v>
      </c>
      <c r="V18" s="67">
        <v>1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64">
        <f>INDEX(角色属性!AM$8:AM$107,MATCH($D18,角色属性!$I$8:$I$107,0),1)</f>
        <v>4300</v>
      </c>
      <c r="AC18" s="64">
        <f>INDEX(角色属性!AN$8:AN$107,MATCH($D18,角色属性!$I$8:$I$107,0),1)</f>
        <v>430</v>
      </c>
      <c r="AD18" s="64">
        <f>INDEX(角色属性!AO$8:AO$107,MATCH($D18,角色属性!$I$8:$I$107,0),1)</f>
        <v>215</v>
      </c>
      <c r="AE18" s="64">
        <f>INDEX(角色属性!AP$8:AP$107,MATCH($D18,角色属性!$I$8:$I$107,0),1)</f>
        <v>172</v>
      </c>
      <c r="AF18" s="64">
        <f>INDEX(角色属性!AQ$8:AQ$107,MATCH($D18,角色属性!$I$8:$I$107,0),1)</f>
        <v>172</v>
      </c>
      <c r="AG18" s="64">
        <f>$P18/10/(1+VLOOKUP(I18,技能效果!$B$2:$D$101,3,FALSE))*怪物属性规划!A$18*INDEX(怪物属性等级系数!$A$2:$A$101,MATCH(D18,怪物属性等级系数!$D$2:$D$101,0),1)*R18+W18</f>
        <v>1421.4696527884153</v>
      </c>
      <c r="AH18" s="64">
        <f>$P18/10/(1+VLOOKUP($I18,技能效果!$B$2:$D$101,3,FALSE))*怪物属性规划!B$18*S18+X18</f>
        <v>230.07662835249039</v>
      </c>
      <c r="AI18" s="64">
        <f>$P18/10/(1+VLOOKUP($I18,技能效果!$B$2:$D$101,3,FALSE))*怪物属性规划!C$18*T18+Y18</f>
        <v>230.07662835249039</v>
      </c>
      <c r="AJ18" s="64">
        <f>$P18/10/(1+VLOOKUP($I18,技能效果!$B$2:$D$101,3,FALSE))*怪物属性规划!D$18*U18+Z18</f>
        <v>184.06130268199232</v>
      </c>
      <c r="AK18" s="64">
        <f>$P18/10/(1+VLOOKUP($I18,技能效果!$B$2:$D$101,3,FALSE))*怪物属性规划!E$18*V18+AA18</f>
        <v>184.06130268199232</v>
      </c>
      <c r="AL18" s="67">
        <f>INDEX(角色属性!BB$8:BB$107,MATCH($D18,角色属性!$I$8:$I$107,0),1)</f>
        <v>1.1100000000000001</v>
      </c>
      <c r="AM18" s="64">
        <f>INDEX(角色属性!BC$8:BC$107,MATCH($D18,角色属性!$I$8:$I$107,0),1)</f>
        <v>245</v>
      </c>
      <c r="AN18" s="64">
        <f>INDEX(角色属性!BD$8:BD$107,MATCH($D18,角色属性!$I$8:$I$107,0),1)</f>
        <v>186</v>
      </c>
      <c r="AO18" s="69">
        <f t="shared" si="6"/>
        <v>0.68642374429463837</v>
      </c>
      <c r="AP18" s="69">
        <f t="shared" si="7"/>
        <v>0.72932284917603485</v>
      </c>
      <c r="AQ18" s="64">
        <f>AL18*角色属性!$BA$1*(AC18*(1-AO18)+MAX(AF18-AJ18,0))</f>
        <v>299.33989369633827</v>
      </c>
      <c r="AR18" s="64">
        <f>角色属性!$BA$1*(AH18*(1-AP18)+MAX(AK18-AE18,0))</f>
        <v>148.67557783125747</v>
      </c>
      <c r="AS18" s="73">
        <f t="shared" si="8"/>
        <v>2.638156087077848</v>
      </c>
      <c r="AT18" s="73">
        <f t="shared" si="9"/>
        <v>1.7587707247185653</v>
      </c>
      <c r="AU18" s="73">
        <f t="shared" si="10"/>
        <v>1.319078043538924</v>
      </c>
      <c r="AV18" s="73">
        <f t="shared" si="1"/>
        <v>28.922033213016174</v>
      </c>
      <c r="AW18" s="73">
        <f t="shared" si="11"/>
        <v>19.281355475344117</v>
      </c>
      <c r="AX18" s="2" t="str">
        <f t="shared" si="12"/>
        <v>r_guanqia_16</v>
      </c>
      <c r="AY18" s="2">
        <f>ROUND(($P18*R18/10/$H18/(1+VLOOKUP($I18,技能效果!$B$2:$D$101,3,FALSE))-1)*10000,0)</f>
        <v>956</v>
      </c>
      <c r="AZ18" s="2">
        <f>ROUND(($P18*S18/10/$H18/(1+VLOOKUP($I18,技能效果!$B$2:$D$101,3,FALSE))-1)*10000,0)</f>
        <v>956</v>
      </c>
      <c r="BA18" s="2">
        <f>ROUND(($P18*T18/10/$H18/(1+VLOOKUP($I18,技能效果!$B$2:$D$101,3,FALSE))-1)*10000,0)</f>
        <v>956</v>
      </c>
      <c r="BB18" s="2">
        <f>ROUND(($P18*U18/10/$H18/(1+VLOOKUP($I18,技能效果!$B$2:$D$101,3,FALSE))-1)*10000,0)</f>
        <v>956</v>
      </c>
      <c r="BC18" s="2">
        <f>ROUND(($P18*V18/10/$H18/(1+VLOOKUP($I18,技能效果!$B$2:$D$101,3,FALSE))-1)*10000,0)</f>
        <v>956</v>
      </c>
    </row>
    <row r="19" spans="2:65" x14ac:dyDescent="0.15">
      <c r="B19" s="83"/>
      <c r="C19" s="2">
        <v>17</v>
      </c>
      <c r="D19" s="2">
        <v>13</v>
      </c>
      <c r="E19" s="2">
        <v>0.65</v>
      </c>
      <c r="F19" s="28">
        <f>INDEX([3]宠物属性!$AL$8:$AL$107,MATCH(D19,[3]宠物属性!$I$8:$I$107,0),1)</f>
        <v>2047.0933333333335</v>
      </c>
      <c r="G19" s="68">
        <f>F19/INDEX(角色属性!$AI$8:$AI$107,MATCH(D19,角色属性!$I$8:$I$107,0),1)*E19</f>
        <v>0.56681547619047634</v>
      </c>
      <c r="H19" s="2">
        <f>INDEX(角色属性!$AL$8:$AL$107,MATCH(D19,角色属性!$I$8:$I$107,0),1)</f>
        <v>231</v>
      </c>
      <c r="I19" s="2">
        <f>INDEX(角色属性!$Y$8:$Y$107,MATCH(D19,角色属性!$I$8:$I$107,0),1)</f>
        <v>13</v>
      </c>
      <c r="J19" s="28">
        <f>H19*10*(1+VLOOKUP(I19,技能效果!$B$2:$D$101,3,FALSE))</f>
        <v>2420.88</v>
      </c>
      <c r="K19" s="28">
        <f>H19*10*(1+VLOOKUP(I19,技能效果!$B$2:$D$101,3,FALSE))*(1+G19)</f>
        <v>3793.0722500000006</v>
      </c>
      <c r="L19" s="2">
        <f t="shared" si="2"/>
        <v>20</v>
      </c>
      <c r="M19" s="28">
        <f t="shared" si="3"/>
        <v>3500.5600000000004</v>
      </c>
      <c r="N19" s="28">
        <f t="shared" si="4"/>
        <v>5941.2282222222238</v>
      </c>
      <c r="O19" s="62">
        <v>5252</v>
      </c>
      <c r="P19" s="62">
        <f t="shared" si="15"/>
        <v>2524</v>
      </c>
      <c r="Q19" s="64">
        <f t="shared" si="13"/>
        <v>332</v>
      </c>
      <c r="R19" s="67">
        <v>1</v>
      </c>
      <c r="S19" s="67">
        <v>1</v>
      </c>
      <c r="T19" s="67">
        <v>1</v>
      </c>
      <c r="U19" s="67">
        <v>1</v>
      </c>
      <c r="V19" s="67">
        <v>1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64">
        <f>INDEX(角色属性!AM$8:AM$107,MATCH($D19,角色属性!$I$8:$I$107,0),1)</f>
        <v>4480</v>
      </c>
      <c r="AC19" s="64">
        <f>INDEX(角色属性!AN$8:AN$107,MATCH($D19,角色属性!$I$8:$I$107,0),1)</f>
        <v>448</v>
      </c>
      <c r="AD19" s="64">
        <f>INDEX(角色属性!AO$8:AO$107,MATCH($D19,角色属性!$I$8:$I$107,0),1)</f>
        <v>224</v>
      </c>
      <c r="AE19" s="64">
        <f>INDEX(角色属性!AP$8:AP$107,MATCH($D19,角色属性!$I$8:$I$107,0),1)</f>
        <v>179.2</v>
      </c>
      <c r="AF19" s="64">
        <f>INDEX(角色属性!AQ$8:AQ$107,MATCH($D19,角色属性!$I$8:$I$107,0),1)</f>
        <v>179.2</v>
      </c>
      <c r="AG19" s="64">
        <f>$P19/10/(1+VLOOKUP(I19,技能效果!$B$2:$D$101,3,FALSE))*怪物属性规划!A$18*INDEX(怪物属性等级系数!$A$2:$A$101,MATCH(D19,怪物属性等级系数!$D$2:$D$101,0),1)*R19+W19</f>
        <v>1512.4691289012831</v>
      </c>
      <c r="AH19" s="64">
        <f>$P19/10/(1+VLOOKUP($I19,技能效果!$B$2:$D$101,3,FALSE))*怪物属性规划!B$18*S19+X19</f>
        <v>240.83969465648855</v>
      </c>
      <c r="AI19" s="64">
        <f>$P19/10/(1+VLOOKUP($I19,技能效果!$B$2:$D$101,3,FALSE))*怪物属性规划!C$18*T19+Y19</f>
        <v>240.83969465648855</v>
      </c>
      <c r="AJ19" s="64">
        <f>$P19/10/(1+VLOOKUP($I19,技能效果!$B$2:$D$101,3,FALSE))*怪物属性规划!D$18*U19+Z19</f>
        <v>192.67175572519085</v>
      </c>
      <c r="AK19" s="64">
        <f>$P19/10/(1+VLOOKUP($I19,技能效果!$B$2:$D$101,3,FALSE))*怪物属性规划!E$18*V19+AA19</f>
        <v>192.67175572519085</v>
      </c>
      <c r="AL19" s="67">
        <f>INDEX(角色属性!BB$8:BB$107,MATCH($D19,角色属性!$I$8:$I$107,0),1)</f>
        <v>1.1200000000000001</v>
      </c>
      <c r="AM19" s="64">
        <f>INDEX(角色属性!BC$8:BC$107,MATCH($D19,角色属性!$I$8:$I$107,0),1)</f>
        <v>273</v>
      </c>
      <c r="AN19" s="64">
        <f>INDEX(角色属性!BD$8:BD$107,MATCH($D19,角色属性!$I$8:$I$107,0),1)</f>
        <v>191</v>
      </c>
      <c r="AO19" s="69">
        <f t="shared" si="6"/>
        <v>0.67281796444010977</v>
      </c>
      <c r="AP19" s="69">
        <f t="shared" si="7"/>
        <v>0.7321720996669272</v>
      </c>
      <c r="AQ19" s="64">
        <f>AL19*角色属性!$BA$1*(AC19*(1-AO19)+MAX(AF19-AJ19,0))</f>
        <v>328.33371632506106</v>
      </c>
      <c r="AR19" s="64">
        <f>角色属性!$BA$1*(AH19*(1-AP19)+MAX(AK19-AE19,0))</f>
        <v>155.95069092379313</v>
      </c>
      <c r="AS19" s="73">
        <f t="shared" si="8"/>
        <v>2.559166437648134</v>
      </c>
      <c r="AT19" s="73">
        <f t="shared" si="9"/>
        <v>1.7061109584320893</v>
      </c>
      <c r="AU19" s="73">
        <f t="shared" si="10"/>
        <v>1.279583218824067</v>
      </c>
      <c r="AV19" s="73">
        <f t="shared" si="1"/>
        <v>28.727028867023083</v>
      </c>
      <c r="AW19" s="73">
        <f t="shared" si="11"/>
        <v>19.151352578015388</v>
      </c>
      <c r="AX19" s="2" t="str">
        <f t="shared" si="12"/>
        <v>r_guanqia_17</v>
      </c>
      <c r="AY19" s="2">
        <f>ROUND(($P19*R19/10/$H19/(1+VLOOKUP($I19,技能效果!$B$2:$D$101,3,FALSE))-1)*10000,0)</f>
        <v>426</v>
      </c>
      <c r="AZ19" s="2">
        <f>ROUND(($P19*S19/10/$H19/(1+VLOOKUP($I19,技能效果!$B$2:$D$101,3,FALSE))-1)*10000,0)</f>
        <v>426</v>
      </c>
      <c r="BA19" s="2">
        <f>ROUND(($P19*T19/10/$H19/(1+VLOOKUP($I19,技能效果!$B$2:$D$101,3,FALSE))-1)*10000,0)</f>
        <v>426</v>
      </c>
      <c r="BB19" s="2">
        <f>ROUND(($P19*U19/10/$H19/(1+VLOOKUP($I19,技能效果!$B$2:$D$101,3,FALSE))-1)*10000,0)</f>
        <v>426</v>
      </c>
      <c r="BC19" s="2">
        <f>ROUND(($P19*V19/10/$H19/(1+VLOOKUP($I19,技能效果!$B$2:$D$101,3,FALSE))-1)*10000,0)</f>
        <v>426</v>
      </c>
    </row>
    <row r="20" spans="2:65" x14ac:dyDescent="0.15">
      <c r="B20" s="83"/>
      <c r="C20" s="2">
        <v>18</v>
      </c>
      <c r="D20" s="2">
        <v>14</v>
      </c>
      <c r="E20" s="2">
        <v>0.7</v>
      </c>
      <c r="F20" s="28">
        <f>INDEX([3]宠物属性!$AL$8:$AL$107,MATCH(D20,[3]宠物属性!$I$8:$I$107,0),1)</f>
        <v>2122.7022222222222</v>
      </c>
      <c r="G20" s="68">
        <f>F20/INDEX(角色属性!$AI$8:$AI$107,MATCH(D20,角色属性!$I$8:$I$107,0),1)*E20</f>
        <v>0.60360873694207018</v>
      </c>
      <c r="H20" s="2">
        <f>INDEX(角色属性!$AL$8:$AL$107,MATCH(D20,角色属性!$I$8:$I$107,0),1)</f>
        <v>253</v>
      </c>
      <c r="I20" s="2">
        <f>INDEX(角色属性!$Y$8:$Y$107,MATCH(D20,角色属性!$I$8:$I$107,0),1)</f>
        <v>14</v>
      </c>
      <c r="J20" s="28">
        <f>H20*10*(1+VLOOKUP(I20,技能效果!$B$2:$D$101,3,FALSE))</f>
        <v>2661.56</v>
      </c>
      <c r="K20" s="28">
        <f>H20*10*(1+VLOOKUP(I20,技能效果!$B$2:$D$101,3,FALSE))*(1+G20)</f>
        <v>4268.1008698955366</v>
      </c>
      <c r="L20" s="2">
        <f t="shared" si="2"/>
        <v>20</v>
      </c>
      <c r="M20" s="28">
        <f t="shared" si="3"/>
        <v>3500.5600000000004</v>
      </c>
      <c r="N20" s="28">
        <f t="shared" si="4"/>
        <v>5941.2282222222238</v>
      </c>
      <c r="O20" s="62">
        <v>5696</v>
      </c>
      <c r="P20" s="62">
        <f t="shared" si="15"/>
        <v>2687</v>
      </c>
      <c r="Q20" s="64">
        <f t="shared" si="13"/>
        <v>444</v>
      </c>
      <c r="R20" s="67">
        <v>1</v>
      </c>
      <c r="S20" s="67">
        <v>0.95</v>
      </c>
      <c r="T20" s="67">
        <v>1</v>
      </c>
      <c r="U20" s="67">
        <v>1</v>
      </c>
      <c r="V20" s="67">
        <v>1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64">
        <f>INDEX(角色属性!AM$8:AM$107,MATCH($D20,角色属性!$I$8:$I$107,0),1)</f>
        <v>4680</v>
      </c>
      <c r="AC20" s="64">
        <f>INDEX(角色属性!AN$8:AN$107,MATCH($D20,角色属性!$I$8:$I$107,0),1)</f>
        <v>468</v>
      </c>
      <c r="AD20" s="64">
        <f>INDEX(角色属性!AO$8:AO$107,MATCH($D20,角色属性!$I$8:$I$107,0),1)</f>
        <v>234</v>
      </c>
      <c r="AE20" s="64">
        <f>INDEX(角色属性!AP$8:AP$107,MATCH($D20,角色属性!$I$8:$I$107,0),1)</f>
        <v>187.2</v>
      </c>
      <c r="AF20" s="64">
        <f>INDEX(角色属性!AQ$8:AQ$107,MATCH($D20,角色属性!$I$8:$I$107,0),1)</f>
        <v>187.2</v>
      </c>
      <c r="AG20" s="64">
        <f>$P20/10/(1+VLOOKUP(I20,技能效果!$B$2:$D$101,3,FALSE))*怪物属性规划!A$18*INDEX(怪物属性等级系数!$A$2:$A$101,MATCH(D20,怪物属性等级系数!$D$2:$D$101,0),1)*R20+W20</f>
        <v>1633.5598916861072</v>
      </c>
      <c r="AH20" s="64">
        <f>$P20/10/(1+VLOOKUP($I20,技能效果!$B$2:$D$101,3,FALSE))*怪物属性规划!B$18*S20+X20</f>
        <v>242.6473384030418</v>
      </c>
      <c r="AI20" s="64">
        <f>$P20/10/(1+VLOOKUP($I20,技能效果!$B$2:$D$101,3,FALSE))*怪物属性规划!C$18*T20+Y20</f>
        <v>255.41825095057033</v>
      </c>
      <c r="AJ20" s="64">
        <f>$P20/10/(1+VLOOKUP($I20,技能效果!$B$2:$D$101,3,FALSE))*怪物属性规划!D$18*U20+Z20</f>
        <v>204.33460076045628</v>
      </c>
      <c r="AK20" s="64">
        <f>$P20/10/(1+VLOOKUP($I20,技能效果!$B$2:$D$101,3,FALSE))*怪物属性规划!E$18*V20+AA20</f>
        <v>204.33460076045628</v>
      </c>
      <c r="AL20" s="67">
        <f>INDEX(角色属性!BB$8:BB$107,MATCH($D20,角色属性!$I$8:$I$107,0),1)</f>
        <v>1.1300000000000001</v>
      </c>
      <c r="AM20" s="64">
        <f>INDEX(角色属性!BC$8:BC$107,MATCH($D20,角色属性!$I$8:$I$107,0),1)</f>
        <v>303</v>
      </c>
      <c r="AN20" s="64">
        <f>INDEX(角色属性!BD$8:BD$107,MATCH($D20,角色属性!$I$8:$I$107,0),1)</f>
        <v>197</v>
      </c>
      <c r="AO20" s="69">
        <f t="shared" si="6"/>
        <v>0.66272644267456715</v>
      </c>
      <c r="AP20" s="69">
        <f t="shared" si="7"/>
        <v>0.73466389126974396</v>
      </c>
      <c r="AQ20" s="64">
        <f>AL20*角色属性!$BA$1*(AC20*(1-AO20)+MAX(AF20-AJ20,0))</f>
        <v>356.72749611196383</v>
      </c>
      <c r="AR20" s="64">
        <f>角色属性!$BA$1*(AH20*(1-AP20)+MAX(AK20-AE20,0))</f>
        <v>163.03540265214605</v>
      </c>
      <c r="AS20" s="73">
        <f t="shared" si="8"/>
        <v>2.544051924929573</v>
      </c>
      <c r="AT20" s="73">
        <f t="shared" si="9"/>
        <v>1.6960346166197153</v>
      </c>
      <c r="AU20" s="73">
        <f t="shared" si="10"/>
        <v>1.2720259624647865</v>
      </c>
      <c r="AV20" s="73">
        <f t="shared" si="1"/>
        <v>28.705421791028385</v>
      </c>
      <c r="AW20" s="73">
        <f t="shared" si="11"/>
        <v>19.136947860685591</v>
      </c>
      <c r="AX20" s="2" t="str">
        <f t="shared" si="12"/>
        <v>r_guanqia_18</v>
      </c>
      <c r="AY20" s="2">
        <f>ROUND(($P20*R20/10/$H20/(1+VLOOKUP($I20,技能效果!$B$2:$D$101,3,FALSE))-1)*10000,0)</f>
        <v>96</v>
      </c>
      <c r="AZ20" s="2">
        <f>ROUND(($P20*S20/10/$H20/(1+VLOOKUP($I20,技能效果!$B$2:$D$101,3,FALSE))-1)*10000,0)</f>
        <v>-409</v>
      </c>
      <c r="BA20" s="2">
        <f>ROUND(($P20*T20/10/$H20/(1+VLOOKUP($I20,技能效果!$B$2:$D$101,3,FALSE))-1)*10000,0)</f>
        <v>96</v>
      </c>
      <c r="BB20" s="2">
        <f>ROUND(($P20*U20/10/$H20/(1+VLOOKUP($I20,技能效果!$B$2:$D$101,3,FALSE))-1)*10000,0)</f>
        <v>96</v>
      </c>
      <c r="BC20" s="2">
        <f>ROUND(($P20*V20/10/$H20/(1+VLOOKUP($I20,技能效果!$B$2:$D$101,3,FALSE))-1)*10000,0)</f>
        <v>96</v>
      </c>
    </row>
    <row r="21" spans="2:65" x14ac:dyDescent="0.15">
      <c r="B21" s="83"/>
      <c r="C21" s="2">
        <v>19</v>
      </c>
      <c r="D21" s="2">
        <v>15</v>
      </c>
      <c r="E21" s="2">
        <v>0.75</v>
      </c>
      <c r="F21" s="28">
        <f>INDEX([3]宠物属性!$AL$8:$AL$107,MATCH(D21,[3]宠物属性!$I$8:$I$107,0),1)</f>
        <v>2785.4933333333333</v>
      </c>
      <c r="G21" s="68">
        <f>F21/INDEX(角色属性!$AI$8:$AI$107,MATCH(D21,角色属性!$I$8:$I$107,0),1)*E21</f>
        <v>0.66164994425863988</v>
      </c>
      <c r="H21" s="2">
        <f>INDEX(角色属性!$AL$8:$AL$107,MATCH(D21,角色属性!$I$8:$I$107,0),1)</f>
        <v>276</v>
      </c>
      <c r="I21" s="2">
        <f>INDEX(角色属性!$Y$8:$Y$107,MATCH(D21,角色属性!$I$8:$I$107,0),1)</f>
        <v>15</v>
      </c>
      <c r="J21" s="28">
        <f>H21*10*(1+VLOOKUP(I21,技能效果!$B$2:$D$101,3,FALSE))</f>
        <v>2914.56</v>
      </c>
      <c r="K21" s="28">
        <f>H21*10*(1+VLOOKUP(I21,技能效果!$B$2:$D$101,3,FALSE))*(1+G21)</f>
        <v>4842.9784615384615</v>
      </c>
      <c r="L21" s="2">
        <f t="shared" si="2"/>
        <v>20</v>
      </c>
      <c r="M21" s="28">
        <f t="shared" si="3"/>
        <v>3500.5600000000004</v>
      </c>
      <c r="N21" s="28">
        <f t="shared" si="4"/>
        <v>5941.2282222222238</v>
      </c>
      <c r="O21" s="62">
        <v>6250</v>
      </c>
      <c r="P21" s="62">
        <f t="shared" si="15"/>
        <v>2890</v>
      </c>
      <c r="Q21" s="64">
        <f t="shared" si="13"/>
        <v>554</v>
      </c>
      <c r="R21" s="67">
        <v>1</v>
      </c>
      <c r="S21" s="67">
        <v>1</v>
      </c>
      <c r="T21" s="67">
        <v>1</v>
      </c>
      <c r="U21" s="67">
        <v>1</v>
      </c>
      <c r="V21" s="67">
        <v>1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64">
        <f>INDEX(角色属性!AM$8:AM$107,MATCH($D21,角色属性!$I$8:$I$107,0),1)</f>
        <v>5980</v>
      </c>
      <c r="AC21" s="64">
        <f>INDEX(角色属性!AN$8:AN$107,MATCH($D21,角色属性!$I$8:$I$107,0),1)</f>
        <v>598</v>
      </c>
      <c r="AD21" s="64">
        <f>INDEX(角色属性!AO$8:AO$107,MATCH($D21,角色属性!$I$8:$I$107,0),1)</f>
        <v>299</v>
      </c>
      <c r="AE21" s="64">
        <f>INDEX(角色属性!AP$8:AP$107,MATCH($D21,角色属性!$I$8:$I$107,0),1)</f>
        <v>239.2</v>
      </c>
      <c r="AF21" s="64">
        <f>INDEX(角色属性!AQ$8:AQ$107,MATCH($D21,角色属性!$I$8:$I$107,0),1)</f>
        <v>239.2</v>
      </c>
      <c r="AG21" s="64">
        <f>$P21/10/(1+VLOOKUP(I21,技能效果!$B$2:$D$101,3,FALSE))*怪物属性规划!A$18*INDEX(怪物属性等级系数!$A$2:$A$101,MATCH(D21,怪物属性等级系数!$D$2:$D$101,0),1)*R21+W21</f>
        <v>1779.1613261921245</v>
      </c>
      <c r="AH21" s="64">
        <f>$P21/10/(1+VLOOKUP($I21,技能效果!$B$2:$D$101,3,FALSE))*怪物属性规划!B$18*S21+X21</f>
        <v>273.67424242424244</v>
      </c>
      <c r="AI21" s="64">
        <f>$P21/10/(1+VLOOKUP($I21,技能效果!$B$2:$D$101,3,FALSE))*怪物属性规划!C$18*T21+Y21</f>
        <v>273.67424242424244</v>
      </c>
      <c r="AJ21" s="64">
        <f>$P21/10/(1+VLOOKUP($I21,技能效果!$B$2:$D$101,3,FALSE))*怪物属性规划!D$18*U21+Z21</f>
        <v>218.93939393939397</v>
      </c>
      <c r="AK21" s="64">
        <f>$P21/10/(1+VLOOKUP($I21,技能效果!$B$2:$D$101,3,FALSE))*怪物属性规划!E$18*V21+AA21</f>
        <v>218.93939393939397</v>
      </c>
      <c r="AL21" s="67">
        <f>INDEX(角色属性!BB$8:BB$107,MATCH($D21,角色属性!$I$8:$I$107,0),1)</f>
        <v>1.1400000000000001</v>
      </c>
      <c r="AM21" s="64">
        <f>INDEX(角色属性!BC$8:BC$107,MATCH($D21,角色属性!$I$8:$I$107,0),1)</f>
        <v>335</v>
      </c>
      <c r="AN21" s="64">
        <f>INDEX(角色属性!BD$8:BD$107,MATCH($D21,角色属性!$I$8:$I$107,0),1)</f>
        <v>249</v>
      </c>
      <c r="AO21" s="69">
        <f t="shared" si="6"/>
        <v>0.65568111155599618</v>
      </c>
      <c r="AP21" s="69">
        <f t="shared" si="7"/>
        <v>0.73677803760771365</v>
      </c>
      <c r="AQ21" s="64">
        <f>AL21*角色属性!$BA$1*(AC21*(1-AO21)+MAX(AF21-AJ21,0))</f>
        <v>515.65232707827442</v>
      </c>
      <c r="AR21" s="64">
        <f>角色属性!$BA$1*(AH21*(1-AP21)+MAX(AK21-AE21,0))</f>
        <v>144.0741422942628</v>
      </c>
      <c r="AS21" s="73">
        <f t="shared" si="8"/>
        <v>1.9168399076100457</v>
      </c>
      <c r="AT21" s="73">
        <f t="shared" si="9"/>
        <v>1.2778932717400304</v>
      </c>
      <c r="AU21" s="73">
        <f t="shared" si="10"/>
        <v>0.95841995380502287</v>
      </c>
      <c r="AV21" s="73">
        <f t="shared" si="1"/>
        <v>41.506407081613638</v>
      </c>
      <c r="AW21" s="73">
        <f t="shared" si="11"/>
        <v>27.670938054409088</v>
      </c>
      <c r="AX21" s="2" t="str">
        <f t="shared" si="12"/>
        <v>r_guanqia_19</v>
      </c>
      <c r="AY21" s="2">
        <f>ROUND(($P21*R21/10/$H21/(1+VLOOKUP($I21,技能效果!$B$2:$D$101,3,FALSE))-1)*10000,0)</f>
        <v>-84</v>
      </c>
      <c r="AZ21" s="2">
        <f>ROUND(($P21*S21/10/$H21/(1+VLOOKUP($I21,技能效果!$B$2:$D$101,3,FALSE))-1)*10000,0)</f>
        <v>-84</v>
      </c>
      <c r="BA21" s="2">
        <f>ROUND(($P21*T21/10/$H21/(1+VLOOKUP($I21,技能效果!$B$2:$D$101,3,FALSE))-1)*10000,0)</f>
        <v>-84</v>
      </c>
      <c r="BB21" s="2">
        <f>ROUND(($P21*U21/10/$H21/(1+VLOOKUP($I21,技能效果!$B$2:$D$101,3,FALSE))-1)*10000,0)</f>
        <v>-84</v>
      </c>
      <c r="BC21" s="2">
        <f>ROUND(($P21*V21/10/$H21/(1+VLOOKUP($I21,技能效果!$B$2:$D$101,3,FALSE))-1)*10000,0)</f>
        <v>-84</v>
      </c>
    </row>
    <row r="22" spans="2:65" x14ac:dyDescent="0.15">
      <c r="B22" s="83"/>
      <c r="C22" s="2">
        <v>20</v>
      </c>
      <c r="D22" s="2">
        <v>17</v>
      </c>
      <c r="E22" s="2">
        <v>0.8</v>
      </c>
      <c r="F22" s="28">
        <f>INDEX([3]宠物属性!$AL$8:$AL$107,MATCH(D22,[3]宠物属性!$I$8:$I$107,0),1)</f>
        <v>2967.3777777777782</v>
      </c>
      <c r="G22" s="68">
        <f>F22/INDEX(角色属性!$AI$8:$AI$107,MATCH(D22,角色属性!$I$8:$I$107,0),1)*E22</f>
        <v>0.69722222222222241</v>
      </c>
      <c r="H22" s="2">
        <f>INDEX(角色属性!$AL$8:$AL$107,MATCH(D22,角色属性!$I$8:$I$107,0),1)</f>
        <v>329</v>
      </c>
      <c r="I22" s="2">
        <f>INDEX(角色属性!$Y$8:$Y$107,MATCH(D22,角色属性!$I$8:$I$107,0),1)</f>
        <v>17</v>
      </c>
      <c r="J22" s="28">
        <f>H22*10*(1+VLOOKUP(I22,技能效果!$B$2:$D$101,3,FALSE))</f>
        <v>3500.5600000000004</v>
      </c>
      <c r="K22" s="28">
        <f>H22*10*(1+VLOOKUP(I22,技能效果!$B$2:$D$101,3,FALSE))*(1+G22)</f>
        <v>5941.2282222222238</v>
      </c>
      <c r="L22" s="2">
        <f t="shared" si="2"/>
        <v>20</v>
      </c>
      <c r="M22" s="28">
        <f t="shared" si="3"/>
        <v>3500.5600000000004</v>
      </c>
      <c r="N22" s="28">
        <f t="shared" si="4"/>
        <v>5941.2282222222238</v>
      </c>
      <c r="O22" s="62">
        <v>7500</v>
      </c>
      <c r="P22" s="62">
        <f t="shared" si="15"/>
        <v>3501</v>
      </c>
      <c r="Q22" s="64">
        <f t="shared" si="13"/>
        <v>1250</v>
      </c>
      <c r="R22" s="67">
        <v>1.2</v>
      </c>
      <c r="S22" s="67">
        <v>1.2</v>
      </c>
      <c r="T22" s="67">
        <v>1</v>
      </c>
      <c r="U22" s="67">
        <v>1.2</v>
      </c>
      <c r="V22" s="67">
        <v>1.2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64">
        <f>INDEX(角色属性!AM$8:AM$107,MATCH($D22,角色属性!$I$8:$I$107,0),1)</f>
        <v>6400</v>
      </c>
      <c r="AC22" s="64">
        <f>INDEX(角色属性!AN$8:AN$107,MATCH($D22,角色属性!$I$8:$I$107,0),1)</f>
        <v>640</v>
      </c>
      <c r="AD22" s="64">
        <f>INDEX(角色属性!AO$8:AO$107,MATCH($D22,角色属性!$I$8:$I$107,0),1)</f>
        <v>320</v>
      </c>
      <c r="AE22" s="64">
        <f>INDEX(角色属性!AP$8:AP$107,MATCH($D22,角色属性!$I$8:$I$107,0),1)</f>
        <v>256</v>
      </c>
      <c r="AF22" s="64">
        <f>INDEX(角色属性!AQ$8:AQ$107,MATCH($D22,角色属性!$I$8:$I$107,0),1)</f>
        <v>256</v>
      </c>
      <c r="AG22" s="64">
        <f>$P22/10/(1+VLOOKUP(I22,技能效果!$B$2:$D$101,3,FALSE))*怪物属性规划!A$18*INDEX(怪物属性等级系数!$A$2:$A$101,MATCH(D22,怪物属性等级系数!$D$2:$D$101,0),1)*R22+W22</f>
        <v>2655.8870917880436</v>
      </c>
      <c r="AH22" s="64">
        <f>$P22/10/(1+VLOOKUP($I22,技能效果!$B$2:$D$101,3,FALSE))*怪物属性规划!B$18*S22+X22</f>
        <v>394.8496240601504</v>
      </c>
      <c r="AI22" s="64">
        <f>$P22/10/(1+VLOOKUP($I22,技能效果!$B$2:$D$101,3,FALSE))*怪物属性规划!C$18*T22+Y22</f>
        <v>329.04135338345867</v>
      </c>
      <c r="AJ22" s="64">
        <f>$P22/10/(1+VLOOKUP($I22,技能效果!$B$2:$D$101,3,FALSE))*怪物属性规划!D$18*U22+Z22</f>
        <v>315.87969924812029</v>
      </c>
      <c r="AK22" s="64">
        <f>$P22/10/(1+VLOOKUP($I22,技能效果!$B$2:$D$101,3,FALSE))*怪物属性规划!E$18*V22+AA22</f>
        <v>315.87969924812029</v>
      </c>
      <c r="AL22" s="67">
        <f>INDEX(角色属性!BB$8:BB$107,MATCH($D22,角色属性!$I$8:$I$107,0),1)</f>
        <v>1.1600000000000001</v>
      </c>
      <c r="AM22" s="64">
        <f>INDEX(角色属性!BC$8:BC$107,MATCH($D22,角色属性!$I$8:$I$107,0),1)</f>
        <v>410</v>
      </c>
      <c r="AN22" s="64">
        <f>INDEX(角色属性!BD$8:BD$107,MATCH($D22,角色属性!$I$8:$I$107,0),1)</f>
        <v>260</v>
      </c>
      <c r="AO22" s="69">
        <f t="shared" si="6"/>
        <v>0.65165561848874864</v>
      </c>
      <c r="AP22" s="69">
        <f t="shared" si="7"/>
        <v>0.74153033322519357</v>
      </c>
      <c r="AQ22" s="64">
        <f>AL22*角色属性!$BA$1*(AC22*(1-AO22)+MAX(AF22-AJ22,0))</f>
        <v>517.22173766790615</v>
      </c>
      <c r="AR22" s="64">
        <f>角色属性!$BA$1*(AH22*(1-AP22)+MAX(AK22-AE22,0))</f>
        <v>323.87270001020988</v>
      </c>
      <c r="AS22" s="73">
        <f t="shared" si="8"/>
        <v>2.8527277979923356</v>
      </c>
      <c r="AT22" s="73">
        <f t="shared" si="9"/>
        <v>1.9018185319948904</v>
      </c>
      <c r="AU22" s="73">
        <f t="shared" si="10"/>
        <v>1.4263638989961678</v>
      </c>
      <c r="AV22" s="73">
        <f t="shared" si="1"/>
        <v>19.760850481680748</v>
      </c>
      <c r="AW22" s="73">
        <f t="shared" si="11"/>
        <v>13.173900321120499</v>
      </c>
      <c r="AX22" s="2" t="str">
        <f t="shared" si="12"/>
        <v>r_guanqia_20</v>
      </c>
      <c r="AY22" s="2">
        <f>ROUND(($P22*R22/10/$H22/(1+VLOOKUP($I22,技能效果!$B$2:$D$101,3,FALSE))-1)*10000,0)</f>
        <v>2002</v>
      </c>
      <c r="AZ22" s="2">
        <f>ROUND(($P22*S22/10/$H22/(1+VLOOKUP($I22,技能效果!$B$2:$D$101,3,FALSE))-1)*10000,0)</f>
        <v>2002</v>
      </c>
      <c r="BA22" s="2">
        <f>ROUND(($P22*T22/10/$H22/(1+VLOOKUP($I22,技能效果!$B$2:$D$101,3,FALSE))-1)*10000,0)</f>
        <v>1</v>
      </c>
      <c r="BB22" s="2">
        <f>ROUND(($P22*U22/10/$H22/(1+VLOOKUP($I22,技能效果!$B$2:$D$101,3,FALSE))-1)*10000,0)</f>
        <v>2002</v>
      </c>
      <c r="BC22" s="2">
        <f>ROUND(($P22*V22/10/$H22/(1+VLOOKUP($I22,技能效果!$B$2:$D$101,3,FALSE))-1)*10000,0)</f>
        <v>2002</v>
      </c>
    </row>
    <row r="23" spans="2:65" x14ac:dyDescent="0.15">
      <c r="B23" s="83" t="s">
        <v>114</v>
      </c>
      <c r="C23" s="2">
        <v>21</v>
      </c>
      <c r="D23" s="2">
        <f t="shared" ref="D23:D28" si="16">D13+7</f>
        <v>17</v>
      </c>
      <c r="E23" s="2">
        <v>0.85</v>
      </c>
      <c r="F23" s="28">
        <f>INDEX([3]宠物属性!$AL$8:$AL$107,MATCH(D23,[3]宠物属性!$I$8:$I$107,0),1)</f>
        <v>2967.3777777777782</v>
      </c>
      <c r="G23" s="68">
        <f>F23/INDEX(角色属性!$AI$8:$AI$107,MATCH(D23,角色属性!$I$8:$I$107,0),1)*E23</f>
        <v>0.74079861111111123</v>
      </c>
      <c r="H23" s="2">
        <f>INDEX(角色属性!$AL$8:$AL$107,MATCH(D23,角色属性!$I$8:$I$107,0),1)</f>
        <v>329</v>
      </c>
      <c r="I23" s="2">
        <f>INDEX(角色属性!$Y$8:$Y$107,MATCH(D23,角色属性!$I$8:$I$107,0),1)</f>
        <v>17</v>
      </c>
      <c r="J23" s="28">
        <f>H23*10*(1+VLOOKUP(I23,技能效果!$B$2:$D$101,3,FALSE))</f>
        <v>3500.5600000000004</v>
      </c>
      <c r="K23" s="28">
        <f>H23*10*(1+VLOOKUP(I23,技能效果!$B$2:$D$101,3,FALSE))*(1+G23)</f>
        <v>6093.7699861111123</v>
      </c>
      <c r="L23" s="2">
        <f t="shared" si="2"/>
        <v>30</v>
      </c>
      <c r="M23" s="28">
        <f t="shared" si="3"/>
        <v>6850.0000000000009</v>
      </c>
      <c r="N23" s="28">
        <f t="shared" si="4"/>
        <v>14316.432111000993</v>
      </c>
      <c r="O23" s="62">
        <v>7565</v>
      </c>
      <c r="P23" s="62">
        <f t="shared" si="15"/>
        <v>3601</v>
      </c>
      <c r="Q23" s="64">
        <f t="shared" si="13"/>
        <v>65</v>
      </c>
      <c r="R23" s="67">
        <v>1</v>
      </c>
      <c r="S23" s="67">
        <v>1</v>
      </c>
      <c r="T23" s="67">
        <v>1</v>
      </c>
      <c r="U23" s="67">
        <v>1</v>
      </c>
      <c r="V23" s="67">
        <v>1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64">
        <f>INDEX(角色属性!AM$8:AM$107,MATCH($D23,角色属性!$I$8:$I$107,0),1)</f>
        <v>6400</v>
      </c>
      <c r="AC23" s="64">
        <f>INDEX(角色属性!AN$8:AN$107,MATCH($D23,角色属性!$I$8:$I$107,0),1)</f>
        <v>640</v>
      </c>
      <c r="AD23" s="64">
        <f>INDEX(角色属性!AO$8:AO$107,MATCH($D23,角色属性!$I$8:$I$107,0),1)</f>
        <v>320</v>
      </c>
      <c r="AE23" s="64">
        <f>INDEX(角色属性!AP$8:AP$107,MATCH($D23,角色属性!$I$8:$I$107,0),1)</f>
        <v>256</v>
      </c>
      <c r="AF23" s="64">
        <f>INDEX(角色属性!AQ$8:AQ$107,MATCH($D23,角色属性!$I$8:$I$107,0),1)</f>
        <v>256</v>
      </c>
      <c r="AG23" s="64">
        <f>$P23/10/(1+VLOOKUP(I23,技能效果!$B$2:$D$101,3,FALSE))*怪物属性规划!A$18*INDEX(怪物属性等级系数!$A$2:$A$101,MATCH(D23,怪物属性等级系数!$D$2:$D$101,0),1)*R23+W23</f>
        <v>2276.4565880055093</v>
      </c>
      <c r="AH23" s="64">
        <f>$P23/10/(1+VLOOKUP($I23,技能效果!$B$2:$D$101,3,FALSE))*怪物属性规划!B$18*S23+X23</f>
        <v>338.43984962406017</v>
      </c>
      <c r="AI23" s="64">
        <f>$P23/10/(1+VLOOKUP($I23,技能效果!$B$2:$D$101,3,FALSE))*怪物属性规划!C$18*T23+Y23</f>
        <v>338.43984962406017</v>
      </c>
      <c r="AJ23" s="64">
        <f>$P23/10/(1+VLOOKUP($I23,技能效果!$B$2:$D$101,3,FALSE))*怪物属性规划!D$18*U23+Z23</f>
        <v>270.75187969924815</v>
      </c>
      <c r="AK23" s="64">
        <f>$P23/10/(1+VLOOKUP($I23,技能效果!$B$2:$D$101,3,FALSE))*怪物属性规划!E$18*V23+AA23</f>
        <v>270.75187969924815</v>
      </c>
      <c r="AL23" s="67">
        <f>INDEX(角色属性!BB$8:BB$107,MATCH($D23,角色属性!$I$8:$I$107,0),1)</f>
        <v>1.1600000000000001</v>
      </c>
      <c r="AM23" s="64">
        <f>INDEX(角色属性!BC$8:BC$107,MATCH($D23,角色属性!$I$8:$I$107,0),1)</f>
        <v>410</v>
      </c>
      <c r="AN23" s="64">
        <f>INDEX(角色属性!BD$8:BD$107,MATCH($D23,角色属性!$I$8:$I$107,0),1)</f>
        <v>260</v>
      </c>
      <c r="AO23" s="69">
        <f t="shared" si="6"/>
        <v>0.65802101486319808</v>
      </c>
      <c r="AP23" s="69">
        <f t="shared" si="7"/>
        <v>0.74153033322519357</v>
      </c>
      <c r="AQ23" s="64">
        <f>AL23*角色属性!$BA$1*(AC23*(1-AO23)+MAX(AF23-AJ23,0))</f>
        <v>507.77039713112356</v>
      </c>
      <c r="AR23" s="64">
        <f>角色属性!$BA$1*(AH23*(1-AP23)+MAX(AK23-AE23,0))</f>
        <v>204.45662970978915</v>
      </c>
      <c r="AS23" s="73">
        <f t="shared" si="8"/>
        <v>2.4906889247443016</v>
      </c>
      <c r="AT23" s="73">
        <f t="shared" si="9"/>
        <v>1.6604592831628679</v>
      </c>
      <c r="AU23" s="73">
        <f t="shared" si="10"/>
        <v>1.2453444623721508</v>
      </c>
      <c r="AV23" s="73">
        <f t="shared" si="1"/>
        <v>31.302482140512243</v>
      </c>
      <c r="AW23" s="73">
        <f t="shared" si="11"/>
        <v>20.868321427008162</v>
      </c>
      <c r="AX23" s="2" t="str">
        <f t="shared" si="12"/>
        <v>r_guanqia_21</v>
      </c>
      <c r="AY23" s="2">
        <f>ROUND(($P23*R23/10/$H23/(1+VLOOKUP($I23,技能效果!$B$2:$D$101,3,FALSE))-1)*10000,0)</f>
        <v>287</v>
      </c>
      <c r="AZ23" s="2">
        <f>ROUND(($P23*S23/10/$H23/(1+VLOOKUP($I23,技能效果!$B$2:$D$101,3,FALSE))-1)*10000,0)</f>
        <v>287</v>
      </c>
      <c r="BA23" s="2">
        <f>ROUND(($P23*T23/10/$H23/(1+VLOOKUP($I23,技能效果!$B$2:$D$101,3,FALSE))-1)*10000,0)</f>
        <v>287</v>
      </c>
      <c r="BB23" s="2">
        <f>ROUND(($P23*U23/10/$H23/(1+VLOOKUP($I23,技能效果!$B$2:$D$101,3,FALSE))-1)*10000,0)</f>
        <v>287</v>
      </c>
      <c r="BC23" s="2">
        <f>ROUND(($P23*V23/10/$H23/(1+VLOOKUP($I23,技能效果!$B$2:$D$101,3,FALSE))-1)*10000,0)</f>
        <v>287</v>
      </c>
    </row>
    <row r="24" spans="2:65" x14ac:dyDescent="0.15">
      <c r="B24" s="83"/>
      <c r="C24" s="2">
        <v>22</v>
      </c>
      <c r="D24" s="2">
        <f t="shared" si="16"/>
        <v>17</v>
      </c>
      <c r="E24" s="2">
        <v>0.9</v>
      </c>
      <c r="F24" s="28">
        <f>INDEX([3]宠物属性!$AL$8:$AL$107,MATCH(D24,[3]宠物属性!$I$8:$I$107,0),1)</f>
        <v>2967.3777777777782</v>
      </c>
      <c r="G24" s="68">
        <f>F24/INDEX(角色属性!$AI$8:$AI$107,MATCH(D24,角色属性!$I$8:$I$107,0),1)*E24</f>
        <v>0.78437500000000016</v>
      </c>
      <c r="H24" s="2">
        <f>INDEX(角色属性!$AL$8:$AL$107,MATCH(D24,角色属性!$I$8:$I$107,0),1)</f>
        <v>329</v>
      </c>
      <c r="I24" s="2">
        <f>INDEX(角色属性!$Y$8:$Y$107,MATCH(D24,角色属性!$I$8:$I$107,0),1)</f>
        <v>17</v>
      </c>
      <c r="J24" s="28">
        <f>H24*10*(1+VLOOKUP(I24,技能效果!$B$2:$D$101,3,FALSE))</f>
        <v>3500.5600000000004</v>
      </c>
      <c r="K24" s="28">
        <f>H24*10*(1+VLOOKUP(I24,技能效果!$B$2:$D$101,3,FALSE))*(1+G24)</f>
        <v>6246.3117500000017</v>
      </c>
      <c r="L24" s="2">
        <f t="shared" si="2"/>
        <v>30</v>
      </c>
      <c r="M24" s="28">
        <f t="shared" si="3"/>
        <v>6850.0000000000009</v>
      </c>
      <c r="N24" s="28">
        <f t="shared" si="4"/>
        <v>14316.432111000993</v>
      </c>
      <c r="O24" s="62">
        <v>7658</v>
      </c>
      <c r="P24" s="62">
        <f t="shared" si="15"/>
        <v>3769</v>
      </c>
      <c r="Q24" s="64">
        <f t="shared" si="13"/>
        <v>93</v>
      </c>
      <c r="R24" s="67">
        <v>1</v>
      </c>
      <c r="S24" s="67">
        <v>1</v>
      </c>
      <c r="T24" s="67">
        <v>1</v>
      </c>
      <c r="U24" s="67">
        <v>1</v>
      </c>
      <c r="V24" s="67">
        <v>1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64">
        <f>INDEX(角色属性!AM$8:AM$107,MATCH($D24,角色属性!$I$8:$I$107,0),1)</f>
        <v>6400</v>
      </c>
      <c r="AC24" s="64">
        <f>INDEX(角色属性!AN$8:AN$107,MATCH($D24,角色属性!$I$8:$I$107,0),1)</f>
        <v>640</v>
      </c>
      <c r="AD24" s="64">
        <f>INDEX(角色属性!AO$8:AO$107,MATCH($D24,角色属性!$I$8:$I$107,0),1)</f>
        <v>320</v>
      </c>
      <c r="AE24" s="64">
        <f>INDEX(角色属性!AP$8:AP$107,MATCH($D24,角色属性!$I$8:$I$107,0),1)</f>
        <v>256</v>
      </c>
      <c r="AF24" s="64">
        <f>INDEX(角色属性!AQ$8:AQ$107,MATCH($D24,角色属性!$I$8:$I$107,0),1)</f>
        <v>256</v>
      </c>
      <c r="AG24" s="64">
        <f>$P24/10/(1+VLOOKUP(I24,技能效果!$B$2:$D$101,3,FALSE))*怪物属性规划!A$18*INDEX(怪物属性等级系数!$A$2:$A$101,MATCH(D24,怪物属性等级系数!$D$2:$D$101,0),1)*R24+W24</f>
        <v>2382.661727351503</v>
      </c>
      <c r="AH24" s="64">
        <f>$P24/10/(1+VLOOKUP($I24,技能效果!$B$2:$D$101,3,FALSE))*怪物属性规划!B$18*S24+X24</f>
        <v>354.22932330827064</v>
      </c>
      <c r="AI24" s="64">
        <f>$P24/10/(1+VLOOKUP($I24,技能效果!$B$2:$D$101,3,FALSE))*怪物属性规划!C$18*T24+Y24</f>
        <v>354.22932330827064</v>
      </c>
      <c r="AJ24" s="64">
        <f>$P24/10/(1+VLOOKUP($I24,技能效果!$B$2:$D$101,3,FALSE))*怪物属性规划!D$18*U24+Z24</f>
        <v>283.38345864661653</v>
      </c>
      <c r="AK24" s="64">
        <f>$P24/10/(1+VLOOKUP($I24,技能效果!$B$2:$D$101,3,FALSE))*怪物属性规划!E$18*V24+AA24</f>
        <v>283.38345864661653</v>
      </c>
      <c r="AL24" s="67">
        <f>INDEX(角色属性!BB$8:BB$107,MATCH($D24,角色属性!$I$8:$I$107,0),1)</f>
        <v>1.1600000000000001</v>
      </c>
      <c r="AM24" s="64">
        <f>INDEX(角色属性!BC$8:BC$107,MATCH($D24,角色属性!$I$8:$I$107,0),1)</f>
        <v>410</v>
      </c>
      <c r="AN24" s="64">
        <f>INDEX(角色属性!BD$8:BD$107,MATCH($D24,角色属性!$I$8:$I$107,0),1)</f>
        <v>260</v>
      </c>
      <c r="AO24" s="69">
        <f t="shared" si="6"/>
        <v>0.66820677484016577</v>
      </c>
      <c r="AP24" s="69">
        <f t="shared" si="7"/>
        <v>0.74153033322519357</v>
      </c>
      <c r="AQ24" s="64">
        <f>AL24*角色属性!$BA$1*(AC24*(1-AO24)+MAX(AF24-AJ24,0))</f>
        <v>492.64658071732191</v>
      </c>
      <c r="AR24" s="64">
        <f>角色属性!$BA$1*(AH24*(1-AP24)+MAX(AK24-AE24,0))</f>
        <v>237.88198760794083</v>
      </c>
      <c r="AS24" s="73">
        <f t="shared" si="8"/>
        <v>2.686917988372798</v>
      </c>
      <c r="AT24" s="73">
        <f t="shared" si="9"/>
        <v>1.7912786589151988</v>
      </c>
      <c r="AU24" s="73">
        <f t="shared" si="10"/>
        <v>1.343458994186399</v>
      </c>
      <c r="AV24" s="73">
        <f t="shared" si="1"/>
        <v>26.904096709280896</v>
      </c>
      <c r="AW24" s="73">
        <f t="shared" si="11"/>
        <v>17.936064472853932</v>
      </c>
      <c r="AX24" s="2" t="str">
        <f t="shared" si="12"/>
        <v>r_guanqia_22</v>
      </c>
      <c r="AY24" s="2">
        <f>ROUND(($P24*R24/10/$H24/(1+VLOOKUP($I24,技能效果!$B$2:$D$101,3,FALSE))-1)*10000,0)</f>
        <v>767</v>
      </c>
      <c r="AZ24" s="2">
        <f>ROUND(($P24*S24/10/$H24/(1+VLOOKUP($I24,技能效果!$B$2:$D$101,3,FALSE))-1)*10000,0)</f>
        <v>767</v>
      </c>
      <c r="BA24" s="2">
        <f>ROUND(($P24*T24/10/$H24/(1+VLOOKUP($I24,技能效果!$B$2:$D$101,3,FALSE))-1)*10000,0)</f>
        <v>767</v>
      </c>
      <c r="BB24" s="2">
        <f>ROUND(($P24*U24/10/$H24/(1+VLOOKUP($I24,技能效果!$B$2:$D$101,3,FALSE))-1)*10000,0)</f>
        <v>767</v>
      </c>
      <c r="BC24" s="2">
        <f>ROUND(($P24*V24/10/$H24/(1+VLOOKUP($I24,技能效果!$B$2:$D$101,3,FALSE))-1)*10000,0)</f>
        <v>767</v>
      </c>
    </row>
    <row r="25" spans="2:65" x14ac:dyDescent="0.15">
      <c r="B25" s="83"/>
      <c r="C25" s="2">
        <v>23</v>
      </c>
      <c r="D25" s="2">
        <f t="shared" si="16"/>
        <v>18</v>
      </c>
      <c r="E25" s="2">
        <v>0.95</v>
      </c>
      <c r="F25" s="28">
        <f>INDEX([3]宠物属性!$AL$8:$AL$107,MATCH(D25,[3]宠物属性!$I$8:$I$107,0),1)</f>
        <v>3059.2266666666669</v>
      </c>
      <c r="G25" s="68">
        <f>F25/INDEX(角色属性!$AI$8:$AI$107,MATCH(D25,角色属性!$I$8:$I$107,0),1)*E25</f>
        <v>0.82461279461279458</v>
      </c>
      <c r="H25" s="2">
        <f>INDEX(角色属性!$AL$8:$AL$107,MATCH(D25,角色属性!$I$8:$I$107,0),1)</f>
        <v>358</v>
      </c>
      <c r="I25" s="2">
        <f>INDEX(角色属性!$Y$8:$Y$107,MATCH(D25,角色属性!$I$8:$I$107,0),1)</f>
        <v>18</v>
      </c>
      <c r="J25" s="28">
        <f>H25*10*(1+VLOOKUP(I25,技能效果!$B$2:$D$101,3,FALSE))</f>
        <v>3823.44</v>
      </c>
      <c r="K25" s="28">
        <f>H25*10*(1+VLOOKUP(I25,技能效果!$B$2:$D$101,3,FALSE))*(1+G25)</f>
        <v>6976.2975434343434</v>
      </c>
      <c r="L25" s="2">
        <f t="shared" si="2"/>
        <v>30</v>
      </c>
      <c r="M25" s="28">
        <f t="shared" si="3"/>
        <v>6850.0000000000009</v>
      </c>
      <c r="N25" s="28">
        <f t="shared" si="4"/>
        <v>14316.432111000993</v>
      </c>
      <c r="O25" s="62">
        <v>7865</v>
      </c>
      <c r="P25" s="62">
        <f t="shared" si="15"/>
        <v>4003</v>
      </c>
      <c r="Q25" s="64">
        <f t="shared" si="13"/>
        <v>207</v>
      </c>
      <c r="R25" s="67">
        <v>1</v>
      </c>
      <c r="S25" s="67">
        <v>1</v>
      </c>
      <c r="T25" s="67">
        <v>1</v>
      </c>
      <c r="U25" s="67">
        <v>1</v>
      </c>
      <c r="V25" s="67">
        <v>1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64">
        <f>INDEX(角色属性!AM$8:AM$107,MATCH($D25,角色属性!$I$8:$I$107,0),1)</f>
        <v>6600</v>
      </c>
      <c r="AC25" s="64">
        <f>INDEX(角色属性!AN$8:AN$107,MATCH($D25,角色属性!$I$8:$I$107,0),1)</f>
        <v>660</v>
      </c>
      <c r="AD25" s="64">
        <f>INDEX(角色属性!AO$8:AO$107,MATCH($D25,角色属性!$I$8:$I$107,0),1)</f>
        <v>330</v>
      </c>
      <c r="AE25" s="64">
        <f>INDEX(角色属性!AP$8:AP$107,MATCH($D25,角色属性!$I$8:$I$107,0),1)</f>
        <v>264</v>
      </c>
      <c r="AF25" s="64">
        <f>INDEX(角色属性!AQ$8:AQ$107,MATCH($D25,角色属性!$I$8:$I$107,0),1)</f>
        <v>264</v>
      </c>
      <c r="AG25" s="64">
        <f>$P25/10/(1+VLOOKUP(I25,技能效果!$B$2:$D$101,3,FALSE))*怪物属性规划!A$18*INDEX(怪物属性等级系数!$A$2:$A$101,MATCH(D25,怪物属性等级系数!$D$2:$D$101,0),1)*R25+W25</f>
        <v>2566.2962565371258</v>
      </c>
      <c r="AH25" s="64">
        <f>$P25/10/(1+VLOOKUP($I25,技能效果!$B$2:$D$101,3,FALSE))*怪物属性规划!B$18*S25+X25</f>
        <v>374.81273408239701</v>
      </c>
      <c r="AI25" s="64">
        <f>$P25/10/(1+VLOOKUP($I25,技能效果!$B$2:$D$101,3,FALSE))*怪物属性规划!C$18*T25+Y25</f>
        <v>374.81273408239701</v>
      </c>
      <c r="AJ25" s="64">
        <f>$P25/10/(1+VLOOKUP($I25,技能效果!$B$2:$D$101,3,FALSE))*怪物属性规划!D$18*U25+Z25</f>
        <v>299.85018726591761</v>
      </c>
      <c r="AK25" s="64">
        <f>$P25/10/(1+VLOOKUP($I25,技能效果!$B$2:$D$101,3,FALSE))*怪物属性规划!E$18*V25+AA25</f>
        <v>299.85018726591761</v>
      </c>
      <c r="AL25" s="67">
        <f>INDEX(角色属性!BB$8:BB$107,MATCH($D25,角色属性!$I$8:$I$107,0),1)</f>
        <v>1.1700000000000002</v>
      </c>
      <c r="AM25" s="64">
        <f>INDEX(角色属性!BC$8:BC$107,MATCH($D25,角色属性!$I$8:$I$107,0),1)</f>
        <v>452</v>
      </c>
      <c r="AN25" s="64">
        <f>INDEX(角色属性!BD$8:BD$107,MATCH($D25,角色属性!$I$8:$I$107,0),1)</f>
        <v>266</v>
      </c>
      <c r="AO25" s="69">
        <f t="shared" si="6"/>
        <v>0.6590453127880751</v>
      </c>
      <c r="AP25" s="69">
        <f t="shared" si="7"/>
        <v>0.74305245950364085</v>
      </c>
      <c r="AQ25" s="64">
        <f>AL25*角色属性!$BA$1*(AC25*(1-AO25)+MAX(AF25-AJ25,0))</f>
        <v>526.57041893009693</v>
      </c>
      <c r="AR25" s="64">
        <f>角色属性!$BA$1*(AH25*(1-AP25)+MAX(AK25-AE25,0))</f>
        <v>264.31479487021079</v>
      </c>
      <c r="AS25" s="73">
        <f t="shared" si="8"/>
        <v>2.7075583649712995</v>
      </c>
      <c r="AT25" s="73">
        <f t="shared" si="9"/>
        <v>1.8050389099808664</v>
      </c>
      <c r="AU25" s="73">
        <f t="shared" si="10"/>
        <v>1.3537791824856498</v>
      </c>
      <c r="AV25" s="73">
        <f t="shared" si="1"/>
        <v>24.970225383111323</v>
      </c>
      <c r="AW25" s="73">
        <f t="shared" si="11"/>
        <v>16.646816922074215</v>
      </c>
      <c r="AX25" s="2" t="str">
        <f t="shared" si="12"/>
        <v>r_guanqia_23</v>
      </c>
      <c r="AY25" s="2">
        <f>ROUND(($P25*R25/10/$H25/(1+VLOOKUP($I25,技能效果!$B$2:$D$101,3,FALSE))-1)*10000,0)</f>
        <v>470</v>
      </c>
      <c r="AZ25" s="2">
        <f>ROUND(($P25*S25/10/$H25/(1+VLOOKUP($I25,技能效果!$B$2:$D$101,3,FALSE))-1)*10000,0)</f>
        <v>470</v>
      </c>
      <c r="BA25" s="2">
        <f>ROUND(($P25*T25/10/$H25/(1+VLOOKUP($I25,技能效果!$B$2:$D$101,3,FALSE))-1)*10000,0)</f>
        <v>470</v>
      </c>
      <c r="BB25" s="2">
        <f>ROUND(($P25*U25/10/$H25/(1+VLOOKUP($I25,技能效果!$B$2:$D$101,3,FALSE))-1)*10000,0)</f>
        <v>470</v>
      </c>
      <c r="BC25" s="2">
        <f>ROUND(($P25*V25/10/$H25/(1+VLOOKUP($I25,技能效果!$B$2:$D$101,3,FALSE))-1)*10000,0)</f>
        <v>470</v>
      </c>
    </row>
    <row r="26" spans="2:65" x14ac:dyDescent="0.15">
      <c r="B26" s="83"/>
      <c r="C26" s="2">
        <v>24</v>
      </c>
      <c r="D26" s="2">
        <v>19</v>
      </c>
      <c r="E26" s="2">
        <v>1</v>
      </c>
      <c r="F26" s="28">
        <f>INDEX([3]宠物属性!$AL$8:$AL$107,MATCH(D26,[3]宠物属性!$I$8:$I$107,0),1)</f>
        <v>3151.6800000000003</v>
      </c>
      <c r="G26" s="68">
        <f>F26/INDEX(角色属性!$AI$8:$AI$107,MATCH(D26,角色属性!$I$8:$I$107,0),1)*E26</f>
        <v>0.8621700879765396</v>
      </c>
      <c r="H26" s="2">
        <f>INDEX(角色属性!$AL$8:$AL$107,MATCH(D26,角色属性!$I$8:$I$107,0),1)</f>
        <v>389</v>
      </c>
      <c r="I26" s="2">
        <f>INDEX(角色属性!$Y$8:$Y$107,MATCH(D26,角色属性!$I$8:$I$107,0),1)</f>
        <v>19</v>
      </c>
      <c r="J26" s="28">
        <f>H26*10*(1+VLOOKUP(I26,技能效果!$B$2:$D$101,3,FALSE))</f>
        <v>4170.08</v>
      </c>
      <c r="K26" s="28">
        <f>H26*10*(1+VLOOKUP(I26,技能效果!$B$2:$D$101,3,FALSE))*(1+G26)</f>
        <v>7765.3982404692088</v>
      </c>
      <c r="L26" s="2">
        <f t="shared" si="2"/>
        <v>30</v>
      </c>
      <c r="M26" s="28">
        <f t="shared" si="3"/>
        <v>6850.0000000000009</v>
      </c>
      <c r="N26" s="28">
        <f t="shared" si="4"/>
        <v>14316.432111000993</v>
      </c>
      <c r="O26" s="62">
        <v>9226</v>
      </c>
      <c r="P26" s="62">
        <f t="shared" si="15"/>
        <v>4304</v>
      </c>
      <c r="Q26" s="64">
        <f t="shared" si="13"/>
        <v>1361</v>
      </c>
      <c r="R26" s="67">
        <v>1</v>
      </c>
      <c r="S26" s="67">
        <v>1</v>
      </c>
      <c r="T26" s="67">
        <v>1</v>
      </c>
      <c r="U26" s="67">
        <v>1</v>
      </c>
      <c r="V26" s="67">
        <v>1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64">
        <f>INDEX(角色属性!AM$8:AM$107,MATCH($D26,角色属性!$I$8:$I$107,0),1)</f>
        <v>6820</v>
      </c>
      <c r="AC26" s="64">
        <f>INDEX(角色属性!AN$8:AN$107,MATCH($D26,角色属性!$I$8:$I$107,0),1)</f>
        <v>682</v>
      </c>
      <c r="AD26" s="64">
        <f>INDEX(角色属性!AO$8:AO$107,MATCH($D26,角色属性!$I$8:$I$107,0),1)</f>
        <v>341</v>
      </c>
      <c r="AE26" s="64">
        <f>INDEX(角色属性!AP$8:AP$107,MATCH($D26,角色属性!$I$8:$I$107,0),1)</f>
        <v>272.8</v>
      </c>
      <c r="AF26" s="64">
        <f>INDEX(角色属性!AQ$8:AQ$107,MATCH($D26,角色属性!$I$8:$I$107,0),1)</f>
        <v>272.8</v>
      </c>
      <c r="AG26" s="64">
        <f>$P26/10/(1+VLOOKUP(I26,技能效果!$B$2:$D$101,3,FALSE))*怪物属性规划!A$18*INDEX(怪物属性等级系数!$A$2:$A$101,MATCH(D26,怪物属性等级系数!$D$2:$D$101,0),1)*R26+W26</f>
        <v>2796.4069567399415</v>
      </c>
      <c r="AH26" s="64">
        <f>$P26/10/(1+VLOOKUP($I26,技能效果!$B$2:$D$101,3,FALSE))*怪物属性规划!B$18*S26+X26</f>
        <v>401.49253731343276</v>
      </c>
      <c r="AI26" s="64">
        <f>$P26/10/(1+VLOOKUP($I26,技能效果!$B$2:$D$101,3,FALSE))*怪物属性规划!C$18*T26+Y26</f>
        <v>401.49253731343276</v>
      </c>
      <c r="AJ26" s="64">
        <f>$P26/10/(1+VLOOKUP($I26,技能效果!$B$2:$D$101,3,FALSE))*怪物属性规划!D$18*U26+Z26</f>
        <v>321.19402985074623</v>
      </c>
      <c r="AK26" s="64">
        <f>$P26/10/(1+VLOOKUP($I26,技能效果!$B$2:$D$101,3,FALSE))*怪物属性规划!E$18*V26+AA26</f>
        <v>321.19402985074623</v>
      </c>
      <c r="AL26" s="67">
        <f>INDEX(角色属性!BB$8:BB$107,MATCH($D26,角色属性!$I$8:$I$107,0),1)</f>
        <v>1.1800000000000002</v>
      </c>
      <c r="AM26" s="64">
        <f>INDEX(角色属性!BC$8:BC$107,MATCH($D26,角色属性!$I$8:$I$107,0),1)</f>
        <v>497</v>
      </c>
      <c r="AN26" s="64">
        <f>INDEX(角色属性!BD$8:BD$107,MATCH($D26,角色属性!$I$8:$I$107,0),1)</f>
        <v>271</v>
      </c>
      <c r="AO26" s="69">
        <f t="shared" si="6"/>
        <v>0.65314612109751569</v>
      </c>
      <c r="AP26" s="69">
        <f t="shared" si="7"/>
        <v>0.74574803339026674</v>
      </c>
      <c r="AQ26" s="64">
        <f>AL26*角色属性!$BA$1*(AC26*(1-AO26)+MAX(AF26-AJ26,0))</f>
        <v>558.26825517112661</v>
      </c>
      <c r="AR26" s="64">
        <f>角色属性!$BA$1*(AH26*(1-AP26)+MAX(AK26-AE26,0))</f>
        <v>300.94859408363641</v>
      </c>
      <c r="AS26" s="73">
        <f t="shared" si="8"/>
        <v>2.782818843845714</v>
      </c>
      <c r="AT26" s="73">
        <f t="shared" si="9"/>
        <v>1.8552125625638092</v>
      </c>
      <c r="AU26" s="73">
        <f t="shared" si="10"/>
        <v>1.391409421922857</v>
      </c>
      <c r="AV26" s="73">
        <f t="shared" si="1"/>
        <v>22.661677555817583</v>
      </c>
      <c r="AW26" s="73">
        <f t="shared" si="11"/>
        <v>15.107785037211723</v>
      </c>
      <c r="AX26" s="2" t="str">
        <f t="shared" si="12"/>
        <v>r_guanqia_24</v>
      </c>
      <c r="AY26" s="2">
        <f>ROUND(($P26*R26/10/$H26/(1+VLOOKUP($I26,技能效果!$B$2:$D$101,3,FALSE))-1)*10000,0)</f>
        <v>321</v>
      </c>
      <c r="AZ26" s="2">
        <f>ROUND(($P26*S26/10/$H26/(1+VLOOKUP($I26,技能效果!$B$2:$D$101,3,FALSE))-1)*10000,0)</f>
        <v>321</v>
      </c>
      <c r="BA26" s="2">
        <f>ROUND(($P26*T26/10/$H26/(1+VLOOKUP($I26,技能效果!$B$2:$D$101,3,FALSE))-1)*10000,0)</f>
        <v>321</v>
      </c>
      <c r="BB26" s="2">
        <f>ROUND(($P26*U26/10/$H26/(1+VLOOKUP($I26,技能效果!$B$2:$D$101,3,FALSE))-1)*10000,0)</f>
        <v>321</v>
      </c>
      <c r="BC26" s="2">
        <f>ROUND(($P26*V26/10/$H26/(1+VLOOKUP($I26,技能效果!$B$2:$D$101,3,FALSE))-1)*10000,0)</f>
        <v>321</v>
      </c>
    </row>
    <row r="27" spans="2:65" x14ac:dyDescent="0.15">
      <c r="B27" s="83"/>
      <c r="C27" s="2">
        <v>25</v>
      </c>
      <c r="D27" s="2">
        <v>20</v>
      </c>
      <c r="E27" s="2">
        <v>1.05</v>
      </c>
      <c r="F27" s="28">
        <f>INDEX([3]宠物属性!$AL$8:$AL$107,MATCH(D27,[3]宠物属性!$I$8:$I$107,0),1)</f>
        <v>4074.4533333333338</v>
      </c>
      <c r="G27" s="68">
        <f>F27/INDEX(角色属性!$AI$8:$AI$107,MATCH(D27,角色属性!$I$8:$I$107,0),1)*E27</f>
        <v>0.94218009478673004</v>
      </c>
      <c r="H27" s="2">
        <f>INDEX(角色属性!$AL$8:$AL$107,MATCH(D27,角色属性!$I$8:$I$107,0),1)</f>
        <v>422</v>
      </c>
      <c r="I27" s="2">
        <f>INDEX(角色属性!$Y$8:$Y$107,MATCH(D27,角色属性!$I$8:$I$107,0),1)</f>
        <v>20</v>
      </c>
      <c r="J27" s="28">
        <f>H27*10*(1+VLOOKUP(I27,技能效果!$B$2:$D$101,3,FALSE))</f>
        <v>4540.72</v>
      </c>
      <c r="K27" s="28">
        <f>H27*10*(1+VLOOKUP(I27,技能效果!$B$2:$D$101,3,FALSE))*(1+G27)</f>
        <v>8818.8960000000006</v>
      </c>
      <c r="L27" s="2">
        <f t="shared" si="2"/>
        <v>30</v>
      </c>
      <c r="M27" s="28">
        <f t="shared" si="3"/>
        <v>6850.0000000000009</v>
      </c>
      <c r="N27" s="28">
        <f t="shared" si="4"/>
        <v>14316.432111000993</v>
      </c>
      <c r="O27" s="62">
        <f t="shared" ref="O16:O77" si="17">ROUND((N27-N17)*VLOOKUP(INT(RIGHT(C27,1)),$BF$4:$BH$13,3,FALSE)+N17,0)</f>
        <v>9459</v>
      </c>
      <c r="P27" s="62">
        <f t="shared" si="15"/>
        <v>4907</v>
      </c>
      <c r="Q27" s="64">
        <f t="shared" si="13"/>
        <v>233</v>
      </c>
      <c r="R27" s="67">
        <v>1</v>
      </c>
      <c r="S27" s="67">
        <v>1</v>
      </c>
      <c r="T27" s="67">
        <v>1</v>
      </c>
      <c r="U27" s="67">
        <v>1</v>
      </c>
      <c r="V27" s="67">
        <v>1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64">
        <f>INDEX(角色属性!AM$8:AM$107,MATCH($D27,角色属性!$I$8:$I$107,0),1)</f>
        <v>8440</v>
      </c>
      <c r="AC27" s="64">
        <f>INDEX(角色属性!AN$8:AN$107,MATCH($D27,角色属性!$I$8:$I$107,0),1)</f>
        <v>844</v>
      </c>
      <c r="AD27" s="64">
        <f>INDEX(角色属性!AO$8:AO$107,MATCH($D27,角色属性!$I$8:$I$107,0),1)</f>
        <v>422</v>
      </c>
      <c r="AE27" s="64">
        <f>INDEX(角色属性!AP$8:AP$107,MATCH($D27,角色属性!$I$8:$I$107,0),1)</f>
        <v>337.6</v>
      </c>
      <c r="AF27" s="64">
        <f>INDEX(角色属性!AQ$8:AQ$107,MATCH($D27,角色属性!$I$8:$I$107,0),1)</f>
        <v>337.6</v>
      </c>
      <c r="AG27" s="64">
        <f>$P27/10/(1+VLOOKUP(I27,技能效果!$B$2:$D$101,3,FALSE))*怪物属性规划!A$18*INDEX(怪物属性等级系数!$A$2:$A$101,MATCH(D27,怪物属性等级系数!$D$2:$D$101,0),1)*R27+W27</f>
        <v>3229.1560813594865</v>
      </c>
      <c r="AH27" s="64">
        <f>$P27/10/(1+VLOOKUP($I27,技能效果!$B$2:$D$101,3,FALSE))*怪物属性规划!B$18*S27+X27</f>
        <v>456.04089219330854</v>
      </c>
      <c r="AI27" s="64">
        <f>$P27/10/(1+VLOOKUP($I27,技能效果!$B$2:$D$101,3,FALSE))*怪物属性规划!C$18*T27+Y27</f>
        <v>456.04089219330854</v>
      </c>
      <c r="AJ27" s="64">
        <f>$P27/10/(1+VLOOKUP($I27,技能效果!$B$2:$D$101,3,FALSE))*怪物属性规划!D$18*U27+Z27</f>
        <v>364.83271375464687</v>
      </c>
      <c r="AK27" s="64">
        <f>$P27/10/(1+VLOOKUP($I27,技能效果!$B$2:$D$101,3,FALSE))*怪物属性规划!E$18*V27+AA27</f>
        <v>364.83271375464687</v>
      </c>
      <c r="AL27" s="67">
        <f>INDEX(角色属性!BB$8:BB$107,MATCH($D27,角色属性!$I$8:$I$107,0),1)</f>
        <v>1.1900000000000002</v>
      </c>
      <c r="AM27" s="64">
        <f>INDEX(角色属性!BC$8:BC$107,MATCH($D27,角色属性!$I$8:$I$107,0),1)</f>
        <v>547</v>
      </c>
      <c r="AN27" s="64">
        <f>INDEX(角色属性!BD$8:BD$107,MATCH($D27,角色属性!$I$8:$I$107,0),1)</f>
        <v>355</v>
      </c>
      <c r="AO27" s="69">
        <f t="shared" si="6"/>
        <v>0.6602552806603782</v>
      </c>
      <c r="AP27" s="69">
        <f t="shared" si="7"/>
        <v>0.73481398932604325</v>
      </c>
      <c r="AQ27" s="64">
        <f>AL27*角色属性!$BA$1*(AC27*(1-AO27)+MAX(AF27-AJ27,0))</f>
        <v>682.45201263188517</v>
      </c>
      <c r="AR27" s="64">
        <f>角色属性!$BA$1*(AH27*(1-AP27)+MAX(AK27-AE27,0))</f>
        <v>296.33675731916469</v>
      </c>
      <c r="AS27" s="73">
        <f t="shared" si="8"/>
        <v>2.6287205071559239</v>
      </c>
      <c r="AT27" s="73">
        <f t="shared" si="9"/>
        <v>1.7524803381039493</v>
      </c>
      <c r="AU27" s="73">
        <f t="shared" si="10"/>
        <v>1.3143602535779619</v>
      </c>
      <c r="AV27" s="73">
        <f t="shared" si="1"/>
        <v>28.481110734804442</v>
      </c>
      <c r="AW27" s="73">
        <f t="shared" si="11"/>
        <v>18.987407156536293</v>
      </c>
      <c r="AX27" s="2" t="str">
        <f t="shared" si="12"/>
        <v>r_guanqia_25</v>
      </c>
      <c r="AY27" s="2">
        <f>ROUND(($P27*R27/10/$H27/(1+VLOOKUP($I27,技能效果!$B$2:$D$101,3,FALSE))-1)*10000,0)</f>
        <v>807</v>
      </c>
      <c r="AZ27" s="2">
        <f>ROUND(($P27*S27/10/$H27/(1+VLOOKUP($I27,技能效果!$B$2:$D$101,3,FALSE))-1)*10000,0)</f>
        <v>807</v>
      </c>
      <c r="BA27" s="2">
        <f>ROUND(($P27*T27/10/$H27/(1+VLOOKUP($I27,技能效果!$B$2:$D$101,3,FALSE))-1)*10000,0)</f>
        <v>807</v>
      </c>
      <c r="BB27" s="2">
        <f>ROUND(($P27*U27/10/$H27/(1+VLOOKUP($I27,技能效果!$B$2:$D$101,3,FALSE))-1)*10000,0)</f>
        <v>807</v>
      </c>
      <c r="BC27" s="2">
        <f>ROUND(($P27*V27/10/$H27/(1+VLOOKUP($I27,技能效果!$B$2:$D$101,3,FALSE))-1)*10000,0)</f>
        <v>807</v>
      </c>
    </row>
    <row r="28" spans="2:65" x14ac:dyDescent="0.15">
      <c r="B28" s="83"/>
      <c r="C28" s="2">
        <v>26</v>
      </c>
      <c r="D28" s="2">
        <f t="shared" si="16"/>
        <v>19</v>
      </c>
      <c r="E28" s="2">
        <v>1.1000000000000001</v>
      </c>
      <c r="F28" s="28">
        <f>INDEX([3]宠物属性!$AL$8:$AL$107,MATCH(D28,[3]宠物属性!$I$8:$I$107,0),1)</f>
        <v>3151.6800000000003</v>
      </c>
      <c r="G28" s="68">
        <f>F28/INDEX(角色属性!$AI$8:$AI$107,MATCH(D28,角色属性!$I$8:$I$107,0),1)*E28</f>
        <v>0.94838709677419364</v>
      </c>
      <c r="H28" s="2">
        <f>INDEX(角色属性!$AL$8:$AL$107,MATCH(D28,角色属性!$I$8:$I$107,0),1)</f>
        <v>389</v>
      </c>
      <c r="I28" s="2">
        <f>INDEX(角色属性!$Y$8:$Y$107,MATCH(D28,角色属性!$I$8:$I$107,0),1)</f>
        <v>19</v>
      </c>
      <c r="J28" s="28">
        <f>H28*10*(1+VLOOKUP(I28,技能效果!$B$2:$D$101,3,FALSE))</f>
        <v>4170.08</v>
      </c>
      <c r="K28" s="28">
        <f>H28*10*(1+VLOOKUP(I28,技能效果!$B$2:$D$101,3,FALSE))*(1+G28)</f>
        <v>8124.9300645161293</v>
      </c>
      <c r="L28" s="2">
        <f t="shared" si="2"/>
        <v>30</v>
      </c>
      <c r="M28" s="28">
        <f t="shared" si="3"/>
        <v>6850.0000000000009</v>
      </c>
      <c r="N28" s="28">
        <f t="shared" si="4"/>
        <v>14316.432111000993</v>
      </c>
      <c r="O28" s="62">
        <f t="shared" si="17"/>
        <v>9794</v>
      </c>
      <c r="P28" s="62">
        <f t="shared" si="15"/>
        <v>5041</v>
      </c>
      <c r="Q28" s="64">
        <f t="shared" si="13"/>
        <v>335</v>
      </c>
      <c r="R28" s="67">
        <v>1</v>
      </c>
      <c r="S28" s="67">
        <v>1</v>
      </c>
      <c r="T28" s="67">
        <v>1</v>
      </c>
      <c r="U28" s="67">
        <v>1</v>
      </c>
      <c r="V28" s="67">
        <v>1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64">
        <f>INDEX(角色属性!AM$8:AM$107,MATCH($D28,角色属性!$I$8:$I$107,0),1)</f>
        <v>6820</v>
      </c>
      <c r="AC28" s="64">
        <f>INDEX(角色属性!AN$8:AN$107,MATCH($D28,角色属性!$I$8:$I$107,0),1)</f>
        <v>682</v>
      </c>
      <c r="AD28" s="64">
        <f>INDEX(角色属性!AO$8:AO$107,MATCH($D28,角色属性!$I$8:$I$107,0),1)</f>
        <v>341</v>
      </c>
      <c r="AE28" s="64">
        <f>INDEX(角色属性!AP$8:AP$107,MATCH($D28,角色属性!$I$8:$I$107,0),1)</f>
        <v>272.8</v>
      </c>
      <c r="AF28" s="64">
        <f>INDEX(角色属性!AQ$8:AQ$107,MATCH($D28,角色属性!$I$8:$I$107,0),1)</f>
        <v>272.8</v>
      </c>
      <c r="AG28" s="64">
        <f>$P28/10/(1+VLOOKUP(I28,技能效果!$B$2:$D$101,3,FALSE))*怪物属性规划!A$18*INDEX(怪物属性等级系数!$A$2:$A$101,MATCH(D28,怪物属性等级系数!$D$2:$D$101,0),1)*R28+W28</f>
        <v>3275.2526647133009</v>
      </c>
      <c r="AH28" s="64">
        <f>$P28/10/(1+VLOOKUP($I28,技能效果!$B$2:$D$101,3,FALSE))*怪物属性规划!B$18*S28+X28</f>
        <v>470.24253731343282</v>
      </c>
      <c r="AI28" s="64">
        <f>$P28/10/(1+VLOOKUP($I28,技能效果!$B$2:$D$101,3,FALSE))*怪物属性规划!C$18*T28+Y28</f>
        <v>470.24253731343282</v>
      </c>
      <c r="AJ28" s="64">
        <f>$P28/10/(1+VLOOKUP($I28,技能效果!$B$2:$D$101,3,FALSE))*怪物属性规划!D$18*U28+Z28</f>
        <v>376.19402985074629</v>
      </c>
      <c r="AK28" s="64">
        <f>$P28/10/(1+VLOOKUP($I28,技能效果!$B$2:$D$101,3,FALSE))*怪物属性规划!E$18*V28+AA28</f>
        <v>376.19402985074629</v>
      </c>
      <c r="AL28" s="67">
        <f>INDEX(角色属性!BB$8:BB$107,MATCH($D28,角色属性!$I$8:$I$107,0),1)</f>
        <v>1.1800000000000002</v>
      </c>
      <c r="AM28" s="64">
        <f>INDEX(角色属性!BC$8:BC$107,MATCH($D28,角色属性!$I$8:$I$107,0),1)</f>
        <v>497</v>
      </c>
      <c r="AN28" s="64">
        <f>INDEX(角色属性!BD$8:BD$107,MATCH($D28,角色属性!$I$8:$I$107,0),1)</f>
        <v>271</v>
      </c>
      <c r="AO28" s="69">
        <f t="shared" si="6"/>
        <v>0.68803676558374194</v>
      </c>
      <c r="AP28" s="69">
        <f t="shared" si="7"/>
        <v>0.74574803339026674</v>
      </c>
      <c r="AQ28" s="64">
        <f>AL28*角色属性!$BA$1*(AC28*(1-AO28)+MAX(AF28-AJ28,0))</f>
        <v>502.11106505765576</v>
      </c>
      <c r="AR28" s="64">
        <f>角色属性!$BA$1*(AH28*(1-AP28)+MAX(AK28-AE28,0))</f>
        <v>445.90823949247488</v>
      </c>
      <c r="AS28" s="73">
        <f t="shared" si="8"/>
        <v>3.6238691802593008</v>
      </c>
      <c r="AT28" s="73">
        <f t="shared" si="9"/>
        <v>2.415912786839534</v>
      </c>
      <c r="AU28" s="73">
        <f t="shared" si="10"/>
        <v>1.8119345901296504</v>
      </c>
      <c r="AV28" s="73">
        <f t="shared" si="1"/>
        <v>15.294626553127628</v>
      </c>
      <c r="AW28" s="73">
        <f t="shared" si="11"/>
        <v>10.196417702085085</v>
      </c>
      <c r="AX28" s="2" t="str">
        <f t="shared" si="12"/>
        <v>r_guanqia_26</v>
      </c>
      <c r="AY28" s="2">
        <f>ROUND(($P28*R28/10/$H28/(1+VLOOKUP($I28,技能效果!$B$2:$D$101,3,FALSE))-1)*10000,0)</f>
        <v>2088</v>
      </c>
      <c r="AZ28" s="2">
        <f>ROUND(($P28*S28/10/$H28/(1+VLOOKUP($I28,技能效果!$B$2:$D$101,3,FALSE))-1)*10000,0)</f>
        <v>2088</v>
      </c>
      <c r="BA28" s="2">
        <f>ROUND(($P28*T28/10/$H28/(1+VLOOKUP($I28,技能效果!$B$2:$D$101,3,FALSE))-1)*10000,0)</f>
        <v>2088</v>
      </c>
      <c r="BB28" s="2">
        <f>ROUND(($P28*U28/10/$H28/(1+VLOOKUP($I28,技能效果!$B$2:$D$101,3,FALSE))-1)*10000,0)</f>
        <v>2088</v>
      </c>
      <c r="BC28" s="2">
        <f>ROUND(($P28*V28/10/$H28/(1+VLOOKUP($I28,技能效果!$B$2:$D$101,3,FALSE))-1)*10000,0)</f>
        <v>2088</v>
      </c>
    </row>
    <row r="29" spans="2:65" x14ac:dyDescent="0.15">
      <c r="B29" s="83"/>
      <c r="C29" s="2">
        <v>27</v>
      </c>
      <c r="D29" s="2">
        <v>21</v>
      </c>
      <c r="E29" s="2">
        <v>1.1499999999999999</v>
      </c>
      <c r="F29" s="28">
        <f>INDEX([3]宠物属性!$AL$8:$AL$107,MATCH(D29,[3]宠物属性!$I$8:$I$107,0),1)</f>
        <v>4183.2000000000007</v>
      </c>
      <c r="G29" s="68">
        <f>F29/INDEX(角色属性!$AI$8:$AI$107,MATCH(D29,角色属性!$I$8:$I$107,0),1)*E29</f>
        <v>0.9357843137254902</v>
      </c>
      <c r="H29" s="2">
        <f>INDEX(角色属性!$AL$8:$AL$107,MATCH(D29,角色属性!$I$8:$I$107,0),1)</f>
        <v>458</v>
      </c>
      <c r="I29" s="2">
        <f>INDEX(角色属性!$Y$8:$Y$107,MATCH(D29,角色属性!$I$8:$I$107,0),1)</f>
        <v>21</v>
      </c>
      <c r="J29" s="28">
        <f>H29*10*(1+VLOOKUP(I29,技能效果!$B$2:$D$101,3,FALSE))</f>
        <v>4946.4000000000005</v>
      </c>
      <c r="K29" s="28">
        <f>H29*10*(1+VLOOKUP(I29,技能效果!$B$2:$D$101,3,FALSE))*(1+G29)</f>
        <v>9575.1635294117659</v>
      </c>
      <c r="L29" s="2">
        <f t="shared" si="2"/>
        <v>30</v>
      </c>
      <c r="M29" s="28">
        <f t="shared" si="3"/>
        <v>6850.0000000000009</v>
      </c>
      <c r="N29" s="28">
        <f t="shared" si="4"/>
        <v>14316.432111000993</v>
      </c>
      <c r="O29" s="62">
        <f t="shared" si="17"/>
        <v>10296</v>
      </c>
      <c r="P29" s="62">
        <f t="shared" si="15"/>
        <v>5242</v>
      </c>
      <c r="Q29" s="64">
        <f t="shared" si="13"/>
        <v>502</v>
      </c>
      <c r="R29" s="67">
        <v>1</v>
      </c>
      <c r="S29" s="67">
        <v>1</v>
      </c>
      <c r="T29" s="67">
        <v>1</v>
      </c>
      <c r="U29" s="67">
        <v>1</v>
      </c>
      <c r="V29" s="67">
        <v>1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64">
        <f>INDEX(角色属性!AM$8:AM$107,MATCH($D29,角色属性!$I$8:$I$107,0),1)</f>
        <v>9520</v>
      </c>
      <c r="AC29" s="64">
        <f>INDEX(角色属性!AN$8:AN$107,MATCH($D29,角色属性!$I$8:$I$107,0),1)</f>
        <v>952</v>
      </c>
      <c r="AD29" s="64">
        <f>INDEX(角色属性!AO$8:AO$107,MATCH($D29,角色属性!$I$8:$I$107,0),1)</f>
        <v>476</v>
      </c>
      <c r="AE29" s="64">
        <f>INDEX(角色属性!AP$8:AP$107,MATCH($D29,角色属性!$I$8:$I$107,0),1)</f>
        <v>380.8</v>
      </c>
      <c r="AF29" s="64">
        <f>INDEX(角色属性!AQ$8:AQ$107,MATCH($D29,角色属性!$I$8:$I$107,0),1)</f>
        <v>380.8</v>
      </c>
      <c r="AG29" s="64">
        <f>$P29/10/(1+VLOOKUP(I29,技能效果!$B$2:$D$101,3,FALSE))*怪物属性规划!A$18*INDEX(怪物属性等级系数!$A$2:$A$101,MATCH(D29,怪物属性等级系数!$D$2:$D$101,0),1)*R29+W29</f>
        <v>3495.4527653440459</v>
      </c>
      <c r="AH29" s="64">
        <f>$P29/10/(1+VLOOKUP($I29,技能效果!$B$2:$D$101,3,FALSE))*怪物属性规划!B$18*S29+X29</f>
        <v>485.37037037037038</v>
      </c>
      <c r="AI29" s="64">
        <f>$P29/10/(1+VLOOKUP($I29,技能效果!$B$2:$D$101,3,FALSE))*怪物属性规划!C$18*T29+Y29</f>
        <v>485.37037037037038</v>
      </c>
      <c r="AJ29" s="64">
        <f>$P29/10/(1+VLOOKUP($I29,技能效果!$B$2:$D$101,3,FALSE))*怪物属性规划!D$18*U29+Z29</f>
        <v>388.2962962962963</v>
      </c>
      <c r="AK29" s="64">
        <f>$P29/10/(1+VLOOKUP($I29,技能效果!$B$2:$D$101,3,FALSE))*怪物属性规划!E$18*V29+AA29</f>
        <v>388.2962962962963</v>
      </c>
      <c r="AL29" s="67">
        <f>INDEX(角色属性!BB$8:BB$107,MATCH($D29,角色属性!$I$8:$I$107,0),1)</f>
        <v>1.2000000000000002</v>
      </c>
      <c r="AM29" s="64">
        <f>INDEX(角色属性!BC$8:BC$107,MATCH($D29,角色属性!$I$8:$I$107,0),1)</f>
        <v>601</v>
      </c>
      <c r="AN29" s="64">
        <f>INDEX(角色属性!BD$8:BD$107,MATCH($D29,角色属性!$I$8:$I$107,0),1)</f>
        <v>370</v>
      </c>
      <c r="AO29" s="69">
        <f t="shared" si="6"/>
        <v>0.65308232181155912</v>
      </c>
      <c r="AP29" s="69">
        <f t="shared" si="7"/>
        <v>0.74992516503080042</v>
      </c>
      <c r="AQ29" s="64">
        <f>AL29*角色属性!$BA$1*(AC29*(1-AO29)+MAX(AF29-AJ29,0))</f>
        <v>792.63751112494981</v>
      </c>
      <c r="AR29" s="64">
        <f>角色属性!$BA$1*(AH29*(1-AP29)+MAX(AK29-AE29,0))</f>
        <v>257.75042313121185</v>
      </c>
      <c r="AS29" s="73">
        <f t="shared" si="8"/>
        <v>2.4499448685097547</v>
      </c>
      <c r="AT29" s="73">
        <f t="shared" si="9"/>
        <v>1.6332965790065035</v>
      </c>
      <c r="AU29" s="73">
        <f t="shared" si="10"/>
        <v>1.2249724342548773</v>
      </c>
      <c r="AV29" s="73">
        <f t="shared" si="1"/>
        <v>36.934953915298507</v>
      </c>
      <c r="AW29" s="73">
        <f t="shared" si="11"/>
        <v>24.623302610199005</v>
      </c>
      <c r="AX29" s="2" t="str">
        <f t="shared" si="12"/>
        <v>r_guanqia_27</v>
      </c>
      <c r="AY29" s="2">
        <f>ROUND(($P29*R29/10/$H29/(1+VLOOKUP($I29,技能效果!$B$2:$D$101,3,FALSE))-1)*10000,0)</f>
        <v>598</v>
      </c>
      <c r="AZ29" s="2">
        <f>ROUND(($P29*S29/10/$H29/(1+VLOOKUP($I29,技能效果!$B$2:$D$101,3,FALSE))-1)*10000,0)</f>
        <v>598</v>
      </c>
      <c r="BA29" s="2">
        <f>ROUND(($P29*T29/10/$H29/(1+VLOOKUP($I29,技能效果!$B$2:$D$101,3,FALSE))-1)*10000,0)</f>
        <v>598</v>
      </c>
      <c r="BB29" s="2">
        <f>ROUND(($P29*U29/10/$H29/(1+VLOOKUP($I29,技能效果!$B$2:$D$101,3,FALSE))-1)*10000,0)</f>
        <v>598</v>
      </c>
      <c r="BC29" s="2">
        <f>ROUND(($P29*V29/10/$H29/(1+VLOOKUP($I29,技能效果!$B$2:$D$101,3,FALSE))-1)*10000,0)</f>
        <v>598</v>
      </c>
    </row>
    <row r="30" spans="2:65" x14ac:dyDescent="0.15">
      <c r="B30" s="83"/>
      <c r="C30" s="2">
        <v>28</v>
      </c>
      <c r="D30" s="2">
        <v>22</v>
      </c>
      <c r="E30" s="2">
        <v>1.2</v>
      </c>
      <c r="F30" s="28">
        <f>INDEX([3]宠物属性!$AL$8:$AL$107,MATCH(D30,[3]宠物属性!$I$8:$I$107,0),1)</f>
        <v>4292.6400000000003</v>
      </c>
      <c r="G30" s="68">
        <f>F30/INDEX(角色属性!$AI$8:$AI$107,MATCH(D30,角色属性!$I$8:$I$107,0),1)*E30</f>
        <v>0.9561368209255533</v>
      </c>
      <c r="H30" s="2">
        <f>INDEX(角色属性!$AL$8:$AL$107,MATCH(D30,角色属性!$I$8:$I$107,0),1)</f>
        <v>496</v>
      </c>
      <c r="I30" s="2">
        <f>INDEX(角色属性!$Y$8:$Y$107,MATCH(D30,角色属性!$I$8:$I$107,0),1)</f>
        <v>22</v>
      </c>
      <c r="J30" s="28">
        <f>H30*10*(1+VLOOKUP(I30,技能效果!$B$2:$D$101,3,FALSE))</f>
        <v>5376.64</v>
      </c>
      <c r="K30" s="28">
        <f>H30*10*(1+VLOOKUP(I30,技能效果!$B$2:$D$101,3,FALSE))*(1+G30)</f>
        <v>10517.443476861166</v>
      </c>
      <c r="L30" s="2">
        <f t="shared" si="2"/>
        <v>30</v>
      </c>
      <c r="M30" s="28">
        <f t="shared" si="3"/>
        <v>6850.0000000000009</v>
      </c>
      <c r="N30" s="28">
        <f t="shared" si="4"/>
        <v>14316.432111000993</v>
      </c>
      <c r="O30" s="62">
        <f t="shared" si="17"/>
        <v>10966</v>
      </c>
      <c r="P30" s="62">
        <f t="shared" si="15"/>
        <v>5510</v>
      </c>
      <c r="Q30" s="64">
        <f t="shared" si="13"/>
        <v>670</v>
      </c>
      <c r="R30" s="67">
        <v>1</v>
      </c>
      <c r="S30" s="67">
        <v>1</v>
      </c>
      <c r="T30" s="67">
        <v>1</v>
      </c>
      <c r="U30" s="67">
        <v>1</v>
      </c>
      <c r="V30" s="67">
        <v>1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64">
        <f>INDEX(角色属性!AM$8:AM$107,MATCH($D30,角色属性!$I$8:$I$107,0),1)</f>
        <v>9940</v>
      </c>
      <c r="AC30" s="64">
        <f>INDEX(角色属性!AN$8:AN$107,MATCH($D30,角色属性!$I$8:$I$107,0),1)</f>
        <v>994</v>
      </c>
      <c r="AD30" s="64">
        <f>INDEX(角色属性!AO$8:AO$107,MATCH($D30,角色属性!$I$8:$I$107,0),1)</f>
        <v>497</v>
      </c>
      <c r="AE30" s="64">
        <f>INDEX(角色属性!AP$8:AP$107,MATCH($D30,角色属性!$I$8:$I$107,0),1)</f>
        <v>397.6</v>
      </c>
      <c r="AF30" s="64">
        <f>INDEX(角色属性!AQ$8:AQ$107,MATCH($D30,角色属性!$I$8:$I$107,0),1)</f>
        <v>397.6</v>
      </c>
      <c r="AG30" s="64">
        <f>$P30/10/(1+VLOOKUP(I30,技能效果!$B$2:$D$101,3,FALSE))*怪物属性规划!A$18*INDEX(怪物属性等级系数!$A$2:$A$101,MATCH(D30,怪物属性等级系数!$D$2:$D$101,0),1)*R30+W30</f>
        <v>3718.9560163808364</v>
      </c>
      <c r="AH30" s="64">
        <f>$P30/10/(1+VLOOKUP($I30,技能效果!$B$2:$D$101,3,FALSE))*怪物属性规划!B$18*S30+X30</f>
        <v>508.30258302583024</v>
      </c>
      <c r="AI30" s="64">
        <f>$P30/10/(1+VLOOKUP($I30,技能效果!$B$2:$D$101,3,FALSE))*怪物属性规划!C$18*T30+Y30</f>
        <v>508.30258302583024</v>
      </c>
      <c r="AJ30" s="64">
        <f>$P30/10/(1+VLOOKUP($I30,技能效果!$B$2:$D$101,3,FALSE))*怪物属性规划!D$18*U30+Z30</f>
        <v>406.64206642066421</v>
      </c>
      <c r="AK30" s="64">
        <f>$P30/10/(1+VLOOKUP($I30,技能效果!$B$2:$D$101,3,FALSE))*怪物属性规划!E$18*V30+AA30</f>
        <v>406.64206642066421</v>
      </c>
      <c r="AL30" s="67">
        <f>INDEX(角色属性!BB$8:BB$107,MATCH($D30,角色属性!$I$8:$I$107,0),1)</f>
        <v>1.2100000000000002</v>
      </c>
      <c r="AM30" s="64">
        <f>INDEX(角色属性!BC$8:BC$107,MATCH($D30,角色属性!$I$8:$I$107,0),1)</f>
        <v>660</v>
      </c>
      <c r="AN30" s="64">
        <f>INDEX(角色属性!BD$8:BD$107,MATCH($D30,角色属性!$I$8:$I$107,0),1)</f>
        <v>382</v>
      </c>
      <c r="AO30" s="69">
        <f t="shared" si="6"/>
        <v>0.64224821095991091</v>
      </c>
      <c r="AP30" s="69">
        <f t="shared" si="7"/>
        <v>0.75202987540816923</v>
      </c>
      <c r="AQ30" s="64">
        <f>AL30*角色属性!$BA$1*(AC30*(1-AO30)+MAX(AF30-AJ30,0))</f>
        <v>860.56477350015371</v>
      </c>
      <c r="AR30" s="64">
        <f>角色属性!$BA$1*(AH30*(1-AP30)+MAX(AK30-AE30,0))</f>
        <v>270.17184252785739</v>
      </c>
      <c r="AS30" s="73">
        <f t="shared" si="8"/>
        <v>2.4008496970702025</v>
      </c>
      <c r="AT30" s="73">
        <f t="shared" si="9"/>
        <v>1.6005664647134683</v>
      </c>
      <c r="AU30" s="73">
        <f t="shared" si="10"/>
        <v>1.2004248485351012</v>
      </c>
      <c r="AV30" s="73">
        <f t="shared" si="1"/>
        <v>36.791398788995146</v>
      </c>
      <c r="AW30" s="73">
        <f t="shared" si="11"/>
        <v>24.52759919266343</v>
      </c>
      <c r="AX30" s="2" t="str">
        <f t="shared" si="12"/>
        <v>r_guanqia_28</v>
      </c>
      <c r="AY30" s="2">
        <f>ROUND(($P30*R30/10/$H30/(1+VLOOKUP($I30,技能效果!$B$2:$D$101,3,FALSE))-1)*10000,0)</f>
        <v>248</v>
      </c>
      <c r="AZ30" s="2">
        <f>ROUND(($P30*S30/10/$H30/(1+VLOOKUP($I30,技能效果!$B$2:$D$101,3,FALSE))-1)*10000,0)</f>
        <v>248</v>
      </c>
      <c r="BA30" s="2">
        <f>ROUND(($P30*T30/10/$H30/(1+VLOOKUP($I30,技能效果!$B$2:$D$101,3,FALSE))-1)*10000,0)</f>
        <v>248</v>
      </c>
      <c r="BB30" s="2">
        <f>ROUND(($P30*U30/10/$H30/(1+VLOOKUP($I30,技能效果!$B$2:$D$101,3,FALSE))-1)*10000,0)</f>
        <v>248</v>
      </c>
      <c r="BC30" s="2">
        <f>ROUND(($P30*V30/10/$H30/(1+VLOOKUP($I30,技能效果!$B$2:$D$101,3,FALSE))-1)*10000,0)</f>
        <v>248</v>
      </c>
    </row>
    <row r="31" spans="2:65" x14ac:dyDescent="0.15">
      <c r="B31" s="83"/>
      <c r="C31" s="2">
        <v>29</v>
      </c>
      <c r="D31" s="2">
        <v>23</v>
      </c>
      <c r="E31" s="2">
        <v>1.25</v>
      </c>
      <c r="F31" s="28">
        <f>INDEX([3]宠物属性!$AL$8:$AL$107,MATCH(D31,[3]宠物属性!$I$8:$I$107,0),1)</f>
        <v>4402.7733333333335</v>
      </c>
      <c r="G31" s="68">
        <f>F31/INDEX(角色属性!$AI$8:$AI$107,MATCH(D31,角色属性!$I$8:$I$107,0),1)*E31</f>
        <v>0.97463070006422614</v>
      </c>
      <c r="H31" s="2">
        <f>INDEX(角色属性!$AL$8:$AL$107,MATCH(D31,角色属性!$I$8:$I$107,0),1)</f>
        <v>536</v>
      </c>
      <c r="I31" s="2">
        <f>INDEX(角色属性!$Y$8:$Y$107,MATCH(D31,角色属性!$I$8:$I$107,0),1)</f>
        <v>23</v>
      </c>
      <c r="J31" s="28">
        <f>H31*10*(1+VLOOKUP(I31,技能效果!$B$2:$D$101,3,FALSE))</f>
        <v>5831.68</v>
      </c>
      <c r="K31" s="28">
        <f>H31*10*(1+VLOOKUP(I31,技能效果!$B$2:$D$101,3,FALSE))*(1+G31)</f>
        <v>11515.414360950546</v>
      </c>
      <c r="L31" s="2">
        <f t="shared" si="2"/>
        <v>30</v>
      </c>
      <c r="M31" s="28">
        <f t="shared" si="3"/>
        <v>6850.0000000000009</v>
      </c>
      <c r="N31" s="28">
        <f t="shared" si="4"/>
        <v>14316.432111000993</v>
      </c>
      <c r="O31" s="62">
        <f t="shared" si="17"/>
        <v>11804</v>
      </c>
      <c r="P31" s="62">
        <f t="shared" si="15"/>
        <v>5845</v>
      </c>
      <c r="Q31" s="64">
        <f t="shared" si="13"/>
        <v>838</v>
      </c>
      <c r="R31" s="67">
        <v>1</v>
      </c>
      <c r="S31" s="67">
        <v>1</v>
      </c>
      <c r="T31" s="67">
        <v>1</v>
      </c>
      <c r="U31" s="67">
        <v>1</v>
      </c>
      <c r="V31" s="67">
        <v>1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64">
        <f>INDEX(角色属性!AM$8:AM$107,MATCH($D31,角色属性!$I$8:$I$107,0),1)</f>
        <v>10380</v>
      </c>
      <c r="AC31" s="64">
        <f>INDEX(角色属性!AN$8:AN$107,MATCH($D31,角色属性!$I$8:$I$107,0),1)</f>
        <v>1038</v>
      </c>
      <c r="AD31" s="64">
        <f>INDEX(角色属性!AO$8:AO$107,MATCH($D31,角色属性!$I$8:$I$107,0),1)</f>
        <v>519</v>
      </c>
      <c r="AE31" s="64">
        <f>INDEX(角色属性!AP$8:AP$107,MATCH($D31,角色属性!$I$8:$I$107,0),1)</f>
        <v>415.2</v>
      </c>
      <c r="AF31" s="64">
        <f>INDEX(角色属性!AQ$8:AQ$107,MATCH($D31,角色属性!$I$8:$I$107,0),1)</f>
        <v>415.2</v>
      </c>
      <c r="AG31" s="64">
        <f>$P31/10/(1+VLOOKUP(I31,技能效果!$B$2:$D$101,3,FALSE))*怪物属性规划!A$18*INDEX(怪物属性等级系数!$A$2:$A$101,MATCH(D31,怪物属性等级系数!$D$2:$D$101,0),1)*R31+W31</f>
        <v>3996.2804750381074</v>
      </c>
      <c r="AH31" s="64">
        <f>$P31/10/(1+VLOOKUP($I31,技能效果!$B$2:$D$101,3,FALSE))*怪物属性规划!B$18*S31+X31</f>
        <v>537.22426470588232</v>
      </c>
      <c r="AI31" s="64">
        <f>$P31/10/(1+VLOOKUP($I31,技能效果!$B$2:$D$101,3,FALSE))*怪物属性规划!C$18*T31+Y31</f>
        <v>537.22426470588232</v>
      </c>
      <c r="AJ31" s="64">
        <f>$P31/10/(1+VLOOKUP($I31,技能效果!$B$2:$D$101,3,FALSE))*怪物属性规划!D$18*U31+Z31</f>
        <v>429.77941176470586</v>
      </c>
      <c r="AK31" s="64">
        <f>$P31/10/(1+VLOOKUP($I31,技能效果!$B$2:$D$101,3,FALSE))*怪物属性规划!E$18*V31+AA31</f>
        <v>429.77941176470586</v>
      </c>
      <c r="AL31" s="67">
        <f>INDEX(角色属性!BB$8:BB$107,MATCH($D31,角色属性!$I$8:$I$107,0),1)</f>
        <v>1.2200000000000002</v>
      </c>
      <c r="AM31" s="64">
        <f>INDEX(角色属性!BC$8:BC$107,MATCH($D31,角色属性!$I$8:$I$107,0),1)</f>
        <v>722</v>
      </c>
      <c r="AN31" s="64">
        <f>INDEX(角色属性!BD$8:BD$107,MATCH($D31,角色属性!$I$8:$I$107,0),1)</f>
        <v>395</v>
      </c>
      <c r="AO31" s="69">
        <f t="shared" si="6"/>
        <v>0.63429539554804115</v>
      </c>
      <c r="AP31" s="69">
        <f t="shared" si="7"/>
        <v>0.7538619081857203</v>
      </c>
      <c r="AQ31" s="64">
        <f>AL31*角色属性!$BA$1*(AC31*(1-AO31)+MAX(AF31-AJ31,0))</f>
        <v>926.22736578756542</v>
      </c>
      <c r="AR31" s="64">
        <f>角色属性!$BA$1*(AH31*(1-AP31)+MAX(AK31-AE31,0))</f>
        <v>293.62153431148249</v>
      </c>
      <c r="AS31" s="73">
        <f t="shared" si="8"/>
        <v>2.3969879334949584</v>
      </c>
      <c r="AT31" s="73">
        <f t="shared" si="9"/>
        <v>1.5979919556633055</v>
      </c>
      <c r="AU31" s="73">
        <f t="shared" si="10"/>
        <v>1.1984939667474792</v>
      </c>
      <c r="AV31" s="73">
        <f t="shared" si="1"/>
        <v>35.351630541473114</v>
      </c>
      <c r="AW31" s="73">
        <f t="shared" si="11"/>
        <v>23.56775369431541</v>
      </c>
      <c r="AX31" s="2" t="str">
        <f t="shared" si="12"/>
        <v>r_guanqia_29</v>
      </c>
      <c r="AY31" s="2">
        <f>ROUND(($P31*R31/10/$H31/(1+VLOOKUP($I31,技能效果!$B$2:$D$101,3,FALSE))-1)*10000,0)</f>
        <v>23</v>
      </c>
      <c r="AZ31" s="2">
        <f>ROUND(($P31*S31/10/$H31/(1+VLOOKUP($I31,技能效果!$B$2:$D$101,3,FALSE))-1)*10000,0)</f>
        <v>23</v>
      </c>
      <c r="BA31" s="2">
        <f>ROUND(($P31*T31/10/$H31/(1+VLOOKUP($I31,技能效果!$B$2:$D$101,3,FALSE))-1)*10000,0)</f>
        <v>23</v>
      </c>
      <c r="BB31" s="2">
        <f>ROUND(($P31*U31/10/$H31/(1+VLOOKUP($I31,技能效果!$B$2:$D$101,3,FALSE))-1)*10000,0)</f>
        <v>23</v>
      </c>
      <c r="BC31" s="2">
        <f>ROUND(($P31*V31/10/$H31/(1+VLOOKUP($I31,技能效果!$B$2:$D$101,3,FALSE))-1)*10000,0)</f>
        <v>23</v>
      </c>
    </row>
    <row r="32" spans="2:65" x14ac:dyDescent="0.15">
      <c r="B32" s="83"/>
      <c r="C32" s="45">
        <v>30</v>
      </c>
      <c r="D32" s="45">
        <v>25</v>
      </c>
      <c r="E32" s="2">
        <v>1.3</v>
      </c>
      <c r="F32" s="28">
        <f>INDEX([3]宠物属性!$AL$8:$AL$107,MATCH(D32,[3]宠物属性!$I$8:$I$107,0),1)</f>
        <v>9272.16</v>
      </c>
      <c r="G32" s="68">
        <f>F32/INDEX(角色属性!$AI$8:$AI$107,MATCH(D32,角色属性!$I$8:$I$107,0),1)*E32</f>
        <v>1.089990089197225</v>
      </c>
      <c r="H32" s="2">
        <f>INDEX(角色属性!$AL$8:$AL$107,MATCH(D32,角色属性!$I$8:$I$107,0),1)</f>
        <v>625</v>
      </c>
      <c r="I32" s="2">
        <f>INDEX(角色属性!$Y$8:$Y$107,MATCH(D32,角色属性!$I$8:$I$107,0),1)</f>
        <v>25</v>
      </c>
      <c r="J32" s="28">
        <f>H32*10*(1+VLOOKUP(I32,技能效果!$B$2:$D$101,3,FALSE))</f>
        <v>6850.0000000000009</v>
      </c>
      <c r="K32" s="28">
        <f>H32*10*(1+VLOOKUP(I32,技能效果!$B$2:$D$101,3,FALSE))*(1+G32)</f>
        <v>14316.432111000993</v>
      </c>
      <c r="L32" s="2">
        <f t="shared" si="2"/>
        <v>30</v>
      </c>
      <c r="M32" s="28">
        <f t="shared" si="3"/>
        <v>6850.0000000000009</v>
      </c>
      <c r="N32" s="28">
        <f t="shared" si="4"/>
        <v>14316.432111000993</v>
      </c>
      <c r="O32" s="62">
        <f t="shared" si="17"/>
        <v>14316</v>
      </c>
      <c r="P32" s="62">
        <f t="shared" si="15"/>
        <v>6850</v>
      </c>
      <c r="Q32" s="64">
        <f t="shared" si="13"/>
        <v>2512</v>
      </c>
      <c r="R32" s="67">
        <v>1</v>
      </c>
      <c r="S32" s="67">
        <v>1</v>
      </c>
      <c r="T32" s="67">
        <v>1</v>
      </c>
      <c r="U32" s="67">
        <v>1</v>
      </c>
      <c r="V32" s="67">
        <v>1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64">
        <f>INDEX(角色属性!AM$8:AM$107,MATCH($D32,角色属性!$I$8:$I$107,0),1)</f>
        <v>20180</v>
      </c>
      <c r="AC32" s="64">
        <f>INDEX(角色属性!AN$8:AN$107,MATCH($D32,角色属性!$I$8:$I$107,0),1)</f>
        <v>2018</v>
      </c>
      <c r="AD32" s="64">
        <f>INDEX(角色属性!AO$8:AO$107,MATCH($D32,角色属性!$I$8:$I$107,0),1)</f>
        <v>1009</v>
      </c>
      <c r="AE32" s="64">
        <f>INDEX(角色属性!AP$8:AP$107,MATCH($D32,角色属性!$I$8:$I$107,0),1)</f>
        <v>807.2</v>
      </c>
      <c r="AF32" s="64">
        <f>INDEX(角色属性!AQ$8:AQ$107,MATCH($D32,角色属性!$I$8:$I$107,0),1)</f>
        <v>807.2</v>
      </c>
      <c r="AG32" s="64">
        <f>$P32/10/(1+VLOOKUP(I32,技能效果!$B$2:$D$101,3,FALSE))*怪物属性规划!A$18*INDEX(怪物属性等级系数!$A$2:$A$101,MATCH(D32,怪物属性等级系数!$D$2:$D$101,0),1)*R32+W32</f>
        <v>4808.2191621046986</v>
      </c>
      <c r="AH32" s="64">
        <f>$P32/10/(1+VLOOKUP($I32,技能效果!$B$2:$D$101,3,FALSE))*怪物属性规划!B$18*S32+X32</f>
        <v>625</v>
      </c>
      <c r="AI32" s="64">
        <f>$P32/10/(1+VLOOKUP($I32,技能效果!$B$2:$D$101,3,FALSE))*怪物属性规划!C$18*T32+Y32</f>
        <v>625</v>
      </c>
      <c r="AJ32" s="64">
        <f>$P32/10/(1+VLOOKUP($I32,技能效果!$B$2:$D$101,3,FALSE))*怪物属性规划!D$18*U32+Z32</f>
        <v>500</v>
      </c>
      <c r="AK32" s="64">
        <f>$P32/10/(1+VLOOKUP($I32,技能效果!$B$2:$D$101,3,FALSE))*怪物属性规划!E$18*V32+AA32</f>
        <v>500</v>
      </c>
      <c r="AL32" s="67">
        <f>INDEX(角色属性!BB$8:BB$107,MATCH($D32,角色属性!$I$8:$I$107,0),1)</f>
        <v>1.2400000000000002</v>
      </c>
      <c r="AM32" s="64">
        <f>INDEX(角色属性!BC$8:BC$107,MATCH($D32,角色属性!$I$8:$I$107,0),1)</f>
        <v>864</v>
      </c>
      <c r="AN32" s="64">
        <f>INDEX(角色属性!BD$8:BD$107,MATCH($D32,角色属性!$I$8:$I$107,0),1)</f>
        <v>515</v>
      </c>
      <c r="AO32" s="69">
        <f t="shared" si="6"/>
        <v>0.62772684541648927</v>
      </c>
      <c r="AP32" s="69">
        <f t="shared" si="7"/>
        <v>0.82036855606190573</v>
      </c>
      <c r="AQ32" s="64">
        <f>AL32*角色属性!$BA$1*(AC32*(1-AO32)+MAX(AF32-AJ32,0))</f>
        <v>2624.9491203548214</v>
      </c>
      <c r="AR32" s="64">
        <f>角色属性!$BA$1*(AH32*(1-AP32)+MAX(AK32-AE32,0))</f>
        <v>224.53930492261784</v>
      </c>
      <c r="AS32" s="73">
        <f t="shared" si="8"/>
        <v>1.0176322455632458</v>
      </c>
      <c r="AT32" s="73">
        <f t="shared" si="9"/>
        <v>0.67842149704216392</v>
      </c>
      <c r="AU32" s="73">
        <f t="shared" si="10"/>
        <v>0.50881612278162291</v>
      </c>
      <c r="AV32" s="73">
        <f t="shared" si="1"/>
        <v>89.872906692013501</v>
      </c>
      <c r="AW32" s="73">
        <f t="shared" si="11"/>
        <v>59.915271128008996</v>
      </c>
      <c r="AX32" s="2" t="str">
        <f t="shared" si="12"/>
        <v>r_guanqia_30</v>
      </c>
      <c r="AY32" s="2">
        <f>ROUND(($P32*R32/10/$H32/(1+VLOOKUP($I32,技能效果!$B$2:$D$101,3,FALSE))-1)*10000,0)</f>
        <v>0</v>
      </c>
      <c r="AZ32" s="2">
        <f>ROUND(($P32*S32/10/$H32/(1+VLOOKUP($I32,技能效果!$B$2:$D$101,3,FALSE))-1)*10000,0)</f>
        <v>0</v>
      </c>
      <c r="BA32" s="2">
        <f>ROUND(($P32*T32/10/$H32/(1+VLOOKUP($I32,技能效果!$B$2:$D$101,3,FALSE))-1)*10000,0)</f>
        <v>0</v>
      </c>
      <c r="BB32" s="2">
        <f>ROUND(($P32*U32/10/$H32/(1+VLOOKUP($I32,技能效果!$B$2:$D$101,3,FALSE))-1)*10000,0)</f>
        <v>0</v>
      </c>
      <c r="BC32" s="2">
        <f>ROUND(($P32*V32/10/$H32/(1+VLOOKUP($I32,技能效果!$B$2:$D$101,3,FALSE))-1)*10000,0)</f>
        <v>0</v>
      </c>
    </row>
    <row r="33" spans="2:55" x14ac:dyDescent="0.15">
      <c r="B33" s="83" t="s">
        <v>115</v>
      </c>
      <c r="C33" s="2">
        <v>31</v>
      </c>
      <c r="D33" s="2">
        <v>25</v>
      </c>
      <c r="E33" s="2">
        <v>1.35</v>
      </c>
      <c r="F33" s="28">
        <f>INDEX([3]宠物属性!$AL$8:$AL$107,MATCH(D33,[3]宠物属性!$I$8:$I$107,0),1)</f>
        <v>9272.16</v>
      </c>
      <c r="G33" s="68">
        <f>F33/INDEX(角色属性!$AI$8:$AI$107,MATCH(D33,角色属性!$I$8:$I$107,0),1)*E33</f>
        <v>1.1319127849355797</v>
      </c>
      <c r="H33" s="2">
        <f>INDEX(角色属性!$AL$8:$AL$107,MATCH(D33,角色属性!$I$8:$I$107,0),1)</f>
        <v>625</v>
      </c>
      <c r="I33" s="2">
        <f>INDEX(角色属性!$Y$8:$Y$107,MATCH(D33,角色属性!$I$8:$I$107,0),1)</f>
        <v>25</v>
      </c>
      <c r="J33" s="28">
        <f>H33*10*(1+VLOOKUP(I33,技能效果!$B$2:$D$101,3,FALSE))</f>
        <v>6850.0000000000009</v>
      </c>
      <c r="K33" s="28">
        <f>H33*10*(1+VLOOKUP(I33,技能效果!$B$2:$D$101,3,FALSE))*(1+G33)</f>
        <v>14603.602576808722</v>
      </c>
      <c r="L33" s="2">
        <f t="shared" si="2"/>
        <v>40</v>
      </c>
      <c r="M33" s="28">
        <f t="shared" si="3"/>
        <v>9999.36</v>
      </c>
      <c r="N33" s="28">
        <f t="shared" si="4"/>
        <v>26412.201335172416</v>
      </c>
      <c r="O33" s="62">
        <f t="shared" si="17"/>
        <v>14679</v>
      </c>
      <c r="P33" s="62">
        <f t="shared" si="15"/>
        <v>6944</v>
      </c>
      <c r="Q33" s="64">
        <f t="shared" si="13"/>
        <v>363</v>
      </c>
      <c r="R33" s="67">
        <v>1</v>
      </c>
      <c r="S33" s="67">
        <v>1</v>
      </c>
      <c r="T33" s="67">
        <v>1</v>
      </c>
      <c r="U33" s="67">
        <v>1</v>
      </c>
      <c r="V33" s="67">
        <v>1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64">
        <f>INDEX(角色属性!AM$8:AM$107,MATCH($D33,角色属性!$I$8:$I$107,0),1)</f>
        <v>20180</v>
      </c>
      <c r="AC33" s="64">
        <f>INDEX(角色属性!AN$8:AN$107,MATCH($D33,角色属性!$I$8:$I$107,0),1)</f>
        <v>2018</v>
      </c>
      <c r="AD33" s="64">
        <f>INDEX(角色属性!AO$8:AO$107,MATCH($D33,角色属性!$I$8:$I$107,0),1)</f>
        <v>1009</v>
      </c>
      <c r="AE33" s="64">
        <f>INDEX(角色属性!AP$8:AP$107,MATCH($D33,角色属性!$I$8:$I$107,0),1)</f>
        <v>807.2</v>
      </c>
      <c r="AF33" s="64">
        <f>INDEX(角色属性!AQ$8:AQ$107,MATCH($D33,角色属性!$I$8:$I$107,0),1)</f>
        <v>807.2</v>
      </c>
      <c r="AG33" s="64">
        <f>$P33/10/(1+VLOOKUP(I33,技能效果!$B$2:$D$101,3,FALSE))*怪物属性规划!A$18*INDEX(怪物属性等级系数!$A$2:$A$101,MATCH(D33,怪物属性等级系数!$D$2:$D$101,0),1)*R33+W33</f>
        <v>4874.2005637452594</v>
      </c>
      <c r="AH33" s="64">
        <f>$P33/10/(1+VLOOKUP($I33,技能效果!$B$2:$D$101,3,FALSE))*怪物属性规划!B$18*S33+X33</f>
        <v>633.57664233576634</v>
      </c>
      <c r="AI33" s="64">
        <f>$P33/10/(1+VLOOKUP($I33,技能效果!$B$2:$D$101,3,FALSE))*怪物属性规划!C$18*T33+Y33</f>
        <v>633.57664233576634</v>
      </c>
      <c r="AJ33" s="64">
        <f>$P33/10/(1+VLOOKUP($I33,技能效果!$B$2:$D$101,3,FALSE))*怪物属性规划!D$18*U33+Z33</f>
        <v>506.86131386861308</v>
      </c>
      <c r="AK33" s="64">
        <f>$P33/10/(1+VLOOKUP($I33,技能效果!$B$2:$D$101,3,FALSE))*怪物属性规划!E$18*V33+AA33</f>
        <v>506.86131386861308</v>
      </c>
      <c r="AL33" s="67">
        <f>INDEX(角色属性!BB$8:BB$107,MATCH($D33,角色属性!$I$8:$I$107,0),1)</f>
        <v>1.2400000000000002</v>
      </c>
      <c r="AM33" s="64">
        <f>INDEX(角色属性!BC$8:BC$107,MATCH($D33,角色属性!$I$8:$I$107,0),1)</f>
        <v>864</v>
      </c>
      <c r="AN33" s="64">
        <f>INDEX(角色属性!BD$8:BD$107,MATCH($D33,角色属性!$I$8:$I$107,0),1)</f>
        <v>515</v>
      </c>
      <c r="AO33" s="69">
        <f t="shared" si="6"/>
        <v>0.63090624186654276</v>
      </c>
      <c r="AP33" s="69">
        <f t="shared" si="7"/>
        <v>0.82036855606190573</v>
      </c>
      <c r="AQ33" s="64">
        <f>AL33*角色属性!$BA$1*(AC33*(1-AO33)+MAX(AF33-AJ33,0))</f>
        <v>2592.0213273108652</v>
      </c>
      <c r="AR33" s="64">
        <f>角色属性!$BA$1*(AH33*(1-AP33)+MAX(AK33-AE33,0))</f>
        <v>227.62057421644644</v>
      </c>
      <c r="AS33" s="73">
        <f t="shared" si="8"/>
        <v>1.0447017443679922</v>
      </c>
      <c r="AT33" s="73">
        <f t="shared" si="9"/>
        <v>0.69646782957866149</v>
      </c>
      <c r="AU33" s="73">
        <f t="shared" si="10"/>
        <v>0.52235087218399612</v>
      </c>
      <c r="AV33" s="73">
        <f t="shared" si="1"/>
        <v>88.656309164788667</v>
      </c>
      <c r="AW33" s="73">
        <f t="shared" si="11"/>
        <v>59.104206109859113</v>
      </c>
      <c r="AX33" s="2" t="str">
        <f t="shared" si="12"/>
        <v>r_guanqia_31</v>
      </c>
      <c r="AY33" s="2">
        <f>ROUND(($P33*R33/10/$H33/(1+VLOOKUP($I33,技能效果!$B$2:$D$101,3,FALSE))-1)*10000,0)</f>
        <v>137</v>
      </c>
      <c r="AZ33" s="2">
        <f>ROUND(($P33*S33/10/$H33/(1+VLOOKUP($I33,技能效果!$B$2:$D$101,3,FALSE))-1)*10000,0)</f>
        <v>137</v>
      </c>
      <c r="BA33" s="2">
        <f>ROUND(($P33*T33/10/$H33/(1+VLOOKUP($I33,技能效果!$B$2:$D$101,3,FALSE))-1)*10000,0)</f>
        <v>137</v>
      </c>
      <c r="BB33" s="2">
        <f>ROUND(($P33*U33/10/$H33/(1+VLOOKUP($I33,技能效果!$B$2:$D$101,3,FALSE))-1)*10000,0)</f>
        <v>137</v>
      </c>
      <c r="BC33" s="2">
        <f>ROUND(($P33*V33/10/$H33/(1+VLOOKUP($I33,技能效果!$B$2:$D$101,3,FALSE))-1)*10000,0)</f>
        <v>137</v>
      </c>
    </row>
    <row r="34" spans="2:55" x14ac:dyDescent="0.15">
      <c r="B34" s="83"/>
      <c r="C34" s="2">
        <v>32</v>
      </c>
      <c r="D34" s="2">
        <v>25</v>
      </c>
      <c r="E34" s="2">
        <v>1.4</v>
      </c>
      <c r="F34" s="28">
        <f>INDEX([3]宠物属性!$AL$8:$AL$107,MATCH(D34,[3]宠物属性!$I$8:$I$107,0),1)</f>
        <v>9272.16</v>
      </c>
      <c r="G34" s="68">
        <f>F34/INDEX(角色属性!$AI$8:$AI$107,MATCH(D34,角色属性!$I$8:$I$107,0),1)*E34</f>
        <v>1.1738354806739344</v>
      </c>
      <c r="H34" s="2">
        <f>INDEX(角色属性!$AL$8:$AL$107,MATCH(D34,角色属性!$I$8:$I$107,0),1)</f>
        <v>625</v>
      </c>
      <c r="I34" s="2">
        <f>INDEX(角色属性!$Y$8:$Y$107,MATCH(D34,角色属性!$I$8:$I$107,0),1)</f>
        <v>25</v>
      </c>
      <c r="J34" s="28">
        <f>H34*10*(1+VLOOKUP(I34,技能效果!$B$2:$D$101,3,FALSE))</f>
        <v>6850.0000000000009</v>
      </c>
      <c r="K34" s="28">
        <f>H34*10*(1+VLOOKUP(I34,技能效果!$B$2:$D$101,3,FALSE))*(1+G34)</f>
        <v>14890.773042616453</v>
      </c>
      <c r="L34" s="2">
        <f t="shared" si="2"/>
        <v>40</v>
      </c>
      <c r="M34" s="28">
        <f t="shared" si="3"/>
        <v>9999.36</v>
      </c>
      <c r="N34" s="28">
        <f t="shared" si="4"/>
        <v>26412.201335172416</v>
      </c>
      <c r="O34" s="62">
        <f t="shared" si="17"/>
        <v>15284</v>
      </c>
      <c r="P34" s="62">
        <f t="shared" si="15"/>
        <v>7102</v>
      </c>
      <c r="Q34" s="64">
        <f t="shared" si="13"/>
        <v>605</v>
      </c>
      <c r="R34" s="67">
        <v>1</v>
      </c>
      <c r="S34" s="67">
        <v>1</v>
      </c>
      <c r="T34" s="67">
        <v>1</v>
      </c>
      <c r="U34" s="67">
        <v>1</v>
      </c>
      <c r="V34" s="67">
        <v>1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64">
        <f>INDEX(角色属性!AM$8:AM$107,MATCH($D34,角色属性!$I$8:$I$107,0),1)</f>
        <v>20180</v>
      </c>
      <c r="AC34" s="64">
        <f>INDEX(角色属性!AN$8:AN$107,MATCH($D34,角色属性!$I$8:$I$107,0),1)</f>
        <v>2018</v>
      </c>
      <c r="AD34" s="64">
        <f>INDEX(角色属性!AO$8:AO$107,MATCH($D34,角色属性!$I$8:$I$107,0),1)</f>
        <v>1009</v>
      </c>
      <c r="AE34" s="64">
        <f>INDEX(角色属性!AP$8:AP$107,MATCH($D34,角色属性!$I$8:$I$107,0),1)</f>
        <v>807.2</v>
      </c>
      <c r="AF34" s="64">
        <f>INDEX(角色属性!AQ$8:AQ$107,MATCH($D34,角色属性!$I$8:$I$107,0),1)</f>
        <v>807.2</v>
      </c>
      <c r="AG34" s="64">
        <f>$P34/10/(1+VLOOKUP(I34,技能效果!$B$2:$D$101,3,FALSE))*怪物属性规划!A$18*INDEX(怪物属性等级系数!$A$2:$A$101,MATCH(D34,怪物属性等级系数!$D$2:$D$101,0),1)*R34+W34</f>
        <v>4985.1054728857771</v>
      </c>
      <c r="AH34" s="64">
        <f>$P34/10/(1+VLOOKUP($I34,技能效果!$B$2:$D$101,3,FALSE))*怪物属性规划!B$18*S34+X34</f>
        <v>647.99270072992704</v>
      </c>
      <c r="AI34" s="64">
        <f>$P34/10/(1+VLOOKUP($I34,技能效果!$B$2:$D$101,3,FALSE))*怪物属性规划!C$18*T34+Y34</f>
        <v>647.99270072992704</v>
      </c>
      <c r="AJ34" s="64">
        <f>$P34/10/(1+VLOOKUP($I34,技能效果!$B$2:$D$101,3,FALSE))*怪物属性规划!D$18*U34+Z34</f>
        <v>518.3941605839417</v>
      </c>
      <c r="AK34" s="64">
        <f>$P34/10/(1+VLOOKUP($I34,技能效果!$B$2:$D$101,3,FALSE))*怪物属性规划!E$18*V34+AA34</f>
        <v>518.3941605839417</v>
      </c>
      <c r="AL34" s="67">
        <f>INDEX(角色属性!BB$8:BB$107,MATCH($D34,角色属性!$I$8:$I$107,0),1)</f>
        <v>1.2400000000000002</v>
      </c>
      <c r="AM34" s="64">
        <f>INDEX(角色属性!BC$8:BC$107,MATCH($D34,角色属性!$I$8:$I$107,0),1)</f>
        <v>864</v>
      </c>
      <c r="AN34" s="64">
        <f>INDEX(角色属性!BD$8:BD$107,MATCH($D34,角色属性!$I$8:$I$107,0),1)</f>
        <v>515</v>
      </c>
      <c r="AO34" s="69">
        <f t="shared" si="6"/>
        <v>0.63612970817672354</v>
      </c>
      <c r="AP34" s="69">
        <f t="shared" si="7"/>
        <v>0.82036855606190573</v>
      </c>
      <c r="AQ34" s="64">
        <f>AL34*角色属性!$BA$1*(AC34*(1-AO34)+MAX(AF34-AJ34,0))</f>
        <v>2537.2782990222677</v>
      </c>
      <c r="AR34" s="64">
        <f>角色属性!$BA$1*(AH34*(1-AP34)+MAX(AK34-AE34,0))</f>
        <v>232.79972898692438</v>
      </c>
      <c r="AS34" s="73">
        <f t="shared" si="8"/>
        <v>1.0915251360323059</v>
      </c>
      <c r="AT34" s="73">
        <f t="shared" si="9"/>
        <v>0.72768342402153718</v>
      </c>
      <c r="AU34" s="73">
        <f t="shared" si="10"/>
        <v>0.54576256801615297</v>
      </c>
      <c r="AV34" s="73">
        <f t="shared" si="1"/>
        <v>86.683949709982031</v>
      </c>
      <c r="AW34" s="73">
        <f t="shared" si="11"/>
        <v>57.789299806654689</v>
      </c>
      <c r="AX34" s="2" t="str">
        <f t="shared" si="12"/>
        <v>r_guanqia_32</v>
      </c>
      <c r="AY34" s="2">
        <f>ROUND(($P34*R34/10/$H34/(1+VLOOKUP($I34,技能效果!$B$2:$D$101,3,FALSE))-1)*10000,0)</f>
        <v>368</v>
      </c>
      <c r="AZ34" s="2">
        <f>ROUND(($P34*S34/10/$H34/(1+VLOOKUP($I34,技能效果!$B$2:$D$101,3,FALSE))-1)*10000,0)</f>
        <v>368</v>
      </c>
      <c r="BA34" s="2">
        <f>ROUND(($P34*T34/10/$H34/(1+VLOOKUP($I34,技能效果!$B$2:$D$101,3,FALSE))-1)*10000,0)</f>
        <v>368</v>
      </c>
      <c r="BB34" s="2">
        <f>ROUND(($P34*U34/10/$H34/(1+VLOOKUP($I34,技能效果!$B$2:$D$101,3,FALSE))-1)*10000,0)</f>
        <v>368</v>
      </c>
      <c r="BC34" s="2">
        <f>ROUND(($P34*V34/10/$H34/(1+VLOOKUP($I34,技能效果!$B$2:$D$101,3,FALSE))-1)*10000,0)</f>
        <v>368</v>
      </c>
    </row>
    <row r="35" spans="2:55" x14ac:dyDescent="0.15">
      <c r="B35" s="83"/>
      <c r="C35" s="2">
        <v>33</v>
      </c>
      <c r="D35" s="2">
        <v>26</v>
      </c>
      <c r="E35" s="2">
        <v>1.45</v>
      </c>
      <c r="F35" s="28">
        <f>INDEX([3]宠物属性!$AL$8:$AL$107,MATCH(D35,[3]宠物属性!$I$8:$I$107,0),1)</f>
        <v>9482</v>
      </c>
      <c r="G35" s="68">
        <f>F35/INDEX(角色属性!$AI$8:$AI$107,MATCH(D35,角色属性!$I$8:$I$107,0),1)*E35</f>
        <v>1.2018269230769227</v>
      </c>
      <c r="H35" s="2">
        <f>INDEX(角色属性!$AL$8:$AL$107,MATCH(D35,角色属性!$I$8:$I$107,0),1)</f>
        <v>673</v>
      </c>
      <c r="I35" s="2">
        <f>INDEX(角色属性!$Y$8:$Y$107,MATCH(D35,角色属性!$I$8:$I$107,0),1)</f>
        <v>26</v>
      </c>
      <c r="J35" s="28">
        <f>H35*10*(1+VLOOKUP(I35,技能效果!$B$2:$D$101,3,FALSE))</f>
        <v>7403.0000000000009</v>
      </c>
      <c r="K35" s="28">
        <f>H35*10*(1+VLOOKUP(I35,技能效果!$B$2:$D$101,3,FALSE))*(1+G35)</f>
        <v>16300.124711538463</v>
      </c>
      <c r="L35" s="2">
        <f t="shared" si="2"/>
        <v>40</v>
      </c>
      <c r="M35" s="28">
        <f t="shared" si="3"/>
        <v>9999.36</v>
      </c>
      <c r="N35" s="28">
        <f t="shared" si="4"/>
        <v>26412.201335172416</v>
      </c>
      <c r="O35" s="62">
        <f t="shared" si="17"/>
        <v>16131</v>
      </c>
      <c r="P35" s="62">
        <f t="shared" si="15"/>
        <v>7322</v>
      </c>
      <c r="Q35" s="64">
        <f t="shared" si="13"/>
        <v>847</v>
      </c>
      <c r="R35" s="67">
        <v>1</v>
      </c>
      <c r="S35" s="67">
        <v>1</v>
      </c>
      <c r="T35" s="67">
        <v>1</v>
      </c>
      <c r="U35" s="67">
        <v>1</v>
      </c>
      <c r="V35" s="67">
        <v>1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64">
        <f>INDEX(角色属性!AM$8:AM$107,MATCH($D35,角色属性!$I$8:$I$107,0),1)</f>
        <v>20800</v>
      </c>
      <c r="AC35" s="64">
        <f>INDEX(角色属性!AN$8:AN$107,MATCH($D35,角色属性!$I$8:$I$107,0),1)</f>
        <v>2080</v>
      </c>
      <c r="AD35" s="64">
        <f>INDEX(角色属性!AO$8:AO$107,MATCH($D35,角色属性!$I$8:$I$107,0),1)</f>
        <v>1040</v>
      </c>
      <c r="AE35" s="64">
        <f>INDEX(角色属性!AP$8:AP$107,MATCH($D35,角色属性!$I$8:$I$107,0),1)</f>
        <v>832</v>
      </c>
      <c r="AF35" s="64">
        <f>INDEX(角色属性!AQ$8:AQ$107,MATCH($D35,角色属性!$I$8:$I$107,0),1)</f>
        <v>832</v>
      </c>
      <c r="AG35" s="64">
        <f>$P35/10/(1+VLOOKUP(I35,技能效果!$B$2:$D$101,3,FALSE))*怪物属性规划!A$18*INDEX(怪物属性等级系数!$A$2:$A$101,MATCH(D35,怪物属性等级系数!$D$2:$D$101,0),1)*R35+W35</f>
        <v>5198.0543701502056</v>
      </c>
      <c r="AH35" s="64">
        <f>$P35/10/(1+VLOOKUP($I35,技能效果!$B$2:$D$101,3,FALSE))*怪物属性规划!B$18*S35+X35</f>
        <v>665.63636363636363</v>
      </c>
      <c r="AI35" s="64">
        <f>$P35/10/(1+VLOOKUP($I35,技能效果!$B$2:$D$101,3,FALSE))*怪物属性规划!C$18*T35+Y35</f>
        <v>665.63636363636363</v>
      </c>
      <c r="AJ35" s="64">
        <f>$P35/10/(1+VLOOKUP($I35,技能效果!$B$2:$D$101,3,FALSE))*怪物属性规划!D$18*U35+Z35</f>
        <v>532.5090909090909</v>
      </c>
      <c r="AK35" s="64">
        <f>$P35/10/(1+VLOOKUP($I35,技能效果!$B$2:$D$101,3,FALSE))*怪物属性规划!E$18*V35+AA35</f>
        <v>532.5090909090909</v>
      </c>
      <c r="AL35" s="67">
        <f>INDEX(角色属性!BB$8:BB$107,MATCH($D35,角色属性!$I$8:$I$107,0),1)</f>
        <v>1.2500000000000002</v>
      </c>
      <c r="AM35" s="64">
        <f>INDEX(角色属性!BC$8:BC$107,MATCH($D35,角色属性!$I$8:$I$107,0),1)</f>
        <v>942</v>
      </c>
      <c r="AN35" s="64">
        <f>INDEX(角色属性!BD$8:BD$107,MATCH($D35,角色属性!$I$8:$I$107,0),1)</f>
        <v>528</v>
      </c>
      <c r="AO35" s="69">
        <f t="shared" si="6"/>
        <v>0.62223290342438842</v>
      </c>
      <c r="AP35" s="69">
        <f t="shared" si="7"/>
        <v>0.82115289866973229</v>
      </c>
      <c r="AQ35" s="64">
        <f>AL35*角色属性!$BA$1*(AC35*(1-AO35)+MAX(AF35-AJ35,0))</f>
        <v>2713.1161749204534</v>
      </c>
      <c r="AR35" s="64">
        <f>角色属性!$BA$1*(AH35*(1-AP35)+MAX(AK35-AE35,0))</f>
        <v>238.0942683527673</v>
      </c>
      <c r="AS35" s="73">
        <f t="shared" si="8"/>
        <v>1.0643878836118947</v>
      </c>
      <c r="AT35" s="73">
        <f t="shared" si="9"/>
        <v>0.70959192240792979</v>
      </c>
      <c r="AU35" s="73">
        <f t="shared" si="10"/>
        <v>0.53219394180594737</v>
      </c>
      <c r="AV35" s="73">
        <f t="shared" si="1"/>
        <v>87.360355811598637</v>
      </c>
      <c r="AW35" s="73">
        <f t="shared" si="11"/>
        <v>58.240237207732427</v>
      </c>
      <c r="AX35" s="2" t="str">
        <f t="shared" si="12"/>
        <v>r_guanqia_33</v>
      </c>
      <c r="AY35" s="2">
        <f>ROUND(($P35*R35/10/$H35/(1+VLOOKUP($I35,技能效果!$B$2:$D$101,3,FALSE))-1)*10000,0)</f>
        <v>-109</v>
      </c>
      <c r="AZ35" s="2">
        <f>ROUND(($P35*S35/10/$H35/(1+VLOOKUP($I35,技能效果!$B$2:$D$101,3,FALSE))-1)*10000,0)</f>
        <v>-109</v>
      </c>
      <c r="BA35" s="2">
        <f>ROUND(($P35*T35/10/$H35/(1+VLOOKUP($I35,技能效果!$B$2:$D$101,3,FALSE))-1)*10000,0)</f>
        <v>-109</v>
      </c>
      <c r="BB35" s="2">
        <f>ROUND(($P35*U35/10/$H35/(1+VLOOKUP($I35,技能效果!$B$2:$D$101,3,FALSE))-1)*10000,0)</f>
        <v>-109</v>
      </c>
      <c r="BC35" s="2">
        <f>ROUND(($P35*V35/10/$H35/(1+VLOOKUP($I35,技能效果!$B$2:$D$101,3,FALSE))-1)*10000,0)</f>
        <v>-109</v>
      </c>
    </row>
    <row r="36" spans="2:55" x14ac:dyDescent="0.15">
      <c r="B36" s="83"/>
      <c r="C36" s="2">
        <v>34</v>
      </c>
      <c r="D36" s="2">
        <v>26</v>
      </c>
      <c r="E36" s="2">
        <v>1.5</v>
      </c>
      <c r="F36" s="28">
        <f>INDEX([3]宠物属性!$AL$8:$AL$107,MATCH(D36,[3]宠物属性!$I$8:$I$107,0),1)</f>
        <v>9482</v>
      </c>
      <c r="G36" s="68">
        <f>F36/INDEX(角色属性!$AI$8:$AI$107,MATCH(D36,角色属性!$I$8:$I$107,0),1)*E36</f>
        <v>1.2432692307692306</v>
      </c>
      <c r="H36" s="2">
        <f>INDEX(角色属性!$AL$8:$AL$107,MATCH(D36,角色属性!$I$8:$I$107,0),1)</f>
        <v>673</v>
      </c>
      <c r="I36" s="2">
        <f>INDEX(角色属性!$Y$8:$Y$107,MATCH(D36,角色属性!$I$8:$I$107,0),1)</f>
        <v>26</v>
      </c>
      <c r="J36" s="28">
        <f>H36*10*(1+VLOOKUP(I36,技能效果!$B$2:$D$101,3,FALSE))</f>
        <v>7403.0000000000009</v>
      </c>
      <c r="K36" s="28">
        <f>H36*10*(1+VLOOKUP(I36,技能效果!$B$2:$D$101,3,FALSE))*(1+G36)</f>
        <v>16606.922115384616</v>
      </c>
      <c r="L36" s="2">
        <f t="shared" si="2"/>
        <v>40</v>
      </c>
      <c r="M36" s="28">
        <f t="shared" si="3"/>
        <v>9999.36</v>
      </c>
      <c r="N36" s="28">
        <f t="shared" si="4"/>
        <v>26412.201335172416</v>
      </c>
      <c r="O36" s="62">
        <f t="shared" si="17"/>
        <v>17219</v>
      </c>
      <c r="P36" s="62">
        <f t="shared" si="15"/>
        <v>7606</v>
      </c>
      <c r="Q36" s="64">
        <f t="shared" si="13"/>
        <v>1088</v>
      </c>
      <c r="R36" s="67">
        <v>1</v>
      </c>
      <c r="S36" s="67">
        <v>1</v>
      </c>
      <c r="T36" s="67">
        <v>1</v>
      </c>
      <c r="U36" s="67">
        <v>1</v>
      </c>
      <c r="V36" s="67">
        <v>1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64">
        <f>INDEX(角色属性!AM$8:AM$107,MATCH($D36,角色属性!$I$8:$I$107,0),1)</f>
        <v>20800</v>
      </c>
      <c r="AC36" s="64">
        <f>INDEX(角色属性!AN$8:AN$107,MATCH($D36,角色属性!$I$8:$I$107,0),1)</f>
        <v>2080</v>
      </c>
      <c r="AD36" s="64">
        <f>INDEX(角色属性!AO$8:AO$107,MATCH($D36,角色属性!$I$8:$I$107,0),1)</f>
        <v>1040</v>
      </c>
      <c r="AE36" s="64">
        <f>INDEX(角色属性!AP$8:AP$107,MATCH($D36,角色属性!$I$8:$I$107,0),1)</f>
        <v>832</v>
      </c>
      <c r="AF36" s="64">
        <f>INDEX(角色属性!AQ$8:AQ$107,MATCH($D36,角色属性!$I$8:$I$107,0),1)</f>
        <v>832</v>
      </c>
      <c r="AG36" s="64">
        <f>$P36/10/(1+VLOOKUP(I36,技能效果!$B$2:$D$101,3,FALSE))*怪物属性规划!A$18*INDEX(怪物属性等级系数!$A$2:$A$101,MATCH(D36,怪物属性等级系数!$D$2:$D$101,0),1)*R36+W36</f>
        <v>5399.6724309427018</v>
      </c>
      <c r="AH36" s="64">
        <f>$P36/10/(1+VLOOKUP($I36,技能效果!$B$2:$D$101,3,FALSE))*怪物属性规划!B$18*S36+X36</f>
        <v>691.45454545454538</v>
      </c>
      <c r="AI36" s="64">
        <f>$P36/10/(1+VLOOKUP($I36,技能效果!$B$2:$D$101,3,FALSE))*怪物属性规划!C$18*T36+Y36</f>
        <v>691.45454545454538</v>
      </c>
      <c r="AJ36" s="64">
        <f>$P36/10/(1+VLOOKUP($I36,技能效果!$B$2:$D$101,3,FALSE))*怪物属性规划!D$18*U36+Z36</f>
        <v>553.16363636363633</v>
      </c>
      <c r="AK36" s="64">
        <f>$P36/10/(1+VLOOKUP($I36,技能效果!$B$2:$D$101,3,FALSE))*怪物属性规划!E$18*V36+AA36</f>
        <v>553.16363636363633</v>
      </c>
      <c r="AL36" s="67">
        <f>INDEX(角色属性!BB$8:BB$107,MATCH($D36,角色属性!$I$8:$I$107,0),1)</f>
        <v>1.2500000000000002</v>
      </c>
      <c r="AM36" s="64">
        <f>INDEX(角色属性!BC$8:BC$107,MATCH($D36,角色属性!$I$8:$I$107,0),1)</f>
        <v>942</v>
      </c>
      <c r="AN36" s="64">
        <f>INDEX(角色属性!BD$8:BD$107,MATCH($D36,角色属性!$I$8:$I$107,0),1)</f>
        <v>528</v>
      </c>
      <c r="AO36" s="69">
        <f t="shared" si="6"/>
        <v>0.63113533496557794</v>
      </c>
      <c r="AP36" s="69">
        <f t="shared" si="7"/>
        <v>0.82115289866973229</v>
      </c>
      <c r="AQ36" s="64">
        <f>AL36*角色属性!$BA$1*(AC36*(1-AO36)+MAX(AF36-AJ36,0))</f>
        <v>2615.1871672699049</v>
      </c>
      <c r="AR36" s="64">
        <f>角色属性!$BA$1*(AH36*(1-AP36)+MAX(AK36-AE36,0))</f>
        <v>247.32928231236656</v>
      </c>
      <c r="AS36" s="73">
        <f t="shared" si="8"/>
        <v>1.1470758402053556</v>
      </c>
      <c r="AT36" s="73">
        <f t="shared" si="9"/>
        <v>0.76471722680357046</v>
      </c>
      <c r="AU36" s="73">
        <f t="shared" si="10"/>
        <v>0.57353792010267779</v>
      </c>
      <c r="AV36" s="73">
        <f t="shared" si="1"/>
        <v>84.098412470750105</v>
      </c>
      <c r="AW36" s="73">
        <f t="shared" si="11"/>
        <v>56.065608313833401</v>
      </c>
      <c r="AX36" s="2" t="str">
        <f t="shared" si="12"/>
        <v>r_guanqia_34</v>
      </c>
      <c r="AY36" s="2">
        <f>ROUND(($P36*R36/10/$H36/(1+VLOOKUP($I36,技能效果!$B$2:$D$101,3,FALSE))-1)*10000,0)</f>
        <v>274</v>
      </c>
      <c r="AZ36" s="2">
        <f>ROUND(($P36*S36/10/$H36/(1+VLOOKUP($I36,技能效果!$B$2:$D$101,3,FALSE))-1)*10000,0)</f>
        <v>274</v>
      </c>
      <c r="BA36" s="2">
        <f>ROUND(($P36*T36/10/$H36/(1+VLOOKUP($I36,技能效果!$B$2:$D$101,3,FALSE))-1)*10000,0)</f>
        <v>274</v>
      </c>
      <c r="BB36" s="2">
        <f>ROUND(($P36*U36/10/$H36/(1+VLOOKUP($I36,技能效果!$B$2:$D$101,3,FALSE))-1)*10000,0)</f>
        <v>274</v>
      </c>
      <c r="BC36" s="2">
        <f>ROUND(($P36*V36/10/$H36/(1+VLOOKUP($I36,技能效果!$B$2:$D$101,3,FALSE))-1)*10000,0)</f>
        <v>274</v>
      </c>
    </row>
    <row r="37" spans="2:55" x14ac:dyDescent="0.15">
      <c r="B37" s="83"/>
      <c r="C37" s="2">
        <v>35</v>
      </c>
      <c r="D37" s="2">
        <v>27</v>
      </c>
      <c r="E37" s="2">
        <v>1.55</v>
      </c>
      <c r="F37" s="28">
        <f>INDEX([3]宠物属性!$AL$8:$AL$107,MATCH(D37,[3]宠物属性!$I$8:$I$107,0),1)</f>
        <v>9693.119999999999</v>
      </c>
      <c r="G37" s="68">
        <f>F37/INDEX(角色属性!$AI$8:$AI$107,MATCH(D37,角色属性!$I$8:$I$107,0),1)*E37</f>
        <v>1.2636025998142986</v>
      </c>
      <c r="H37" s="2">
        <f>INDEX(角色属性!$AL$8:$AL$107,MATCH(D37,角色属性!$I$8:$I$107,0),1)</f>
        <v>724</v>
      </c>
      <c r="I37" s="2">
        <f>INDEX(角色属性!$Y$8:$Y$107,MATCH(D37,角色属性!$I$8:$I$107,0),1)</f>
        <v>27</v>
      </c>
      <c r="J37" s="28">
        <f>H37*10*(1+VLOOKUP(I37,技能效果!$B$2:$D$101,3,FALSE))</f>
        <v>7992.9600000000009</v>
      </c>
      <c r="K37" s="28">
        <f>H37*10*(1+VLOOKUP(I37,技能效果!$B$2:$D$101,3,FALSE))*(1+G37)</f>
        <v>18092.885036211697</v>
      </c>
      <c r="L37" s="2">
        <f t="shared" si="2"/>
        <v>40</v>
      </c>
      <c r="M37" s="28">
        <f t="shared" si="3"/>
        <v>9999.36</v>
      </c>
      <c r="N37" s="28">
        <f t="shared" si="4"/>
        <v>26412.201335172416</v>
      </c>
      <c r="O37" s="62">
        <f t="shared" si="17"/>
        <v>19397</v>
      </c>
      <c r="P37" s="62">
        <f t="shared" si="15"/>
        <v>8173</v>
      </c>
      <c r="Q37" s="64">
        <f t="shared" si="13"/>
        <v>2178</v>
      </c>
      <c r="R37" s="67">
        <v>1</v>
      </c>
      <c r="S37" s="67">
        <v>1</v>
      </c>
      <c r="T37" s="67">
        <v>1</v>
      </c>
      <c r="U37" s="67">
        <v>1</v>
      </c>
      <c r="V37" s="67">
        <v>1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64">
        <f>INDEX(角色属性!AM$8:AM$107,MATCH($D37,角色属性!$I$8:$I$107,0),1)</f>
        <v>21540</v>
      </c>
      <c r="AC37" s="64">
        <f>INDEX(角色属性!AN$8:AN$107,MATCH($D37,角色属性!$I$8:$I$107,0),1)</f>
        <v>2154</v>
      </c>
      <c r="AD37" s="64">
        <f>INDEX(角色属性!AO$8:AO$107,MATCH($D37,角色属性!$I$8:$I$107,0),1)</f>
        <v>1077</v>
      </c>
      <c r="AE37" s="64">
        <f>INDEX(角色属性!AP$8:AP$107,MATCH($D37,角色属性!$I$8:$I$107,0),1)</f>
        <v>861.6</v>
      </c>
      <c r="AF37" s="64">
        <f>INDEX(角色属性!AQ$8:AQ$107,MATCH($D37,角色属性!$I$8:$I$107,0),1)</f>
        <v>861.6</v>
      </c>
      <c r="AG37" s="64">
        <f>$P37/10/(1+VLOOKUP(I37,技能效果!$B$2:$D$101,3,FALSE))*怪物属性规划!A$18*INDEX(怪物属性等级系数!$A$2:$A$101,MATCH(D37,怪物属性等级系数!$D$2:$D$101,0),1)*R37+W37</f>
        <v>5876.3290816850258</v>
      </c>
      <c r="AH37" s="64">
        <f>$P37/10/(1+VLOOKUP($I37,技能效果!$B$2:$D$101,3,FALSE))*怪物属性规划!B$18*S37+X37</f>
        <v>740.30797101449264</v>
      </c>
      <c r="AI37" s="64">
        <f>$P37/10/(1+VLOOKUP($I37,技能效果!$B$2:$D$101,3,FALSE))*怪物属性规划!C$18*T37+Y37</f>
        <v>740.30797101449264</v>
      </c>
      <c r="AJ37" s="64">
        <f>$P37/10/(1+VLOOKUP($I37,技能效果!$B$2:$D$101,3,FALSE))*怪物属性规划!D$18*U37+Z37</f>
        <v>592.24637681159413</v>
      </c>
      <c r="AK37" s="64">
        <f>$P37/10/(1+VLOOKUP($I37,技能效果!$B$2:$D$101,3,FALSE))*怪物属性规划!E$18*V37+AA37</f>
        <v>592.24637681159413</v>
      </c>
      <c r="AL37" s="67">
        <f>INDEX(角色属性!BB$8:BB$107,MATCH($D37,角色属性!$I$8:$I$107,0),1)</f>
        <v>1.2600000000000002</v>
      </c>
      <c r="AM37" s="64">
        <f>INDEX(角色属性!BC$8:BC$107,MATCH($D37,角色属性!$I$8:$I$107,0),1)</f>
        <v>1027</v>
      </c>
      <c r="AN37" s="64">
        <f>INDEX(角色属性!BD$8:BD$107,MATCH($D37,角色属性!$I$8:$I$107,0),1)</f>
        <v>545</v>
      </c>
      <c r="AO37" s="69">
        <f t="shared" si="6"/>
        <v>0.62690628447984564</v>
      </c>
      <c r="AP37" s="69">
        <f t="shared" si="7"/>
        <v>0.82163250826782008</v>
      </c>
      <c r="AQ37" s="64">
        <f>AL37*角色属性!$BA$1*(AC37*(1-AO37)+MAX(AF37-AJ37,0))</f>
        <v>2703.9536657754229</v>
      </c>
      <c r="AR37" s="64">
        <f>角色属性!$BA$1*(AH37*(1-AP37)+MAX(AK37-AE37,0))</f>
        <v>264.09375179838884</v>
      </c>
      <c r="AS37" s="73">
        <f t="shared" si="8"/>
        <v>1.2073532579067261</v>
      </c>
      <c r="AT37" s="73">
        <f t="shared" si="9"/>
        <v>0.80490217193781743</v>
      </c>
      <c r="AU37" s="73">
        <f t="shared" si="10"/>
        <v>0.60367662895336305</v>
      </c>
      <c r="AV37" s="73">
        <f t="shared" si="1"/>
        <v>81.561944776504205</v>
      </c>
      <c r="AW37" s="73">
        <f t="shared" si="11"/>
        <v>54.374629851002808</v>
      </c>
      <c r="AX37" s="2" t="str">
        <f t="shared" si="12"/>
        <v>r_guanqia_35</v>
      </c>
      <c r="AY37" s="2">
        <f>ROUND(($P37*R37/10/$H37/(1+VLOOKUP($I37,技能效果!$B$2:$D$101,3,FALSE))-1)*10000,0)</f>
        <v>225</v>
      </c>
      <c r="AZ37" s="2">
        <f>ROUND(($P37*S37/10/$H37/(1+VLOOKUP($I37,技能效果!$B$2:$D$101,3,FALSE))-1)*10000,0)</f>
        <v>225</v>
      </c>
      <c r="BA37" s="2">
        <f>ROUND(($P37*T37/10/$H37/(1+VLOOKUP($I37,技能效果!$B$2:$D$101,3,FALSE))-1)*10000,0)</f>
        <v>225</v>
      </c>
      <c r="BB37" s="2">
        <f>ROUND(($P37*U37/10/$H37/(1+VLOOKUP($I37,技能效果!$B$2:$D$101,3,FALSE))-1)*10000,0)</f>
        <v>225</v>
      </c>
      <c r="BC37" s="2">
        <f>ROUND(($P37*V37/10/$H37/(1+VLOOKUP($I37,技能效果!$B$2:$D$101,3,FALSE))-1)*10000,0)</f>
        <v>225</v>
      </c>
    </row>
    <row r="38" spans="2:55" x14ac:dyDescent="0.15">
      <c r="B38" s="83"/>
      <c r="C38" s="2">
        <v>36</v>
      </c>
      <c r="D38" s="2">
        <v>27</v>
      </c>
      <c r="E38" s="2">
        <v>1.6</v>
      </c>
      <c r="F38" s="28">
        <f>INDEX([3]宠物属性!$AL$8:$AL$107,MATCH(D38,[3]宠物属性!$I$8:$I$107,0),1)</f>
        <v>9693.119999999999</v>
      </c>
      <c r="G38" s="68">
        <f>F38/INDEX(角色属性!$AI$8:$AI$107,MATCH(D38,角色属性!$I$8:$I$107,0),1)*E38</f>
        <v>1.3043639740018567</v>
      </c>
      <c r="H38" s="2">
        <f>INDEX(角色属性!$AL$8:$AL$107,MATCH(D38,角色属性!$I$8:$I$107,0),1)</f>
        <v>724</v>
      </c>
      <c r="I38" s="2">
        <f>INDEX(角色属性!$Y$8:$Y$107,MATCH(D38,角色属性!$I$8:$I$107,0),1)</f>
        <v>27</v>
      </c>
      <c r="J38" s="28">
        <f>H38*10*(1+VLOOKUP(I38,技能效果!$B$2:$D$101,3,FALSE))</f>
        <v>7992.9600000000009</v>
      </c>
      <c r="K38" s="28">
        <f>H38*10*(1+VLOOKUP(I38,技能效果!$B$2:$D$101,3,FALSE))*(1+G38)</f>
        <v>18418.68906963788</v>
      </c>
      <c r="L38" s="2">
        <f t="shared" si="2"/>
        <v>40</v>
      </c>
      <c r="M38" s="28">
        <f t="shared" si="3"/>
        <v>9999.36</v>
      </c>
      <c r="N38" s="28">
        <f t="shared" si="4"/>
        <v>26412.201335172416</v>
      </c>
      <c r="O38" s="62">
        <f t="shared" si="17"/>
        <v>19880</v>
      </c>
      <c r="P38" s="62">
        <f t="shared" si="15"/>
        <v>8299</v>
      </c>
      <c r="Q38" s="64">
        <f t="shared" si="13"/>
        <v>483</v>
      </c>
      <c r="R38" s="67">
        <v>1</v>
      </c>
      <c r="S38" s="67">
        <v>1</v>
      </c>
      <c r="T38" s="67">
        <v>1</v>
      </c>
      <c r="U38" s="67">
        <v>1</v>
      </c>
      <c r="V38" s="67">
        <v>1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64">
        <f>INDEX(角色属性!AM$8:AM$107,MATCH($D38,角色属性!$I$8:$I$107,0),1)</f>
        <v>21540</v>
      </c>
      <c r="AC38" s="64">
        <f>INDEX(角色属性!AN$8:AN$107,MATCH($D38,角色属性!$I$8:$I$107,0),1)</f>
        <v>2154</v>
      </c>
      <c r="AD38" s="64">
        <f>INDEX(角色属性!AO$8:AO$107,MATCH($D38,角色属性!$I$8:$I$107,0),1)</f>
        <v>1077</v>
      </c>
      <c r="AE38" s="64">
        <f>INDEX(角色属性!AP$8:AP$107,MATCH($D38,角色属性!$I$8:$I$107,0),1)</f>
        <v>861.6</v>
      </c>
      <c r="AF38" s="64">
        <f>INDEX(角色属性!AQ$8:AQ$107,MATCH($D38,角色属性!$I$8:$I$107,0),1)</f>
        <v>861.6</v>
      </c>
      <c r="AG38" s="64">
        <f>$P38/10/(1+VLOOKUP(I38,技能效果!$B$2:$D$101,3,FALSE))*怪物属性规划!A$18*INDEX(怪物属性等级系数!$A$2:$A$101,MATCH(D38,怪物属性等级系数!$D$2:$D$101,0),1)*R38+W38</f>
        <v>5966.9221887806234</v>
      </c>
      <c r="AH38" s="64">
        <f>$P38/10/(1+VLOOKUP($I38,技能效果!$B$2:$D$101,3,FALSE))*怪物属性规划!B$18*S38+X38</f>
        <v>751.72101449275351</v>
      </c>
      <c r="AI38" s="64">
        <f>$P38/10/(1+VLOOKUP($I38,技能效果!$B$2:$D$101,3,FALSE))*怪物属性规划!C$18*T38+Y38</f>
        <v>751.72101449275351</v>
      </c>
      <c r="AJ38" s="64">
        <f>$P38/10/(1+VLOOKUP($I38,技能效果!$B$2:$D$101,3,FALSE))*怪物属性规划!D$18*U38+Z38</f>
        <v>601.37681159420288</v>
      </c>
      <c r="AK38" s="64">
        <f>$P38/10/(1+VLOOKUP($I38,技能效果!$B$2:$D$101,3,FALSE))*怪物属性规划!E$18*V38+AA38</f>
        <v>601.37681159420288</v>
      </c>
      <c r="AL38" s="67">
        <f>INDEX(角色属性!BB$8:BB$107,MATCH($D38,角色属性!$I$8:$I$107,0),1)</f>
        <v>1.2600000000000002</v>
      </c>
      <c r="AM38" s="64">
        <f>INDEX(角色属性!BC$8:BC$107,MATCH($D38,角色属性!$I$8:$I$107,0),1)</f>
        <v>1027</v>
      </c>
      <c r="AN38" s="64">
        <f>INDEX(角色属性!BD$8:BD$107,MATCH($D38,角色属性!$I$8:$I$107,0),1)</f>
        <v>545</v>
      </c>
      <c r="AO38" s="69">
        <f t="shared" si="6"/>
        <v>0.63047763435784543</v>
      </c>
      <c r="AP38" s="69">
        <f t="shared" si="7"/>
        <v>0.82163250826782008</v>
      </c>
      <c r="AQ38" s="64">
        <f>AL38*角色属性!$BA$1*(AC38*(1-AO38)+MAX(AF38-AJ38,0))</f>
        <v>2661.5593972774759</v>
      </c>
      <c r="AR38" s="64">
        <f>角色属性!$BA$1*(AH38*(1-AP38)+MAX(AK38-AE38,0))</f>
        <v>268.16518367488425</v>
      </c>
      <c r="AS38" s="73">
        <f t="shared" si="8"/>
        <v>1.2454941922151648</v>
      </c>
      <c r="AT38" s="73">
        <f t="shared" si="9"/>
        <v>0.83032946147677644</v>
      </c>
      <c r="AU38" s="73">
        <f t="shared" si="10"/>
        <v>0.62274709610758239</v>
      </c>
      <c r="AV38" s="73">
        <f t="shared" si="1"/>
        <v>80.323626299357628</v>
      </c>
      <c r="AW38" s="73">
        <f t="shared" si="11"/>
        <v>53.549084199571752</v>
      </c>
      <c r="AX38" s="2" t="str">
        <f t="shared" si="12"/>
        <v>r_guanqia_36</v>
      </c>
      <c r="AY38" s="2">
        <f>ROUND(($P38*R38/10/$H38/(1+VLOOKUP($I38,技能效果!$B$2:$D$101,3,FALSE))-1)*10000,0)</f>
        <v>383</v>
      </c>
      <c r="AZ38" s="2">
        <f>ROUND(($P38*S38/10/$H38/(1+VLOOKUP($I38,技能效果!$B$2:$D$101,3,FALSE))-1)*10000,0)</f>
        <v>383</v>
      </c>
      <c r="BA38" s="2">
        <f>ROUND(($P38*T38/10/$H38/(1+VLOOKUP($I38,技能效果!$B$2:$D$101,3,FALSE))-1)*10000,0)</f>
        <v>383</v>
      </c>
      <c r="BB38" s="2">
        <f>ROUND(($P38*U38/10/$H38/(1+VLOOKUP($I38,技能效果!$B$2:$D$101,3,FALSE))-1)*10000,0)</f>
        <v>383</v>
      </c>
      <c r="BC38" s="2">
        <f>ROUND(($P38*V38/10/$H38/(1+VLOOKUP($I38,技能效果!$B$2:$D$101,3,FALSE))-1)*10000,0)</f>
        <v>383</v>
      </c>
    </row>
    <row r="39" spans="2:55" x14ac:dyDescent="0.15">
      <c r="B39" s="83"/>
      <c r="C39" s="2">
        <v>37</v>
      </c>
      <c r="D39" s="2">
        <v>27</v>
      </c>
      <c r="E39" s="2">
        <v>1.65</v>
      </c>
      <c r="F39" s="28">
        <f>INDEX([3]宠物属性!$AL$8:$AL$107,MATCH(D39,[3]宠物属性!$I$8:$I$107,0),1)</f>
        <v>9693.119999999999</v>
      </c>
      <c r="G39" s="68">
        <f>F39/INDEX(角色属性!$AI$8:$AI$107,MATCH(D39,角色属性!$I$8:$I$107,0),1)*E39</f>
        <v>1.3451253481894145</v>
      </c>
      <c r="H39" s="2">
        <f>INDEX(角色属性!$AL$8:$AL$107,MATCH(D39,角色属性!$I$8:$I$107,0),1)</f>
        <v>724</v>
      </c>
      <c r="I39" s="2">
        <f>INDEX(角色属性!$Y$8:$Y$107,MATCH(D39,角色属性!$I$8:$I$107,0),1)</f>
        <v>27</v>
      </c>
      <c r="J39" s="28">
        <f>H39*10*(1+VLOOKUP(I39,技能效果!$B$2:$D$101,3,FALSE))</f>
        <v>7992.9600000000009</v>
      </c>
      <c r="K39" s="28">
        <f>H39*10*(1+VLOOKUP(I39,技能效果!$B$2:$D$101,3,FALSE))*(1+G39)</f>
        <v>18744.493103064066</v>
      </c>
      <c r="L39" s="2">
        <f t="shared" si="2"/>
        <v>40</v>
      </c>
      <c r="M39" s="28">
        <f t="shared" si="3"/>
        <v>9999.36</v>
      </c>
      <c r="N39" s="28">
        <f t="shared" si="4"/>
        <v>26412.201335172416</v>
      </c>
      <c r="O39" s="62">
        <f t="shared" si="17"/>
        <v>20606</v>
      </c>
      <c r="P39" s="62">
        <f t="shared" si="15"/>
        <v>8488</v>
      </c>
      <c r="Q39" s="64">
        <f t="shared" si="13"/>
        <v>726</v>
      </c>
      <c r="R39" s="67">
        <v>1</v>
      </c>
      <c r="S39" s="67">
        <v>1</v>
      </c>
      <c r="T39" s="67">
        <v>1</v>
      </c>
      <c r="U39" s="67">
        <v>1</v>
      </c>
      <c r="V39" s="67">
        <v>1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64">
        <f>INDEX(角色属性!AM$8:AM$107,MATCH($D39,角色属性!$I$8:$I$107,0),1)</f>
        <v>21540</v>
      </c>
      <c r="AC39" s="64">
        <f>INDEX(角色属性!AN$8:AN$107,MATCH($D39,角色属性!$I$8:$I$107,0),1)</f>
        <v>2154</v>
      </c>
      <c r="AD39" s="64">
        <f>INDEX(角色属性!AO$8:AO$107,MATCH($D39,角色属性!$I$8:$I$107,0),1)</f>
        <v>1077</v>
      </c>
      <c r="AE39" s="64">
        <f>INDEX(角色属性!AP$8:AP$107,MATCH($D39,角色属性!$I$8:$I$107,0),1)</f>
        <v>861.6</v>
      </c>
      <c r="AF39" s="64">
        <f>INDEX(角色属性!AQ$8:AQ$107,MATCH($D39,角色属性!$I$8:$I$107,0),1)</f>
        <v>861.6</v>
      </c>
      <c r="AG39" s="64">
        <f>$P39/10/(1+VLOOKUP(I39,技能效果!$B$2:$D$101,3,FALSE))*怪物属性规划!A$18*INDEX(怪物属性等级系数!$A$2:$A$101,MATCH(D39,怪物属性等级系数!$D$2:$D$101,0),1)*R39+W39</f>
        <v>6102.8118494240189</v>
      </c>
      <c r="AH39" s="64">
        <f>$P39/10/(1+VLOOKUP($I39,技能效果!$B$2:$D$101,3,FALSE))*怪物属性规划!B$18*S39+X39</f>
        <v>768.84057971014477</v>
      </c>
      <c r="AI39" s="64">
        <f>$P39/10/(1+VLOOKUP($I39,技能效果!$B$2:$D$101,3,FALSE))*怪物属性规划!C$18*T39+Y39</f>
        <v>768.84057971014477</v>
      </c>
      <c r="AJ39" s="64">
        <f>$P39/10/(1+VLOOKUP($I39,技能效果!$B$2:$D$101,3,FALSE))*怪物属性规划!D$18*U39+Z39</f>
        <v>615.07246376811588</v>
      </c>
      <c r="AK39" s="64">
        <f>$P39/10/(1+VLOOKUP($I39,技能效果!$B$2:$D$101,3,FALSE))*怪物属性规划!E$18*V39+AA39</f>
        <v>615.07246376811588</v>
      </c>
      <c r="AL39" s="67">
        <f>INDEX(角色属性!BB$8:BB$107,MATCH($D39,角色属性!$I$8:$I$107,0),1)</f>
        <v>1.2600000000000002</v>
      </c>
      <c r="AM39" s="64">
        <f>INDEX(角色属性!BC$8:BC$107,MATCH($D39,角色属性!$I$8:$I$107,0),1)</f>
        <v>1027</v>
      </c>
      <c r="AN39" s="64">
        <f>INDEX(角色属性!BD$8:BD$107,MATCH($D39,角色属性!$I$8:$I$107,0),1)</f>
        <v>545</v>
      </c>
      <c r="AO39" s="69">
        <f t="shared" si="6"/>
        <v>0.63570827674321373</v>
      </c>
      <c r="AP39" s="69">
        <f t="shared" si="7"/>
        <v>0.82163250826782008</v>
      </c>
      <c r="AQ39" s="64">
        <f>AL39*角色属性!$BA$1*(AC39*(1-AO39)+MAX(AF39-AJ39,0))</f>
        <v>2598.6540084800445</v>
      </c>
      <c r="AR39" s="64">
        <f>角色属性!$BA$1*(AH39*(1-AP39)+MAX(AK39-AE39,0))</f>
        <v>274.27233148962733</v>
      </c>
      <c r="AS39" s="73">
        <f t="shared" si="8"/>
        <v>1.3046950522824186</v>
      </c>
      <c r="AT39" s="73">
        <f t="shared" si="9"/>
        <v>0.86979670152161237</v>
      </c>
      <c r="AU39" s="73">
        <f t="shared" si="10"/>
        <v>0.65234752614120928</v>
      </c>
      <c r="AV39" s="73">
        <f t="shared" si="1"/>
        <v>78.535081840052896</v>
      </c>
      <c r="AW39" s="73">
        <f t="shared" si="11"/>
        <v>52.356721226701929</v>
      </c>
      <c r="AX39" s="2" t="str">
        <f t="shared" si="12"/>
        <v>r_guanqia_37</v>
      </c>
      <c r="AY39" s="2">
        <f>ROUND(($P39*R39/10/$H39/(1+VLOOKUP($I39,技能效果!$B$2:$D$101,3,FALSE))-1)*10000,0)</f>
        <v>619</v>
      </c>
      <c r="AZ39" s="2">
        <f>ROUND(($P39*S39/10/$H39/(1+VLOOKUP($I39,技能效果!$B$2:$D$101,3,FALSE))-1)*10000,0)</f>
        <v>619</v>
      </c>
      <c r="BA39" s="2">
        <f>ROUND(($P39*T39/10/$H39/(1+VLOOKUP($I39,技能效果!$B$2:$D$101,3,FALSE))-1)*10000,0)</f>
        <v>619</v>
      </c>
      <c r="BB39" s="2">
        <f>ROUND(($P39*U39/10/$H39/(1+VLOOKUP($I39,技能效果!$B$2:$D$101,3,FALSE))-1)*10000,0)</f>
        <v>619</v>
      </c>
      <c r="BC39" s="2">
        <f>ROUND(($P39*V39/10/$H39/(1+VLOOKUP($I39,技能效果!$B$2:$D$101,3,FALSE))-1)*10000,0)</f>
        <v>619</v>
      </c>
    </row>
    <row r="40" spans="2:55" x14ac:dyDescent="0.15">
      <c r="B40" s="83"/>
      <c r="C40" s="2">
        <v>38</v>
      </c>
      <c r="D40" s="2">
        <v>28</v>
      </c>
      <c r="E40" s="2">
        <v>1.7</v>
      </c>
      <c r="F40" s="28">
        <f>INDEX([3]宠物属性!$AL$8:$AL$107,MATCH(D40,[3]宠物属性!$I$8:$I$107,0),1)</f>
        <v>9905.52</v>
      </c>
      <c r="G40" s="68">
        <f>F40/INDEX(角色属性!$AI$8:$AI$107,MATCH(D40,角色属性!$I$8:$I$107,0),1)*E40</f>
        <v>1.3215652173913042</v>
      </c>
      <c r="H40" s="2">
        <f>INDEX(角色属性!$AL$8:$AL$107,MATCH(D40,角色属性!$I$8:$I$107,0),1)</f>
        <v>778</v>
      </c>
      <c r="I40" s="2">
        <f>INDEX(角色属性!$Y$8:$Y$107,MATCH(D40,角色属性!$I$8:$I$107,0),1)</f>
        <v>28</v>
      </c>
      <c r="J40" s="28">
        <f>H40*10*(1+VLOOKUP(I40,技能效果!$B$2:$D$101,3,FALSE))</f>
        <v>8620.2400000000016</v>
      </c>
      <c r="K40" s="28">
        <f>H40*10*(1+VLOOKUP(I40,技能效果!$B$2:$D$101,3,FALSE))*(1+G40)</f>
        <v>20012.44934956522</v>
      </c>
      <c r="L40" s="2">
        <f t="shared" si="2"/>
        <v>40</v>
      </c>
      <c r="M40" s="28">
        <f t="shared" si="3"/>
        <v>9999.36</v>
      </c>
      <c r="N40" s="28">
        <f t="shared" si="4"/>
        <v>26412.201335172416</v>
      </c>
      <c r="O40" s="62">
        <f t="shared" si="17"/>
        <v>21574</v>
      </c>
      <c r="P40" s="62">
        <f t="shared" si="15"/>
        <v>8740</v>
      </c>
      <c r="Q40" s="64">
        <f t="shared" si="13"/>
        <v>968</v>
      </c>
      <c r="R40" s="67">
        <v>1</v>
      </c>
      <c r="S40" s="67">
        <v>1</v>
      </c>
      <c r="T40" s="67">
        <v>1</v>
      </c>
      <c r="U40" s="67">
        <v>1</v>
      </c>
      <c r="V40" s="67">
        <v>1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64">
        <f>INDEX(角色属性!AM$8:AM$107,MATCH($D40,角色属性!$I$8:$I$107,0),1)</f>
        <v>23000</v>
      </c>
      <c r="AC40" s="64">
        <f>INDEX(角色属性!AN$8:AN$107,MATCH($D40,角色属性!$I$8:$I$107,0),1)</f>
        <v>2300</v>
      </c>
      <c r="AD40" s="64">
        <f>INDEX(角色属性!AO$8:AO$107,MATCH($D40,角色属性!$I$8:$I$107,0),1)</f>
        <v>1150</v>
      </c>
      <c r="AE40" s="64">
        <f>INDEX(角色属性!AP$8:AP$107,MATCH($D40,角色属性!$I$8:$I$107,0),1)</f>
        <v>920</v>
      </c>
      <c r="AF40" s="64">
        <f>INDEX(角色属性!AQ$8:AQ$107,MATCH($D40,角色属性!$I$8:$I$107,0),1)</f>
        <v>920</v>
      </c>
      <c r="AG40" s="64">
        <f>$P40/10/(1+VLOOKUP(I40,技能效果!$B$2:$D$101,3,FALSE))*怪物属性规划!A$18*INDEX(怪物属性等级系数!$A$2:$A$101,MATCH(D40,怪物属性等级系数!$D$2:$D$101,0),1)*R40+W40</f>
        <v>6366.5416241500161</v>
      </c>
      <c r="AH40" s="64">
        <f>$P40/10/(1+VLOOKUP($I40,技能效果!$B$2:$D$101,3,FALSE))*怪物属性规划!B$18*S40+X40</f>
        <v>788.8086642599277</v>
      </c>
      <c r="AI40" s="64">
        <f>$P40/10/(1+VLOOKUP($I40,技能效果!$B$2:$D$101,3,FALSE))*怪物属性规划!C$18*T40+Y40</f>
        <v>788.8086642599277</v>
      </c>
      <c r="AJ40" s="64">
        <f>$P40/10/(1+VLOOKUP($I40,技能效果!$B$2:$D$101,3,FALSE))*怪物属性规划!D$18*U40+Z40</f>
        <v>631.04693140794222</v>
      </c>
      <c r="AK40" s="64">
        <f>$P40/10/(1+VLOOKUP($I40,技能效果!$B$2:$D$101,3,FALSE))*怪物属性规划!E$18*V40+AA40</f>
        <v>631.04693140794222</v>
      </c>
      <c r="AL40" s="67">
        <f>INDEX(角色属性!BB$8:BB$107,MATCH($D40,角色属性!$I$8:$I$107,0),1)</f>
        <v>1.2700000000000002</v>
      </c>
      <c r="AM40" s="64">
        <f>INDEX(角色属性!BC$8:BC$107,MATCH($D40,角色属性!$I$8:$I$107,0),1)</f>
        <v>1118</v>
      </c>
      <c r="AN40" s="64">
        <f>INDEX(角色属性!BD$8:BD$107,MATCH($D40,角色属性!$I$8:$I$107,0),1)</f>
        <v>557</v>
      </c>
      <c r="AO40" s="69">
        <f t="shared" si="6"/>
        <v>0.62187763705646626</v>
      </c>
      <c r="AP40" s="69">
        <f t="shared" si="7"/>
        <v>0.82796178128417597</v>
      </c>
      <c r="AQ40" s="64">
        <f>AL40*角色属性!$BA$1*(AC40*(1-AO40)+MAX(AF40-AJ40,0))</f>
        <v>2942.9316385399511</v>
      </c>
      <c r="AR40" s="64">
        <f>角色属性!$BA$1*(AH40*(1-AP40)+MAX(AK40-AE40,0))</f>
        <v>271.4104750137729</v>
      </c>
      <c r="AS40" s="73">
        <f t="shared" si="8"/>
        <v>1.2018517598753986</v>
      </c>
      <c r="AT40" s="73">
        <f t="shared" si="9"/>
        <v>0.80123450658359918</v>
      </c>
      <c r="AU40" s="73">
        <f t="shared" si="10"/>
        <v>0.6009258799376993</v>
      </c>
      <c r="AV40" s="73">
        <f t="shared" si="1"/>
        <v>84.74249197210554</v>
      </c>
      <c r="AW40" s="73">
        <f t="shared" si="11"/>
        <v>56.494994648070353</v>
      </c>
      <c r="AX40" s="2" t="str">
        <f t="shared" si="12"/>
        <v>r_guanqia_38</v>
      </c>
      <c r="AY40" s="2">
        <f>ROUND(($P40*R40/10/$H40/(1+VLOOKUP($I40,技能效果!$B$2:$D$101,3,FALSE))-1)*10000,0)</f>
        <v>139</v>
      </c>
      <c r="AZ40" s="2">
        <f>ROUND(($P40*S40/10/$H40/(1+VLOOKUP($I40,技能效果!$B$2:$D$101,3,FALSE))-1)*10000,0)</f>
        <v>139</v>
      </c>
      <c r="BA40" s="2">
        <f>ROUND(($P40*T40/10/$H40/(1+VLOOKUP($I40,技能效果!$B$2:$D$101,3,FALSE))-1)*10000,0)</f>
        <v>139</v>
      </c>
      <c r="BB40" s="2">
        <f>ROUND(($P40*U40/10/$H40/(1+VLOOKUP($I40,技能效果!$B$2:$D$101,3,FALSE))-1)*10000,0)</f>
        <v>139</v>
      </c>
      <c r="BC40" s="2">
        <f>ROUND(($P40*V40/10/$H40/(1+VLOOKUP($I40,技能效果!$B$2:$D$101,3,FALSE))-1)*10000,0)</f>
        <v>139</v>
      </c>
    </row>
    <row r="41" spans="2:55" x14ac:dyDescent="0.15">
      <c r="B41" s="83"/>
      <c r="C41" s="2">
        <v>39</v>
      </c>
      <c r="D41" s="2">
        <v>28</v>
      </c>
      <c r="E41" s="2">
        <v>1.75</v>
      </c>
      <c r="F41" s="28">
        <f>INDEX([3]宠物属性!$AL$8:$AL$107,MATCH(D41,[3]宠物属性!$I$8:$I$107,0),1)</f>
        <v>9905.52</v>
      </c>
      <c r="G41" s="68">
        <f>F41/INDEX(角色属性!$AI$8:$AI$107,MATCH(D41,角色属性!$I$8:$I$107,0),1)*E41</f>
        <v>1.3604347826086955</v>
      </c>
      <c r="H41" s="2">
        <f>INDEX(角色属性!$AL$8:$AL$107,MATCH(D41,角色属性!$I$8:$I$107,0),1)</f>
        <v>778</v>
      </c>
      <c r="I41" s="2">
        <f>INDEX(角色属性!$Y$8:$Y$107,MATCH(D41,角色属性!$I$8:$I$107,0),1)</f>
        <v>28</v>
      </c>
      <c r="J41" s="28">
        <f>H41*10*(1+VLOOKUP(I41,技能效果!$B$2:$D$101,3,FALSE))</f>
        <v>8620.2400000000016</v>
      </c>
      <c r="K41" s="28">
        <f>H41*10*(1+VLOOKUP(I41,技能效果!$B$2:$D$101,3,FALSE))*(1+G41)</f>
        <v>20347.514330434788</v>
      </c>
      <c r="L41" s="2">
        <f t="shared" si="2"/>
        <v>40</v>
      </c>
      <c r="M41" s="28">
        <f t="shared" si="3"/>
        <v>9999.36</v>
      </c>
      <c r="N41" s="28">
        <f t="shared" si="4"/>
        <v>26412.201335172416</v>
      </c>
      <c r="O41" s="62">
        <f t="shared" si="17"/>
        <v>22783</v>
      </c>
      <c r="P41" s="62">
        <f t="shared" si="15"/>
        <v>9055</v>
      </c>
      <c r="Q41" s="64">
        <f t="shared" si="13"/>
        <v>1209</v>
      </c>
      <c r="R41" s="67">
        <v>1</v>
      </c>
      <c r="S41" s="67">
        <v>1</v>
      </c>
      <c r="T41" s="67">
        <v>1</v>
      </c>
      <c r="U41" s="67">
        <v>1</v>
      </c>
      <c r="V41" s="67">
        <v>1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64">
        <f>INDEX(角色属性!AM$8:AM$107,MATCH($D41,角色属性!$I$8:$I$107,0),1)</f>
        <v>23000</v>
      </c>
      <c r="AC41" s="64">
        <f>INDEX(角色属性!AN$8:AN$107,MATCH($D41,角色属性!$I$8:$I$107,0),1)</f>
        <v>2300</v>
      </c>
      <c r="AD41" s="64">
        <f>INDEX(角色属性!AO$8:AO$107,MATCH($D41,角色属性!$I$8:$I$107,0),1)</f>
        <v>1150</v>
      </c>
      <c r="AE41" s="64">
        <f>INDEX(角色属性!AP$8:AP$107,MATCH($D41,角色属性!$I$8:$I$107,0),1)</f>
        <v>920</v>
      </c>
      <c r="AF41" s="64">
        <f>INDEX(角色属性!AQ$8:AQ$107,MATCH($D41,角色属性!$I$8:$I$107,0),1)</f>
        <v>920</v>
      </c>
      <c r="AG41" s="64">
        <f>$P41/10/(1+VLOOKUP(I41,技能效果!$B$2:$D$101,3,FALSE))*怪物属性规划!A$18*INDEX(怪物属性等级系数!$A$2:$A$101,MATCH(D41,怪物属性等级系数!$D$2:$D$101,0),1)*R41+W41</f>
        <v>6595.9993600318539</v>
      </c>
      <c r="AH41" s="64">
        <f>$P41/10/(1+VLOOKUP($I41,技能效果!$B$2:$D$101,3,FALSE))*怪物属性规划!B$18*S41+X41</f>
        <v>817.23826714801442</v>
      </c>
      <c r="AI41" s="64">
        <f>$P41/10/(1+VLOOKUP($I41,技能效果!$B$2:$D$101,3,FALSE))*怪物属性规划!C$18*T41+Y41</f>
        <v>817.23826714801442</v>
      </c>
      <c r="AJ41" s="64">
        <f>$P41/10/(1+VLOOKUP($I41,技能效果!$B$2:$D$101,3,FALSE))*怪物属性规划!D$18*U41+Z41</f>
        <v>653.79061371841158</v>
      </c>
      <c r="AK41" s="64">
        <f>$P41/10/(1+VLOOKUP($I41,技能效果!$B$2:$D$101,3,FALSE))*怪物属性规划!E$18*V41+AA41</f>
        <v>653.79061371841158</v>
      </c>
      <c r="AL41" s="67">
        <f>INDEX(角色属性!BB$8:BB$107,MATCH($D41,角色属性!$I$8:$I$107,0),1)</f>
        <v>1.2700000000000002</v>
      </c>
      <c r="AM41" s="64">
        <f>INDEX(角色属性!BC$8:BC$107,MATCH($D41,角色属性!$I$8:$I$107,0),1)</f>
        <v>1118</v>
      </c>
      <c r="AN41" s="64">
        <f>INDEX(角色属性!BD$8:BD$107,MATCH($D41,角色属性!$I$8:$I$107,0),1)</f>
        <v>557</v>
      </c>
      <c r="AO41" s="69">
        <f t="shared" si="6"/>
        <v>0.63016678654612579</v>
      </c>
      <c r="AP41" s="69">
        <f t="shared" si="7"/>
        <v>0.82796178128417597</v>
      </c>
      <c r="AQ41" s="64">
        <f>AL41*角色属性!$BA$1*(AC41*(1-AO41)+MAX(AF41-AJ41,0))</f>
        <v>2836.7374741527688</v>
      </c>
      <c r="AR41" s="64">
        <f>角色属性!$BA$1*(AH41*(1-AP41)+MAX(AK41-AE41,0))</f>
        <v>281.19243149310228</v>
      </c>
      <c r="AS41" s="73">
        <f t="shared" si="8"/>
        <v>1.2917811825364711</v>
      </c>
      <c r="AT41" s="73">
        <f t="shared" si="9"/>
        <v>0.86118745502431393</v>
      </c>
      <c r="AU41" s="73">
        <f t="shared" si="10"/>
        <v>0.64589059126823556</v>
      </c>
      <c r="AV41" s="73">
        <f t="shared" si="1"/>
        <v>81.794520136521513</v>
      </c>
      <c r="AW41" s="73">
        <f t="shared" si="11"/>
        <v>54.529680091014342</v>
      </c>
      <c r="AX41" s="2" t="str">
        <f t="shared" si="12"/>
        <v>r_guanqia_39</v>
      </c>
      <c r="AY41" s="2">
        <f>ROUND(($P41*R41/10/$H41/(1+VLOOKUP($I41,技能效果!$B$2:$D$101,3,FALSE))-1)*10000,0)</f>
        <v>504</v>
      </c>
      <c r="AZ41" s="2">
        <f>ROUND(($P41*S41/10/$H41/(1+VLOOKUP($I41,技能效果!$B$2:$D$101,3,FALSE))-1)*10000,0)</f>
        <v>504</v>
      </c>
      <c r="BA41" s="2">
        <f>ROUND(($P41*T41/10/$H41/(1+VLOOKUP($I41,技能效果!$B$2:$D$101,3,FALSE))-1)*10000,0)</f>
        <v>504</v>
      </c>
      <c r="BB41" s="2">
        <f>ROUND(($P41*U41/10/$H41/(1+VLOOKUP($I41,技能效果!$B$2:$D$101,3,FALSE))-1)*10000,0)</f>
        <v>504</v>
      </c>
      <c r="BC41" s="2">
        <f>ROUND(($P41*V41/10/$H41/(1+VLOOKUP($I41,技能效果!$B$2:$D$101,3,FALSE))-1)*10000,0)</f>
        <v>504</v>
      </c>
    </row>
    <row r="42" spans="2:55" x14ac:dyDescent="0.15">
      <c r="B42" s="83"/>
      <c r="C42" s="2">
        <v>40</v>
      </c>
      <c r="D42" s="2">
        <f t="shared" ref="D42:D86" si="18">D32+5</f>
        <v>30</v>
      </c>
      <c r="E42" s="2">
        <v>1.8</v>
      </c>
      <c r="F42" s="28">
        <f>INDEX([3]宠物属性!$AL$8:$AL$107,MATCH(D42,[3]宠物属性!$I$8:$I$107,0),1)</f>
        <v>18887.793600000005</v>
      </c>
      <c r="G42" s="68">
        <f>F42/INDEX(角色属性!$AI$8:$AI$107,MATCH(D42,角色属性!$I$8:$I$107,0),1)*E42</f>
        <v>1.6413891824249167</v>
      </c>
      <c r="H42" s="2">
        <f>INDEX(角色属性!$AL$8:$AL$107,MATCH(D42,角色属性!$I$8:$I$107,0),1)</f>
        <v>896</v>
      </c>
      <c r="I42" s="2">
        <f>INDEX(角色属性!$Y$8:$Y$107,MATCH(D42,角色属性!$I$8:$I$107,0),1)</f>
        <v>30</v>
      </c>
      <c r="J42" s="28">
        <f>H42*10*(1+VLOOKUP(I42,技能效果!$B$2:$D$101,3,FALSE))</f>
        <v>9999.36</v>
      </c>
      <c r="K42" s="28">
        <f>H42*10*(1+VLOOKUP(I42,技能效果!$B$2:$D$101,3,FALSE))*(1+G42)</f>
        <v>26412.201335172416</v>
      </c>
      <c r="L42" s="2">
        <f t="shared" si="2"/>
        <v>40</v>
      </c>
      <c r="M42" s="28">
        <f t="shared" si="3"/>
        <v>9999.36</v>
      </c>
      <c r="N42" s="28">
        <f t="shared" si="4"/>
        <v>26412.201335172416</v>
      </c>
      <c r="O42" s="62">
        <f t="shared" si="17"/>
        <v>26412</v>
      </c>
      <c r="P42" s="62">
        <f t="shared" si="15"/>
        <v>9999</v>
      </c>
      <c r="Q42" s="64">
        <f t="shared" si="13"/>
        <v>3629</v>
      </c>
      <c r="R42" s="67">
        <v>1</v>
      </c>
      <c r="S42" s="67">
        <v>1</v>
      </c>
      <c r="T42" s="67">
        <v>1</v>
      </c>
      <c r="U42" s="67">
        <v>1</v>
      </c>
      <c r="V42" s="67">
        <v>1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64">
        <f>INDEX(角色属性!AM$8:AM$107,MATCH($D42,角色属性!$I$8:$I$107,0),1)</f>
        <v>37120</v>
      </c>
      <c r="AC42" s="64">
        <f>INDEX(角色属性!AN$8:AN$107,MATCH($D42,角色属性!$I$8:$I$107,0),1)</f>
        <v>3712</v>
      </c>
      <c r="AD42" s="64">
        <f>INDEX(角色属性!AO$8:AO$107,MATCH($D42,角色属性!$I$8:$I$107,0),1)</f>
        <v>1856</v>
      </c>
      <c r="AE42" s="64">
        <f>INDEX(角色属性!AP$8:AP$107,MATCH($D42,角色属性!$I$8:$I$107,0),1)</f>
        <v>1484.8</v>
      </c>
      <c r="AF42" s="64">
        <f>INDEX(角色属性!AQ$8:AQ$107,MATCH($D42,角色属性!$I$8:$I$107,0),1)</f>
        <v>1484.8</v>
      </c>
      <c r="AG42" s="64">
        <f>$P42/10/(1+VLOOKUP(I42,技能效果!$B$2:$D$101,3,FALSE))*怪物属性规划!A$18*INDEX(怪物属性等级系数!$A$2:$A$101,MATCH(D42,怪物属性等级系数!$D$2:$D$101,0),1)*R42+W42</f>
        <v>7458.9921689394778</v>
      </c>
      <c r="AH42" s="64">
        <f>$P42/10/(1+VLOOKUP($I42,技能效果!$B$2:$D$101,3,FALSE))*怪物属性规划!B$18*S42+X42</f>
        <v>895.96774193548379</v>
      </c>
      <c r="AI42" s="64">
        <f>$P42/10/(1+VLOOKUP($I42,技能效果!$B$2:$D$101,3,FALSE))*怪物属性规划!C$18*T42+Y42</f>
        <v>895.96774193548379</v>
      </c>
      <c r="AJ42" s="64">
        <f>$P42/10/(1+VLOOKUP($I42,技能效果!$B$2:$D$101,3,FALSE))*怪物属性规划!D$18*U42+Z42</f>
        <v>716.77419354838707</v>
      </c>
      <c r="AK42" s="64">
        <f>$P42/10/(1+VLOOKUP($I42,技能效果!$B$2:$D$101,3,FALSE))*怪物属性规划!E$18*V42+AA42</f>
        <v>716.77419354838707</v>
      </c>
      <c r="AL42" s="67">
        <f>INDEX(角色属性!BB$8:BB$107,MATCH($D42,角色属性!$I$8:$I$107,0),1)</f>
        <v>1.2900000000000003</v>
      </c>
      <c r="AM42" s="64">
        <f>INDEX(角色属性!BC$8:BC$107,MATCH($D42,角色属性!$I$8:$I$107,0),1)</f>
        <v>1320</v>
      </c>
      <c r="AN42" s="64">
        <f>INDEX(角色属性!BD$8:BD$107,MATCH($D42,角色属性!$I$8:$I$107,0),1)</f>
        <v>702</v>
      </c>
      <c r="AO42" s="69">
        <f t="shared" si="6"/>
        <v>0.61273320261691677</v>
      </c>
      <c r="AP42" s="69">
        <f t="shared" si="7"/>
        <v>0.86039131116033229</v>
      </c>
      <c r="AQ42" s="64">
        <f>AL42*角色属性!$BA$1*(AC42*(1-AO42)+MAX(AF42-AJ42,0))</f>
        <v>5690.3452085110548</v>
      </c>
      <c r="AR42" s="64">
        <f>角色属性!$BA$1*(AH42*(1-AP42)+MAX(AK42-AE42,0))</f>
        <v>250.16976338850131</v>
      </c>
      <c r="AS42" s="73">
        <f t="shared" si="8"/>
        <v>0.72823078151773601</v>
      </c>
      <c r="AT42" s="73">
        <f t="shared" si="9"/>
        <v>0.48548718767849064</v>
      </c>
      <c r="AU42" s="73">
        <f t="shared" si="10"/>
        <v>0.36411539075886801</v>
      </c>
      <c r="AV42" s="73">
        <f t="shared" si="1"/>
        <v>148.37924254800717</v>
      </c>
      <c r="AW42" s="73">
        <f t="shared" si="11"/>
        <v>98.919495032004789</v>
      </c>
      <c r="AX42" s="2" t="str">
        <f t="shared" si="12"/>
        <v>r_guanqia_40</v>
      </c>
      <c r="AY42" s="2">
        <f>ROUND(($P42*R42/10/$H42/(1+VLOOKUP($I42,技能效果!$B$2:$D$101,3,FALSE))-1)*10000,0)</f>
        <v>0</v>
      </c>
      <c r="AZ42" s="2">
        <f>ROUND(($P42*S42/10/$H42/(1+VLOOKUP($I42,技能效果!$B$2:$D$101,3,FALSE))-1)*10000,0)</f>
        <v>0</v>
      </c>
      <c r="BA42" s="2">
        <f>ROUND(($P42*T42/10/$H42/(1+VLOOKUP($I42,技能效果!$B$2:$D$101,3,FALSE))-1)*10000,0)</f>
        <v>0</v>
      </c>
      <c r="BB42" s="2">
        <f>ROUND(($P42*U42/10/$H42/(1+VLOOKUP($I42,技能效果!$B$2:$D$101,3,FALSE))-1)*10000,0)</f>
        <v>0</v>
      </c>
      <c r="BC42" s="2">
        <f>ROUND(($P42*V42/10/$H42/(1+VLOOKUP($I42,技能效果!$B$2:$D$101,3,FALSE))-1)*10000,0)</f>
        <v>0</v>
      </c>
    </row>
    <row r="43" spans="2:55" x14ac:dyDescent="0.15">
      <c r="B43" s="83" t="s">
        <v>116</v>
      </c>
      <c r="C43" s="2">
        <v>41</v>
      </c>
      <c r="D43" s="2">
        <f t="shared" si="18"/>
        <v>30</v>
      </c>
      <c r="E43" s="2">
        <v>1.85</v>
      </c>
      <c r="F43" s="28">
        <f>INDEX([3]宠物属性!$AL$8:$AL$107,MATCH(D43,[3]宠物属性!$I$8:$I$107,0),1)</f>
        <v>18887.793600000005</v>
      </c>
      <c r="G43" s="68">
        <f>F43/INDEX(角色属性!$AI$8:$AI$107,MATCH(D43,角色属性!$I$8:$I$107,0),1)*E43</f>
        <v>1.6869833263811644</v>
      </c>
      <c r="H43" s="2">
        <f>INDEX(角色属性!$AL$8:$AL$107,MATCH(D43,角色属性!$I$8:$I$107,0),1)</f>
        <v>896</v>
      </c>
      <c r="I43" s="2">
        <f>INDEX(角色属性!$Y$8:$Y$107,MATCH(D43,角色属性!$I$8:$I$107,0),1)</f>
        <v>30</v>
      </c>
      <c r="J43" s="28">
        <f>H43*10*(1+VLOOKUP(I43,技能效果!$B$2:$D$101,3,FALSE))</f>
        <v>9999.36</v>
      </c>
      <c r="K43" s="28">
        <f>H43*10*(1+VLOOKUP(I43,技能效果!$B$2:$D$101,3,FALSE))*(1+G43)</f>
        <v>26868.113594482762</v>
      </c>
      <c r="L43" s="2">
        <f t="shared" si="2"/>
        <v>50</v>
      </c>
      <c r="M43" s="28">
        <f t="shared" si="3"/>
        <v>14177.28</v>
      </c>
      <c r="N43" s="28">
        <f t="shared" si="4"/>
        <v>51591.52955641185</v>
      </c>
      <c r="O43" s="62">
        <f t="shared" si="17"/>
        <v>27168</v>
      </c>
      <c r="P43" s="62">
        <f t="shared" si="15"/>
        <v>10125</v>
      </c>
      <c r="Q43" s="64">
        <f t="shared" si="13"/>
        <v>756</v>
      </c>
      <c r="R43" s="67">
        <v>1</v>
      </c>
      <c r="S43" s="67">
        <v>1</v>
      </c>
      <c r="T43" s="67">
        <v>1</v>
      </c>
      <c r="U43" s="67">
        <v>1</v>
      </c>
      <c r="V43" s="67">
        <v>1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64">
        <f>INDEX(角色属性!AM$8:AM$107,MATCH($D43,角色属性!$I$8:$I$107,0),1)</f>
        <v>37120</v>
      </c>
      <c r="AC43" s="64">
        <f>INDEX(角色属性!AN$8:AN$107,MATCH($D43,角色属性!$I$8:$I$107,0),1)</f>
        <v>3712</v>
      </c>
      <c r="AD43" s="64">
        <f>INDEX(角色属性!AO$8:AO$107,MATCH($D43,角色属性!$I$8:$I$107,0),1)</f>
        <v>1856</v>
      </c>
      <c r="AE43" s="64">
        <f>INDEX(角色属性!AP$8:AP$107,MATCH($D43,角色属性!$I$8:$I$107,0),1)</f>
        <v>1484.8</v>
      </c>
      <c r="AF43" s="64">
        <f>INDEX(角色属性!AQ$8:AQ$107,MATCH($D43,角色属性!$I$8:$I$107,0),1)</f>
        <v>1484.8</v>
      </c>
      <c r="AG43" s="64">
        <f>$P43/10/(1+VLOOKUP(I43,技能效果!$B$2:$D$101,3,FALSE))*怪物属性规划!A$18*INDEX(怪物属性等级系数!$A$2:$A$101,MATCH(D43,怪物属性等级系数!$D$2:$D$101,0),1)*R43+W43</f>
        <v>7552.9848695381761</v>
      </c>
      <c r="AH43" s="64">
        <f>$P43/10/(1+VLOOKUP($I43,技能效果!$B$2:$D$101,3,FALSE))*怪物属性规划!B$18*S43+X43</f>
        <v>907.25806451612891</v>
      </c>
      <c r="AI43" s="64">
        <f>$P43/10/(1+VLOOKUP($I43,技能效果!$B$2:$D$101,3,FALSE))*怪物属性规划!C$18*T43+Y43</f>
        <v>907.25806451612891</v>
      </c>
      <c r="AJ43" s="64">
        <f>$P43/10/(1+VLOOKUP($I43,技能效果!$B$2:$D$101,3,FALSE))*怪物属性规划!D$18*U43+Z43</f>
        <v>725.80645161290317</v>
      </c>
      <c r="AK43" s="64">
        <f>$P43/10/(1+VLOOKUP($I43,技能效果!$B$2:$D$101,3,FALSE))*怪物属性规划!E$18*V43+AA43</f>
        <v>725.80645161290317</v>
      </c>
      <c r="AL43" s="67">
        <f>INDEX(角色属性!BB$8:BB$107,MATCH($D43,角色属性!$I$8:$I$107,0),1)</f>
        <v>1.2900000000000003</v>
      </c>
      <c r="AM43" s="64">
        <f>INDEX(角色属性!BC$8:BC$107,MATCH($D43,角色属性!$I$8:$I$107,0),1)</f>
        <v>1320</v>
      </c>
      <c r="AN43" s="64">
        <f>INDEX(角色属性!BD$8:BD$107,MATCH($D43,角色属性!$I$8:$I$107,0),1)</f>
        <v>702</v>
      </c>
      <c r="AO43" s="69">
        <f t="shared" si="6"/>
        <v>0.61570046024840797</v>
      </c>
      <c r="AP43" s="69">
        <f t="shared" si="7"/>
        <v>0.86039131116033229</v>
      </c>
      <c r="AQ43" s="64">
        <f>AL43*角色属性!$BA$1*(AC43*(1-AO43)+MAX(AF43-AJ43,0))</f>
        <v>5638.6246750581167</v>
      </c>
      <c r="AR43" s="64">
        <f>角色属性!$BA$1*(AH43*(1-AP43)+MAX(AK43-AE43,0))</f>
        <v>253.32221765262281</v>
      </c>
      <c r="AS43" s="73">
        <f t="shared" si="8"/>
        <v>0.74417130898249373</v>
      </c>
      <c r="AT43" s="73">
        <f t="shared" si="9"/>
        <v>0.49611420598832912</v>
      </c>
      <c r="AU43" s="73">
        <f t="shared" si="10"/>
        <v>0.37208565449124686</v>
      </c>
      <c r="AV43" s="73">
        <f t="shared" si="1"/>
        <v>146.53274530740975</v>
      </c>
      <c r="AW43" s="73">
        <f t="shared" si="11"/>
        <v>97.688496871606517</v>
      </c>
      <c r="AX43" s="2" t="str">
        <f t="shared" si="12"/>
        <v>r_guanqia_41</v>
      </c>
      <c r="AY43" s="2">
        <f>ROUND(($P43*R43/10/$H43/(1+VLOOKUP($I43,技能效果!$B$2:$D$101,3,FALSE))-1)*10000,0)</f>
        <v>126</v>
      </c>
      <c r="AZ43" s="2">
        <f>ROUND(($P43*S43/10/$H43/(1+VLOOKUP($I43,技能效果!$B$2:$D$101,3,FALSE))-1)*10000,0)</f>
        <v>126</v>
      </c>
      <c r="BA43" s="2">
        <f>ROUND(($P43*T43/10/$H43/(1+VLOOKUP($I43,技能效果!$B$2:$D$101,3,FALSE))-1)*10000,0)</f>
        <v>126</v>
      </c>
      <c r="BB43" s="2">
        <f>ROUND(($P43*U43/10/$H43/(1+VLOOKUP($I43,技能效果!$B$2:$D$101,3,FALSE))-1)*10000,0)</f>
        <v>126</v>
      </c>
      <c r="BC43" s="2">
        <f>ROUND(($P43*V43/10/$H43/(1+VLOOKUP($I43,技能效果!$B$2:$D$101,3,FALSE))-1)*10000,0)</f>
        <v>126</v>
      </c>
    </row>
    <row r="44" spans="2:55" x14ac:dyDescent="0.15">
      <c r="B44" s="83"/>
      <c r="C44" s="2">
        <v>42</v>
      </c>
      <c r="D44" s="2">
        <f t="shared" si="18"/>
        <v>30</v>
      </c>
      <c r="E44" s="2">
        <v>1.9</v>
      </c>
      <c r="F44" s="28">
        <f>INDEX([3]宠物属性!$AL$8:$AL$107,MATCH(D44,[3]宠物属性!$I$8:$I$107,0),1)</f>
        <v>18887.793600000005</v>
      </c>
      <c r="G44" s="68">
        <f>F44/INDEX(角色属性!$AI$8:$AI$107,MATCH(D44,角色属性!$I$8:$I$107,0),1)*E44</f>
        <v>1.7325774703374119</v>
      </c>
      <c r="H44" s="2">
        <f>INDEX(角色属性!$AL$8:$AL$107,MATCH(D44,角色属性!$I$8:$I$107,0),1)</f>
        <v>896</v>
      </c>
      <c r="I44" s="2">
        <f>INDEX(角色属性!$Y$8:$Y$107,MATCH(D44,角色属性!$I$8:$I$107,0),1)</f>
        <v>30</v>
      </c>
      <c r="J44" s="28">
        <f>H44*10*(1+VLOOKUP(I44,技能效果!$B$2:$D$101,3,FALSE))</f>
        <v>9999.36</v>
      </c>
      <c r="K44" s="28">
        <f>H44*10*(1+VLOOKUP(I44,技能效果!$B$2:$D$101,3,FALSE))*(1+G44)</f>
        <v>27324.025853793104</v>
      </c>
      <c r="L44" s="2">
        <f t="shared" si="2"/>
        <v>50</v>
      </c>
      <c r="M44" s="28">
        <f t="shared" si="3"/>
        <v>14177.28</v>
      </c>
      <c r="N44" s="28">
        <f t="shared" si="4"/>
        <v>51591.52955641185</v>
      </c>
      <c r="O44" s="62">
        <f t="shared" si="17"/>
        <v>28427</v>
      </c>
      <c r="P44" s="62">
        <f t="shared" si="15"/>
        <v>10334</v>
      </c>
      <c r="Q44" s="64">
        <f t="shared" si="13"/>
        <v>1259</v>
      </c>
      <c r="R44" s="67">
        <v>1</v>
      </c>
      <c r="S44" s="67">
        <v>1</v>
      </c>
      <c r="T44" s="67">
        <v>1</v>
      </c>
      <c r="U44" s="67">
        <v>1</v>
      </c>
      <c r="V44" s="67">
        <v>1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64">
        <f>INDEX(角色属性!AM$8:AM$107,MATCH($D44,角色属性!$I$8:$I$107,0),1)</f>
        <v>37120</v>
      </c>
      <c r="AC44" s="64">
        <f>INDEX(角色属性!AN$8:AN$107,MATCH($D44,角色属性!$I$8:$I$107,0),1)</f>
        <v>3712</v>
      </c>
      <c r="AD44" s="64">
        <f>INDEX(角色属性!AO$8:AO$107,MATCH($D44,角色属性!$I$8:$I$107,0),1)</f>
        <v>1856</v>
      </c>
      <c r="AE44" s="64">
        <f>INDEX(角色属性!AP$8:AP$107,MATCH($D44,角色属性!$I$8:$I$107,0),1)</f>
        <v>1484.8</v>
      </c>
      <c r="AF44" s="64">
        <f>INDEX(角色属性!AQ$8:AQ$107,MATCH($D44,角色属性!$I$8:$I$107,0),1)</f>
        <v>1484.8</v>
      </c>
      <c r="AG44" s="64">
        <f>$P44/10/(1+VLOOKUP(I44,技能效果!$B$2:$D$101,3,FALSE))*怪物属性规划!A$18*INDEX(怪物属性等级系数!$A$2:$A$101,MATCH(D44,怪物属性等级系数!$D$2:$D$101,0),1)*R44+W44</f>
        <v>7708.8933967217308</v>
      </c>
      <c r="AH44" s="64">
        <f>$P44/10/(1+VLOOKUP($I44,技能效果!$B$2:$D$101,3,FALSE))*怪物属性规划!B$18*S44+X44</f>
        <v>925.98566308243733</v>
      </c>
      <c r="AI44" s="64">
        <f>$P44/10/(1+VLOOKUP($I44,技能效果!$B$2:$D$101,3,FALSE))*怪物属性规划!C$18*T44+Y44</f>
        <v>925.98566308243733</v>
      </c>
      <c r="AJ44" s="64">
        <f>$P44/10/(1+VLOOKUP($I44,技能效果!$B$2:$D$101,3,FALSE))*怪物属性规划!D$18*U44+Z44</f>
        <v>740.78853046594986</v>
      </c>
      <c r="AK44" s="64">
        <f>$P44/10/(1+VLOOKUP($I44,技能效果!$B$2:$D$101,3,FALSE))*怪物属性规划!E$18*V44+AA44</f>
        <v>740.78853046594986</v>
      </c>
      <c r="AL44" s="67">
        <f>INDEX(角色属性!BB$8:BB$107,MATCH($D44,角色属性!$I$8:$I$107,0),1)</f>
        <v>1.2900000000000003</v>
      </c>
      <c r="AM44" s="64">
        <f>INDEX(角色属性!BC$8:BC$107,MATCH($D44,角色属性!$I$8:$I$107,0),1)</f>
        <v>1320</v>
      </c>
      <c r="AN44" s="64">
        <f>INDEX(角色属性!BD$8:BD$107,MATCH($D44,角色属性!$I$8:$I$107,0),1)</f>
        <v>702</v>
      </c>
      <c r="AO44" s="69">
        <f t="shared" si="6"/>
        <v>0.62052333307040863</v>
      </c>
      <c r="AP44" s="69">
        <f t="shared" si="7"/>
        <v>0.86039131116033229</v>
      </c>
      <c r="AQ44" s="64">
        <f>AL44*角色属性!$BA$1*(AC44*(1-AO44)+MAX(AF44-AJ44,0))</f>
        <v>5553.7824515158691</v>
      </c>
      <c r="AR44" s="64">
        <f>角色属性!$BA$1*(AH44*(1-AP44)+MAX(AK44-AE44,0))</f>
        <v>258.55128861453875</v>
      </c>
      <c r="AS44" s="73">
        <f t="shared" si="8"/>
        <v>0.77113545428221708</v>
      </c>
      <c r="AT44" s="73">
        <f t="shared" si="9"/>
        <v>0.51409030285481139</v>
      </c>
      <c r="AU44" s="73">
        <f t="shared" si="10"/>
        <v>0.38556772714110854</v>
      </c>
      <c r="AV44" s="73">
        <f t="shared" si="1"/>
        <v>143.56919355888556</v>
      </c>
      <c r="AW44" s="73">
        <f t="shared" si="11"/>
        <v>95.71279570592371</v>
      </c>
      <c r="AX44" s="2" t="str">
        <f t="shared" si="12"/>
        <v>r_guanqia_42</v>
      </c>
      <c r="AY44" s="2">
        <f>ROUND(($P44*R44/10/$H44/(1+VLOOKUP($I44,技能效果!$B$2:$D$101,3,FALSE))-1)*10000,0)</f>
        <v>335</v>
      </c>
      <c r="AZ44" s="2">
        <f>ROUND(($P44*S44/10/$H44/(1+VLOOKUP($I44,技能效果!$B$2:$D$101,3,FALSE))-1)*10000,0)</f>
        <v>335</v>
      </c>
      <c r="BA44" s="2">
        <f>ROUND(($P44*T44/10/$H44/(1+VLOOKUP($I44,技能效果!$B$2:$D$101,3,FALSE))-1)*10000,0)</f>
        <v>335</v>
      </c>
      <c r="BB44" s="2">
        <f>ROUND(($P44*U44/10/$H44/(1+VLOOKUP($I44,技能效果!$B$2:$D$101,3,FALSE))-1)*10000,0)</f>
        <v>335</v>
      </c>
      <c r="BC44" s="2">
        <f>ROUND(($P44*V44/10/$H44/(1+VLOOKUP($I44,技能效果!$B$2:$D$101,3,FALSE))-1)*10000,0)</f>
        <v>335</v>
      </c>
    </row>
    <row r="45" spans="2:55" x14ac:dyDescent="0.15">
      <c r="B45" s="83"/>
      <c r="C45" s="2">
        <v>43</v>
      </c>
      <c r="D45" s="2">
        <f t="shared" si="18"/>
        <v>31</v>
      </c>
      <c r="E45" s="2">
        <v>1.95</v>
      </c>
      <c r="F45" s="28">
        <f>INDEX([3]宠物属性!$AL$8:$AL$107,MATCH(D45,[3]宠物属性!$I$8:$I$107,0),1)</f>
        <v>19576.081200000001</v>
      </c>
      <c r="G45" s="68">
        <f>F45/INDEX(角色属性!$AI$8:$AI$107,MATCH(D45,角色属性!$I$8:$I$107,0),1)*E45</f>
        <v>1.7550646581212299</v>
      </c>
      <c r="H45" s="2">
        <f>INDEX(角色属性!$AL$8:$AL$107,MATCH(D45,角色属性!$I$8:$I$107,0),1)</f>
        <v>959</v>
      </c>
      <c r="I45" s="2">
        <f>INDEX(角色属性!$Y$8:$Y$107,MATCH(D45,角色属性!$I$8:$I$107,0),1)</f>
        <v>31</v>
      </c>
      <c r="J45" s="28">
        <f>H45*10*(1+VLOOKUP(I45,技能效果!$B$2:$D$101,3,FALSE))</f>
        <v>10740.800000000001</v>
      </c>
      <c r="K45" s="28">
        <f>H45*10*(1+VLOOKUP(I45,技能效果!$B$2:$D$101,3,FALSE))*(1+G45)</f>
        <v>29591.598479948509</v>
      </c>
      <c r="L45" s="2">
        <f t="shared" si="2"/>
        <v>50</v>
      </c>
      <c r="M45" s="28">
        <f t="shared" si="3"/>
        <v>14177.28</v>
      </c>
      <c r="N45" s="28">
        <f t="shared" si="4"/>
        <v>51591.52955641185</v>
      </c>
      <c r="O45" s="62">
        <f t="shared" si="17"/>
        <v>30189</v>
      </c>
      <c r="P45" s="62">
        <f t="shared" si="15"/>
        <v>10626</v>
      </c>
      <c r="Q45" s="64">
        <f t="shared" si="13"/>
        <v>1762</v>
      </c>
      <c r="R45" s="67">
        <v>1</v>
      </c>
      <c r="S45" s="67">
        <v>1</v>
      </c>
      <c r="T45" s="67">
        <v>1</v>
      </c>
      <c r="U45" s="67">
        <v>1</v>
      </c>
      <c r="V45" s="67">
        <v>1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64">
        <f>INDEX(角色属性!AM$8:AM$107,MATCH($D45,角色属性!$I$8:$I$107,0),1)</f>
        <v>38840</v>
      </c>
      <c r="AC45" s="64">
        <f>INDEX(角色属性!AN$8:AN$107,MATCH($D45,角色属性!$I$8:$I$107,0),1)</f>
        <v>3884</v>
      </c>
      <c r="AD45" s="64">
        <f>INDEX(角色属性!AO$8:AO$107,MATCH($D45,角色属性!$I$8:$I$107,0),1)</f>
        <v>1942</v>
      </c>
      <c r="AE45" s="64">
        <f>INDEX(角色属性!AP$8:AP$107,MATCH($D45,角色属性!$I$8:$I$107,0),1)</f>
        <v>1553.6</v>
      </c>
      <c r="AF45" s="64">
        <f>INDEX(角色属性!AQ$8:AQ$107,MATCH($D45,角色属性!$I$8:$I$107,0),1)</f>
        <v>1553.6</v>
      </c>
      <c r="AG45" s="64">
        <f>$P45/10/(1+VLOOKUP(I45,技能效果!$B$2:$D$101,3,FALSE))*怪物属性规划!A$18*INDEX(怪物属性等级系数!$A$2:$A$101,MATCH(D45,怪物属性等级系数!$D$2:$D$101,0),1)*R45+W45</f>
        <v>8019.6500012496472</v>
      </c>
      <c r="AH45" s="64">
        <f>$P45/10/(1+VLOOKUP($I45,技能效果!$B$2:$D$101,3,FALSE))*怪物属性规划!B$18*S45+X45</f>
        <v>948.74999999999977</v>
      </c>
      <c r="AI45" s="64">
        <f>$P45/10/(1+VLOOKUP($I45,技能效果!$B$2:$D$101,3,FALSE))*怪物属性规划!C$18*T45+Y45</f>
        <v>948.74999999999977</v>
      </c>
      <c r="AJ45" s="64">
        <f>$P45/10/(1+VLOOKUP($I45,技能效果!$B$2:$D$101,3,FALSE))*怪物属性规划!D$18*U45+Z45</f>
        <v>758.99999999999989</v>
      </c>
      <c r="AK45" s="64">
        <f>$P45/10/(1+VLOOKUP($I45,技能效果!$B$2:$D$101,3,FALSE))*怪物属性规划!E$18*V45+AA45</f>
        <v>758.99999999999989</v>
      </c>
      <c r="AL45" s="67">
        <f>INDEX(角色属性!BB$8:BB$107,MATCH($D45,角色属性!$I$8:$I$107,0),1)</f>
        <v>1.3000000000000003</v>
      </c>
      <c r="AM45" s="64">
        <f>INDEX(角色属性!BC$8:BC$107,MATCH($D45,角色属性!$I$8:$I$107,0),1)</f>
        <v>1431</v>
      </c>
      <c r="AN45" s="64">
        <f>INDEX(角色属性!BD$8:BD$107,MATCH($D45,角色属性!$I$8:$I$107,0),1)</f>
        <v>724</v>
      </c>
      <c r="AO45" s="69">
        <f t="shared" si="6"/>
        <v>0.60714210292906456</v>
      </c>
      <c r="AP45" s="69">
        <f t="shared" si="7"/>
        <v>0.86211642034346148</v>
      </c>
      <c r="AQ45" s="64">
        <f>AL45*角色属性!$BA$1*(AC45*(1-AO45)+MAX(AF45-AJ45,0))</f>
        <v>6033.1961877811354</v>
      </c>
      <c r="AR45" s="64">
        <f>角色属性!$BA$1*(AH45*(1-AP45)+MAX(AK45-AE45,0))</f>
        <v>261.63409239828178</v>
      </c>
      <c r="AS45" s="73">
        <f t="shared" si="8"/>
        <v>0.7384744293296277</v>
      </c>
      <c r="AT45" s="73">
        <f t="shared" si="9"/>
        <v>0.49231628621975182</v>
      </c>
      <c r="AU45" s="73">
        <f t="shared" si="10"/>
        <v>0.36923721466481385</v>
      </c>
      <c r="AV45" s="73">
        <f t="shared" si="1"/>
        <v>148.45160141008853</v>
      </c>
      <c r="AW45" s="73">
        <f t="shared" si="11"/>
        <v>98.967734273392367</v>
      </c>
      <c r="AX45" s="2" t="str">
        <f t="shared" si="12"/>
        <v>r_guanqia_43</v>
      </c>
      <c r="AY45" s="2">
        <f>ROUND(($P45*R45/10/$H45/(1+VLOOKUP($I45,技能效果!$B$2:$D$101,3,FALSE))-1)*10000,0)</f>
        <v>-107</v>
      </c>
      <c r="AZ45" s="2">
        <f>ROUND(($P45*S45/10/$H45/(1+VLOOKUP($I45,技能效果!$B$2:$D$101,3,FALSE))-1)*10000,0)</f>
        <v>-107</v>
      </c>
      <c r="BA45" s="2">
        <f>ROUND(($P45*T45/10/$H45/(1+VLOOKUP($I45,技能效果!$B$2:$D$101,3,FALSE))-1)*10000,0)</f>
        <v>-107</v>
      </c>
      <c r="BB45" s="2">
        <f>ROUND(($P45*U45/10/$H45/(1+VLOOKUP($I45,技能效果!$B$2:$D$101,3,FALSE))-1)*10000,0)</f>
        <v>-107</v>
      </c>
      <c r="BC45" s="2">
        <f>ROUND(($P45*V45/10/$H45/(1+VLOOKUP($I45,技能效果!$B$2:$D$101,3,FALSE))-1)*10000,0)</f>
        <v>-107</v>
      </c>
    </row>
    <row r="46" spans="2:55" x14ac:dyDescent="0.15">
      <c r="B46" s="83"/>
      <c r="C46" s="2">
        <v>44</v>
      </c>
      <c r="D46" s="2">
        <f t="shared" si="18"/>
        <v>31</v>
      </c>
      <c r="E46" s="2">
        <v>2</v>
      </c>
      <c r="F46" s="28">
        <f>INDEX([3]宠物属性!$AL$8:$AL$107,MATCH(D46,[3]宠物属性!$I$8:$I$107,0),1)</f>
        <v>19576.081200000001</v>
      </c>
      <c r="G46" s="68">
        <f>F46/INDEX(角色属性!$AI$8:$AI$107,MATCH(D46,角色属性!$I$8:$I$107,0),1)*E46</f>
        <v>1.8000663160217742</v>
      </c>
      <c r="H46" s="2">
        <f>INDEX(角色属性!$AL$8:$AL$107,MATCH(D46,角色属性!$I$8:$I$107,0),1)</f>
        <v>959</v>
      </c>
      <c r="I46" s="2">
        <f>INDEX(角色属性!$Y$8:$Y$107,MATCH(D46,角色属性!$I$8:$I$107,0),1)</f>
        <v>31</v>
      </c>
      <c r="J46" s="28">
        <f>H46*10*(1+VLOOKUP(I46,技能效果!$B$2:$D$101,3,FALSE))</f>
        <v>10740.800000000001</v>
      </c>
      <c r="K46" s="28">
        <f>H46*10*(1+VLOOKUP(I46,技能效果!$B$2:$D$101,3,FALSE))*(1+G46)</f>
        <v>30074.952287126674</v>
      </c>
      <c r="L46" s="2">
        <f t="shared" si="2"/>
        <v>50</v>
      </c>
      <c r="M46" s="28">
        <f t="shared" si="3"/>
        <v>14177.28</v>
      </c>
      <c r="N46" s="28">
        <f t="shared" si="4"/>
        <v>51591.52955641185</v>
      </c>
      <c r="O46" s="62">
        <f t="shared" si="17"/>
        <v>32455</v>
      </c>
      <c r="P46" s="62">
        <f t="shared" si="15"/>
        <v>11002</v>
      </c>
      <c r="Q46" s="64">
        <f t="shared" si="13"/>
        <v>2266</v>
      </c>
      <c r="R46" s="67">
        <v>1</v>
      </c>
      <c r="S46" s="67">
        <v>1</v>
      </c>
      <c r="T46" s="67">
        <v>1</v>
      </c>
      <c r="U46" s="67">
        <v>1</v>
      </c>
      <c r="V46" s="67">
        <v>1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64">
        <f>INDEX(角色属性!AM$8:AM$107,MATCH($D46,角色属性!$I$8:$I$107,0),1)</f>
        <v>38840</v>
      </c>
      <c r="AC46" s="64">
        <f>INDEX(角色属性!AN$8:AN$107,MATCH($D46,角色属性!$I$8:$I$107,0),1)</f>
        <v>3884</v>
      </c>
      <c r="AD46" s="64">
        <f>INDEX(角色属性!AO$8:AO$107,MATCH($D46,角色属性!$I$8:$I$107,0),1)</f>
        <v>1942</v>
      </c>
      <c r="AE46" s="64">
        <f>INDEX(角色属性!AP$8:AP$107,MATCH($D46,角色属性!$I$8:$I$107,0),1)</f>
        <v>1553.6</v>
      </c>
      <c r="AF46" s="64">
        <f>INDEX(角色属性!AQ$8:AQ$107,MATCH($D46,角色属性!$I$8:$I$107,0),1)</f>
        <v>1553.6</v>
      </c>
      <c r="AG46" s="64">
        <f>$P46/10/(1+VLOOKUP(I46,技能效果!$B$2:$D$101,3,FALSE))*怪物属性规划!A$18*INDEX(怪物属性等级系数!$A$2:$A$101,MATCH(D46,怪物属性等级系数!$D$2:$D$101,0),1)*R46+W46</f>
        <v>8303.4245542771168</v>
      </c>
      <c r="AH46" s="64">
        <f>$P46/10/(1+VLOOKUP($I46,技能效果!$B$2:$D$101,3,FALSE))*怪物属性规划!B$18*S46+X46</f>
        <v>982.32142857142856</v>
      </c>
      <c r="AI46" s="64">
        <f>$P46/10/(1+VLOOKUP($I46,技能效果!$B$2:$D$101,3,FALSE))*怪物属性规划!C$18*T46+Y46</f>
        <v>982.32142857142856</v>
      </c>
      <c r="AJ46" s="64">
        <f>$P46/10/(1+VLOOKUP($I46,技能效果!$B$2:$D$101,3,FALSE))*怪物属性规划!D$18*U46+Z46</f>
        <v>785.85714285714289</v>
      </c>
      <c r="AK46" s="64">
        <f>$P46/10/(1+VLOOKUP($I46,技能效果!$B$2:$D$101,3,FALSE))*怪物属性规划!E$18*V46+AA46</f>
        <v>785.85714285714289</v>
      </c>
      <c r="AL46" s="67">
        <f>INDEX(角色属性!BB$8:BB$107,MATCH($D46,角色属性!$I$8:$I$107,0),1)</f>
        <v>1.3000000000000003</v>
      </c>
      <c r="AM46" s="64">
        <f>INDEX(角色属性!BC$8:BC$107,MATCH($D46,角色属性!$I$8:$I$107,0),1)</f>
        <v>1431</v>
      </c>
      <c r="AN46" s="64">
        <f>INDEX(角色属性!BD$8:BD$107,MATCH($D46,角色属性!$I$8:$I$107,0),1)</f>
        <v>724</v>
      </c>
      <c r="AO46" s="69">
        <f t="shared" si="6"/>
        <v>0.61540462143475883</v>
      </c>
      <c r="AP46" s="69">
        <f t="shared" si="7"/>
        <v>0.86211642034346148</v>
      </c>
      <c r="AQ46" s="64">
        <f>AL46*角色属性!$BA$1*(AC46*(1-AO46)+MAX(AF46-AJ46,0))</f>
        <v>5879.9293994746613</v>
      </c>
      <c r="AR46" s="64">
        <f>角色属性!$BA$1*(AH46*(1-AP46)+MAX(AK46-AE46,0))</f>
        <v>270.89198988950659</v>
      </c>
      <c r="AS46" s="73">
        <f t="shared" si="8"/>
        <v>0.78453554930050884</v>
      </c>
      <c r="AT46" s="73">
        <f t="shared" si="9"/>
        <v>0.52302369953367256</v>
      </c>
      <c r="AU46" s="73">
        <f t="shared" si="10"/>
        <v>0.39226777465025442</v>
      </c>
      <c r="AV46" s="73">
        <f t="shared" si="1"/>
        <v>143.3781782024723</v>
      </c>
      <c r="AW46" s="73">
        <f t="shared" si="11"/>
        <v>95.585452134981537</v>
      </c>
      <c r="AX46" s="2" t="str">
        <f t="shared" si="12"/>
        <v>r_guanqia_44</v>
      </c>
      <c r="AY46" s="2">
        <f>ROUND(($P46*R46/10/$H46/(1+VLOOKUP($I46,技能效果!$B$2:$D$101,3,FALSE))-1)*10000,0)</f>
        <v>243</v>
      </c>
      <c r="AZ46" s="2">
        <f>ROUND(($P46*S46/10/$H46/(1+VLOOKUP($I46,技能效果!$B$2:$D$101,3,FALSE))-1)*10000,0)</f>
        <v>243</v>
      </c>
      <c r="BA46" s="2">
        <f>ROUND(($P46*T46/10/$H46/(1+VLOOKUP($I46,技能效果!$B$2:$D$101,3,FALSE))-1)*10000,0)</f>
        <v>243</v>
      </c>
      <c r="BB46" s="2">
        <f>ROUND(($P46*U46/10/$H46/(1+VLOOKUP($I46,技能效果!$B$2:$D$101,3,FALSE))-1)*10000,0)</f>
        <v>243</v>
      </c>
      <c r="BC46" s="2">
        <f>ROUND(($P46*V46/10/$H46/(1+VLOOKUP($I46,技能效果!$B$2:$D$101,3,FALSE))-1)*10000,0)</f>
        <v>243</v>
      </c>
    </row>
    <row r="47" spans="2:55" x14ac:dyDescent="0.15">
      <c r="B47" s="83"/>
      <c r="C47" s="2">
        <v>45</v>
      </c>
      <c r="D47" s="2">
        <f t="shared" si="18"/>
        <v>32</v>
      </c>
      <c r="E47" s="2">
        <v>2</v>
      </c>
      <c r="F47" s="28">
        <f>INDEX([3]宠物属性!$AL$8:$AL$107,MATCH(D47,[3]宠物属性!$I$8:$I$107,0),1)</f>
        <v>20858.617929599997</v>
      </c>
      <c r="G47" s="68">
        <f>F47/INDEX(角色属性!$AI$8:$AI$107,MATCH(D47,角色属性!$I$8:$I$107,0),1)*E47</f>
        <v>1.8678902125022607</v>
      </c>
      <c r="H47" s="2">
        <f>INDEX(角色属性!$AL$8:$AL$107,MATCH(D47,角色属性!$I$8:$I$107,0),1)</f>
        <v>1026</v>
      </c>
      <c r="I47" s="2">
        <f>INDEX(角色属性!$Y$8:$Y$107,MATCH(D47,角色属性!$I$8:$I$107,0),1)</f>
        <v>32</v>
      </c>
      <c r="J47" s="28">
        <f>H47*10*(1+VLOOKUP(I47,技能效果!$B$2:$D$101,3,FALSE))</f>
        <v>11532.240000000002</v>
      </c>
      <c r="K47" s="28">
        <f>H47*10*(1+VLOOKUP(I47,技能效果!$B$2:$D$101,3,FALSE))*(1+G47)</f>
        <v>33073.198224227075</v>
      </c>
      <c r="L47" s="2">
        <f t="shared" si="2"/>
        <v>50</v>
      </c>
      <c r="M47" s="28">
        <f t="shared" si="3"/>
        <v>14177.28</v>
      </c>
      <c r="N47" s="28">
        <f t="shared" si="4"/>
        <v>51591.52955641185</v>
      </c>
      <c r="O47" s="62">
        <f t="shared" si="17"/>
        <v>36988</v>
      </c>
      <c r="P47" s="62">
        <f t="shared" si="15"/>
        <v>11754</v>
      </c>
      <c r="Q47" s="64">
        <f t="shared" si="13"/>
        <v>4533</v>
      </c>
      <c r="R47" s="67">
        <v>1</v>
      </c>
      <c r="S47" s="67">
        <v>1</v>
      </c>
      <c r="T47" s="67">
        <v>1</v>
      </c>
      <c r="U47" s="67">
        <v>1</v>
      </c>
      <c r="V47" s="67">
        <v>1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64">
        <f>INDEX(角色属性!AM$8:AM$107,MATCH($D47,角色属性!$I$8:$I$107,0),1)</f>
        <v>39740</v>
      </c>
      <c r="AC47" s="64">
        <f>INDEX(角色属性!AN$8:AN$107,MATCH($D47,角色属性!$I$8:$I$107,0),1)</f>
        <v>3974</v>
      </c>
      <c r="AD47" s="64">
        <f>INDEX(角色属性!AO$8:AO$107,MATCH($D47,角色属性!$I$8:$I$107,0),1)</f>
        <v>1987</v>
      </c>
      <c r="AE47" s="64">
        <f>INDEX(角色属性!AP$8:AP$107,MATCH($D47,角色属性!$I$8:$I$107,0),1)</f>
        <v>1589.6</v>
      </c>
      <c r="AF47" s="64">
        <f>INDEX(角色属性!AQ$8:AQ$107,MATCH($D47,角色属性!$I$8:$I$107,0),1)</f>
        <v>1589.6</v>
      </c>
      <c r="AG47" s="64">
        <f>$P47/10/(1+VLOOKUP(I47,技能效果!$B$2:$D$101,3,FALSE))*怪物属性规划!A$18*INDEX(怪物属性等级系数!$A$2:$A$101,MATCH(D47,怪物属性等级系数!$D$2:$D$101,0),1)*R47+W47</f>
        <v>8972.3243681290696</v>
      </c>
      <c r="AH47" s="64">
        <f>$P47/10/(1+VLOOKUP($I47,技能效果!$B$2:$D$101,3,FALSE))*怪物属性规划!B$18*S47+X47</f>
        <v>1045.7295373665481</v>
      </c>
      <c r="AI47" s="64">
        <f>$P47/10/(1+VLOOKUP($I47,技能效果!$B$2:$D$101,3,FALSE))*怪物属性规划!C$18*T47+Y47</f>
        <v>1045.7295373665481</v>
      </c>
      <c r="AJ47" s="64">
        <f>$P47/10/(1+VLOOKUP($I47,技能效果!$B$2:$D$101,3,FALSE))*怪物属性规划!D$18*U47+Z47</f>
        <v>836.58362989323859</v>
      </c>
      <c r="AK47" s="64">
        <f>$P47/10/(1+VLOOKUP($I47,技能效果!$B$2:$D$101,3,FALSE))*怪物属性规划!E$18*V47+AA47</f>
        <v>836.58362989323859</v>
      </c>
      <c r="AL47" s="67">
        <f>INDEX(角色属性!BB$8:BB$107,MATCH($D47,角色属性!$I$8:$I$107,0),1)</f>
        <v>1.3100000000000003</v>
      </c>
      <c r="AM47" s="64">
        <f>INDEX(角色属性!BC$8:BC$107,MATCH($D47,角色属性!$I$8:$I$107,0),1)</f>
        <v>1550</v>
      </c>
      <c r="AN47" s="64">
        <f>INDEX(角色属性!BD$8:BD$107,MATCH($D47,角色属性!$I$8:$I$107,0),1)</f>
        <v>740</v>
      </c>
      <c r="AO47" s="69">
        <f t="shared" si="6"/>
        <v>0.61129481853530765</v>
      </c>
      <c r="AP47" s="69">
        <f t="shared" si="7"/>
        <v>0.86224104562457149</v>
      </c>
      <c r="AQ47" s="64">
        <f>AL47*角色属性!$BA$1*(AC47*(1-AO47)+MAX(AF47-AJ47,0))</f>
        <v>6020.0545944683172</v>
      </c>
      <c r="AR47" s="64">
        <f>角色属性!$BA$1*(AH47*(1-AP47)+MAX(AK47-AE47,0))</f>
        <v>288.11721525423252</v>
      </c>
      <c r="AS47" s="73">
        <f t="shared" si="8"/>
        <v>0.82800322999410103</v>
      </c>
      <c r="AT47" s="73">
        <f t="shared" si="9"/>
        <v>0.55200215332940072</v>
      </c>
      <c r="AU47" s="73">
        <f t="shared" si="10"/>
        <v>0.41400161499705052</v>
      </c>
      <c r="AV47" s="73">
        <f t="shared" si="1"/>
        <v>137.92997396887137</v>
      </c>
      <c r="AW47" s="73">
        <f t="shared" si="11"/>
        <v>91.953315979247577</v>
      </c>
      <c r="AX47" s="2" t="str">
        <f t="shared" si="12"/>
        <v>r_guanqia_45</v>
      </c>
      <c r="AY47" s="2">
        <f>ROUND(($P47*R47/10/$H47/(1+VLOOKUP($I47,技能效果!$B$2:$D$101,3,FALSE))-1)*10000,0)</f>
        <v>192</v>
      </c>
      <c r="AZ47" s="2">
        <f>ROUND(($P47*S47/10/$H47/(1+VLOOKUP($I47,技能效果!$B$2:$D$101,3,FALSE))-1)*10000,0)</f>
        <v>192</v>
      </c>
      <c r="BA47" s="2">
        <f>ROUND(($P47*T47/10/$H47/(1+VLOOKUP($I47,技能效果!$B$2:$D$101,3,FALSE))-1)*10000,0)</f>
        <v>192</v>
      </c>
      <c r="BB47" s="2">
        <f>ROUND(($P47*U47/10/$H47/(1+VLOOKUP($I47,技能效果!$B$2:$D$101,3,FALSE))-1)*10000,0)</f>
        <v>192</v>
      </c>
      <c r="BC47" s="2">
        <f>ROUND(($P47*V47/10/$H47/(1+VLOOKUP($I47,技能效果!$B$2:$D$101,3,FALSE))-1)*10000,0)</f>
        <v>192</v>
      </c>
    </row>
    <row r="48" spans="2:55" x14ac:dyDescent="0.15">
      <c r="B48" s="83"/>
      <c r="C48" s="2">
        <v>46</v>
      </c>
      <c r="D48" s="2">
        <f t="shared" si="18"/>
        <v>32</v>
      </c>
      <c r="E48" s="2">
        <v>2</v>
      </c>
      <c r="F48" s="28">
        <f>INDEX([3]宠物属性!$AL$8:$AL$107,MATCH(D48,[3]宠物属性!$I$8:$I$107,0),1)</f>
        <v>20858.617929599997</v>
      </c>
      <c r="G48" s="68">
        <f>F48/INDEX(角色属性!$AI$8:$AI$107,MATCH(D48,角色属性!$I$8:$I$107,0),1)*E48</f>
        <v>1.8678902125022607</v>
      </c>
      <c r="H48" s="2">
        <f>INDEX(角色属性!$AL$8:$AL$107,MATCH(D48,角色属性!$I$8:$I$107,0),1)</f>
        <v>1026</v>
      </c>
      <c r="I48" s="2">
        <f>INDEX(角色属性!$Y$8:$Y$107,MATCH(D48,角色属性!$I$8:$I$107,0),1)</f>
        <v>32</v>
      </c>
      <c r="J48" s="28">
        <f>H48*10*(1+VLOOKUP(I48,技能效果!$B$2:$D$101,3,FALSE))</f>
        <v>11532.240000000002</v>
      </c>
      <c r="K48" s="28">
        <f>H48*10*(1+VLOOKUP(I48,技能效果!$B$2:$D$101,3,FALSE))*(1+G48)</f>
        <v>33073.198224227075</v>
      </c>
      <c r="L48" s="2">
        <f t="shared" si="2"/>
        <v>50</v>
      </c>
      <c r="M48" s="28">
        <f t="shared" si="3"/>
        <v>14177.28</v>
      </c>
      <c r="N48" s="28">
        <f t="shared" si="4"/>
        <v>51591.52955641185</v>
      </c>
      <c r="O48" s="62">
        <f t="shared" si="17"/>
        <v>37995</v>
      </c>
      <c r="P48" s="62">
        <f t="shared" si="15"/>
        <v>11921</v>
      </c>
      <c r="Q48" s="64">
        <f t="shared" si="13"/>
        <v>1007</v>
      </c>
      <c r="R48" s="67">
        <v>1</v>
      </c>
      <c r="S48" s="67">
        <v>1</v>
      </c>
      <c r="T48" s="67">
        <v>1</v>
      </c>
      <c r="U48" s="67">
        <v>1</v>
      </c>
      <c r="V48" s="67">
        <v>1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64">
        <f>INDEX(角色属性!AM$8:AM$107,MATCH($D48,角色属性!$I$8:$I$107,0),1)</f>
        <v>39740</v>
      </c>
      <c r="AC48" s="64">
        <f>INDEX(角色属性!AN$8:AN$107,MATCH($D48,角色属性!$I$8:$I$107,0),1)</f>
        <v>3974</v>
      </c>
      <c r="AD48" s="64">
        <f>INDEX(角色属性!AO$8:AO$107,MATCH($D48,角色属性!$I$8:$I$107,0),1)</f>
        <v>1987</v>
      </c>
      <c r="AE48" s="64">
        <f>INDEX(角色属性!AP$8:AP$107,MATCH($D48,角色属性!$I$8:$I$107,0),1)</f>
        <v>1589.6</v>
      </c>
      <c r="AF48" s="64">
        <f>INDEX(角色属性!AQ$8:AQ$107,MATCH($D48,角色属性!$I$8:$I$107,0),1)</f>
        <v>1589.6</v>
      </c>
      <c r="AG48" s="64">
        <f>$P48/10/(1+VLOOKUP(I48,技能效果!$B$2:$D$101,3,FALSE))*怪物属性规划!A$18*INDEX(怪物属性等级系数!$A$2:$A$101,MATCH(D48,怪物属性等级系数!$D$2:$D$101,0),1)*R48+W48</f>
        <v>9099.8025176507235</v>
      </c>
      <c r="AH48" s="64">
        <f>$P48/10/(1+VLOOKUP($I48,技能效果!$B$2:$D$101,3,FALSE))*怪物属性规划!B$18*S48+X48</f>
        <v>1060.5871886120995</v>
      </c>
      <c r="AI48" s="64">
        <f>$P48/10/(1+VLOOKUP($I48,技能效果!$B$2:$D$101,3,FALSE))*怪物属性规划!C$18*T48+Y48</f>
        <v>1060.5871886120995</v>
      </c>
      <c r="AJ48" s="64">
        <f>$P48/10/(1+VLOOKUP($I48,技能效果!$B$2:$D$101,3,FALSE))*怪物属性规划!D$18*U48+Z48</f>
        <v>848.46975088967963</v>
      </c>
      <c r="AK48" s="64">
        <f>$P48/10/(1+VLOOKUP($I48,技能效果!$B$2:$D$101,3,FALSE))*怪物属性规划!E$18*V48+AA48</f>
        <v>848.46975088967963</v>
      </c>
      <c r="AL48" s="67">
        <f>INDEX(角色属性!BB$8:BB$107,MATCH($D48,角色属性!$I$8:$I$107,0),1)</f>
        <v>1.3100000000000003</v>
      </c>
      <c r="AM48" s="64">
        <f>INDEX(角色属性!BC$8:BC$107,MATCH($D48,角色属性!$I$8:$I$107,0),1)</f>
        <v>1550</v>
      </c>
      <c r="AN48" s="64">
        <f>INDEX(角色属性!BD$8:BD$107,MATCH($D48,角色属性!$I$8:$I$107,0),1)</f>
        <v>740</v>
      </c>
      <c r="AO48" s="69">
        <f t="shared" si="6"/>
        <v>0.61464174496590318</v>
      </c>
      <c r="AP48" s="69">
        <f t="shared" si="7"/>
        <v>0.86224104562457149</v>
      </c>
      <c r="AQ48" s="64">
        <f>AL48*角色属性!$BA$1*(AC48*(1-AO48)+MAX(AF48-AJ48,0))</f>
        <v>5954.0651610934519</v>
      </c>
      <c r="AR48" s="64">
        <f>角色属性!$BA$1*(AH48*(1-AP48)+MAX(AK48-AE48,0))</f>
        <v>292.21076425435638</v>
      </c>
      <c r="AS48" s="73">
        <f t="shared" si="8"/>
        <v>0.84907465846592589</v>
      </c>
      <c r="AT48" s="73">
        <f t="shared" si="9"/>
        <v>0.56604977231061726</v>
      </c>
      <c r="AU48" s="73">
        <f t="shared" si="10"/>
        <v>0.42453732923296295</v>
      </c>
      <c r="AV48" s="73">
        <f t="shared" si="1"/>
        <v>135.99772787770442</v>
      </c>
      <c r="AW48" s="73">
        <f t="shared" si="11"/>
        <v>90.665151918469618</v>
      </c>
      <c r="AX48" s="2" t="str">
        <f t="shared" si="12"/>
        <v>r_guanqia_46</v>
      </c>
      <c r="AY48" s="2">
        <f>ROUND(($P48*R48/10/$H48/(1+VLOOKUP($I48,技能效果!$B$2:$D$101,3,FALSE))-1)*10000,0)</f>
        <v>337</v>
      </c>
      <c r="AZ48" s="2">
        <f>ROUND(($P48*S48/10/$H48/(1+VLOOKUP($I48,技能效果!$B$2:$D$101,3,FALSE))-1)*10000,0)</f>
        <v>337</v>
      </c>
      <c r="BA48" s="2">
        <f>ROUND(($P48*T48/10/$H48/(1+VLOOKUP($I48,技能效果!$B$2:$D$101,3,FALSE))-1)*10000,0)</f>
        <v>337</v>
      </c>
      <c r="BB48" s="2">
        <f>ROUND(($P48*U48/10/$H48/(1+VLOOKUP($I48,技能效果!$B$2:$D$101,3,FALSE))-1)*10000,0)</f>
        <v>337</v>
      </c>
      <c r="BC48" s="2">
        <f>ROUND(($P48*V48/10/$H48/(1+VLOOKUP($I48,技能效果!$B$2:$D$101,3,FALSE))-1)*10000,0)</f>
        <v>337</v>
      </c>
    </row>
    <row r="49" spans="2:55" x14ac:dyDescent="0.15">
      <c r="B49" s="83"/>
      <c r="C49" s="2">
        <v>47</v>
      </c>
      <c r="D49" s="2">
        <f t="shared" si="18"/>
        <v>32</v>
      </c>
      <c r="E49" s="2">
        <v>2</v>
      </c>
      <c r="F49" s="28">
        <f>INDEX([3]宠物属性!$AL$8:$AL$107,MATCH(D49,[3]宠物属性!$I$8:$I$107,0),1)</f>
        <v>20858.617929599997</v>
      </c>
      <c r="G49" s="68">
        <f>F49/INDEX(角色属性!$AI$8:$AI$107,MATCH(D49,角色属性!$I$8:$I$107,0),1)*E49</f>
        <v>1.8678902125022607</v>
      </c>
      <c r="H49" s="2">
        <f>INDEX(角色属性!$AL$8:$AL$107,MATCH(D49,角色属性!$I$8:$I$107,0),1)</f>
        <v>1026</v>
      </c>
      <c r="I49" s="2">
        <f>INDEX(角色属性!$Y$8:$Y$107,MATCH(D49,角色属性!$I$8:$I$107,0),1)</f>
        <v>32</v>
      </c>
      <c r="J49" s="28">
        <f>H49*10*(1+VLOOKUP(I49,技能效果!$B$2:$D$101,3,FALSE))</f>
        <v>11532.240000000002</v>
      </c>
      <c r="K49" s="28">
        <f>H49*10*(1+VLOOKUP(I49,技能效果!$B$2:$D$101,3,FALSE))*(1+G49)</f>
        <v>33073.198224227075</v>
      </c>
      <c r="L49" s="2">
        <f t="shared" si="2"/>
        <v>50</v>
      </c>
      <c r="M49" s="28">
        <f t="shared" si="3"/>
        <v>14177.28</v>
      </c>
      <c r="N49" s="28">
        <f t="shared" si="4"/>
        <v>51591.52955641185</v>
      </c>
      <c r="O49" s="62">
        <f t="shared" si="17"/>
        <v>39505</v>
      </c>
      <c r="P49" s="62">
        <f t="shared" si="15"/>
        <v>12172</v>
      </c>
      <c r="Q49" s="64">
        <f t="shared" si="13"/>
        <v>1510</v>
      </c>
      <c r="R49" s="67">
        <v>1</v>
      </c>
      <c r="S49" s="67">
        <v>1</v>
      </c>
      <c r="T49" s="67">
        <v>1</v>
      </c>
      <c r="U49" s="67">
        <v>1</v>
      </c>
      <c r="V49" s="67">
        <v>1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64">
        <f>INDEX(角色属性!AM$8:AM$107,MATCH($D49,角色属性!$I$8:$I$107,0),1)</f>
        <v>39740</v>
      </c>
      <c r="AC49" s="64">
        <f>INDEX(角色属性!AN$8:AN$107,MATCH($D49,角色属性!$I$8:$I$107,0),1)</f>
        <v>3974</v>
      </c>
      <c r="AD49" s="64">
        <f>INDEX(角色属性!AO$8:AO$107,MATCH($D49,角色属性!$I$8:$I$107,0),1)</f>
        <v>1987</v>
      </c>
      <c r="AE49" s="64">
        <f>INDEX(角色属性!AP$8:AP$107,MATCH($D49,角色属性!$I$8:$I$107,0),1)</f>
        <v>1589.6</v>
      </c>
      <c r="AF49" s="64">
        <f>INDEX(角色属性!AQ$8:AQ$107,MATCH($D49,角色属性!$I$8:$I$107,0),1)</f>
        <v>1589.6</v>
      </c>
      <c r="AG49" s="64">
        <f>$P49/10/(1+VLOOKUP(I49,技能效果!$B$2:$D$101,3,FALSE))*怪物属性规划!A$18*INDEX(怪物属性等级系数!$A$2:$A$101,MATCH(D49,怪物属性等级系数!$D$2:$D$101,0),1)*R49+W49</f>
        <v>9291.4014130395608</v>
      </c>
      <c r="AH49" s="64">
        <f>$P49/10/(1+VLOOKUP($I49,技能效果!$B$2:$D$101,3,FALSE))*怪物属性规划!B$18*S49+X49</f>
        <v>1082.9181494661921</v>
      </c>
      <c r="AI49" s="64">
        <f>$P49/10/(1+VLOOKUP($I49,技能效果!$B$2:$D$101,3,FALSE))*怪物属性规划!C$18*T49+Y49</f>
        <v>1082.9181494661921</v>
      </c>
      <c r="AJ49" s="64">
        <f>$P49/10/(1+VLOOKUP($I49,技能效果!$B$2:$D$101,3,FALSE))*怪物属性规划!D$18*U49+Z49</f>
        <v>866.3345195729537</v>
      </c>
      <c r="AK49" s="64">
        <f>$P49/10/(1+VLOOKUP($I49,技能效果!$B$2:$D$101,3,FALSE))*怪物属性规划!E$18*V49+AA49</f>
        <v>866.3345195729537</v>
      </c>
      <c r="AL49" s="67">
        <f>INDEX(角色属性!BB$8:BB$107,MATCH($D49,角色属性!$I$8:$I$107,0),1)</f>
        <v>1.3100000000000003</v>
      </c>
      <c r="AM49" s="64">
        <f>INDEX(角色属性!BC$8:BC$107,MATCH($D49,角色属性!$I$8:$I$107,0),1)</f>
        <v>1550</v>
      </c>
      <c r="AN49" s="64">
        <f>INDEX(角色属性!BD$8:BD$107,MATCH($D49,角色属性!$I$8:$I$107,0),1)</f>
        <v>740</v>
      </c>
      <c r="AO49" s="69">
        <f t="shared" si="6"/>
        <v>0.61956512554846943</v>
      </c>
      <c r="AP49" s="69">
        <f t="shared" si="7"/>
        <v>0.86224104562457149</v>
      </c>
      <c r="AQ49" s="64">
        <f>AL49*角色属性!$BA$1*(AC49*(1-AO49)+MAX(AF49-AJ49,0))</f>
        <v>5855.9978193232646</v>
      </c>
      <c r="AR49" s="64">
        <f>角色属性!$BA$1*(AH49*(1-AP49)+MAX(AK49-AE49,0))</f>
        <v>298.36334388927327</v>
      </c>
      <c r="AS49" s="73">
        <f t="shared" si="8"/>
        <v>0.88147055944556163</v>
      </c>
      <c r="AT49" s="73">
        <f t="shared" si="9"/>
        <v>0.58764703963037446</v>
      </c>
      <c r="AU49" s="73">
        <f t="shared" si="10"/>
        <v>0.44073527972278081</v>
      </c>
      <c r="AV49" s="73">
        <f t="shared" si="1"/>
        <v>133.19330545761702</v>
      </c>
      <c r="AW49" s="73">
        <f t="shared" si="11"/>
        <v>88.795536971744667</v>
      </c>
      <c r="AX49" s="2" t="str">
        <f t="shared" si="12"/>
        <v>r_guanqia_47</v>
      </c>
      <c r="AY49" s="2">
        <f>ROUND(($P49*R49/10/$H49/(1+VLOOKUP($I49,技能效果!$B$2:$D$101,3,FALSE))-1)*10000,0)</f>
        <v>555</v>
      </c>
      <c r="AZ49" s="2">
        <f>ROUND(($P49*S49/10/$H49/(1+VLOOKUP($I49,技能效果!$B$2:$D$101,3,FALSE))-1)*10000,0)</f>
        <v>555</v>
      </c>
      <c r="BA49" s="2">
        <f>ROUND(($P49*T49/10/$H49/(1+VLOOKUP($I49,技能效果!$B$2:$D$101,3,FALSE))-1)*10000,0)</f>
        <v>555</v>
      </c>
      <c r="BB49" s="2">
        <f>ROUND(($P49*U49/10/$H49/(1+VLOOKUP($I49,技能效果!$B$2:$D$101,3,FALSE))-1)*10000,0)</f>
        <v>555</v>
      </c>
      <c r="BC49" s="2">
        <f>ROUND(($P49*V49/10/$H49/(1+VLOOKUP($I49,技能效果!$B$2:$D$101,3,FALSE))-1)*10000,0)</f>
        <v>555</v>
      </c>
    </row>
    <row r="50" spans="2:55" x14ac:dyDescent="0.15">
      <c r="B50" s="83"/>
      <c r="C50" s="2">
        <v>48</v>
      </c>
      <c r="D50" s="2">
        <f t="shared" si="18"/>
        <v>33</v>
      </c>
      <c r="E50" s="2">
        <v>2</v>
      </c>
      <c r="F50" s="28">
        <f>INDEX([3]宠物属性!$AL$8:$AL$107,MATCH(D50,[3]宠物属性!$I$8:$I$107,0),1)</f>
        <v>21817.331218800002</v>
      </c>
      <c r="G50" s="68">
        <f>F50/INDEX(角色属性!$AI$8:$AI$107,MATCH(D50,角色属性!$I$8:$I$107,0),1)*E50</f>
        <v>1.9018294680851062</v>
      </c>
      <c r="H50" s="2">
        <f>INDEX(角色属性!$AL$8:$AL$107,MATCH(D50,角色属性!$I$8:$I$107,0),1)</f>
        <v>1097</v>
      </c>
      <c r="I50" s="2">
        <f>INDEX(角色属性!$Y$8:$Y$107,MATCH(D50,角色属性!$I$8:$I$107,0),1)</f>
        <v>33</v>
      </c>
      <c r="J50" s="28">
        <f>H50*10*(1+VLOOKUP(I50,技能效果!$B$2:$D$101,3,FALSE))</f>
        <v>12374.160000000002</v>
      </c>
      <c r="K50" s="28">
        <f>H50*10*(1+VLOOKUP(I50,技能效果!$B$2:$D$101,3,FALSE))*(1+G50)</f>
        <v>35907.702130799997</v>
      </c>
      <c r="L50" s="2">
        <f t="shared" si="2"/>
        <v>50</v>
      </c>
      <c r="M50" s="28">
        <f t="shared" si="3"/>
        <v>14177.28</v>
      </c>
      <c r="N50" s="28">
        <f t="shared" si="4"/>
        <v>51591.52955641185</v>
      </c>
      <c r="O50" s="62">
        <f t="shared" si="17"/>
        <v>41520</v>
      </c>
      <c r="P50" s="62">
        <f t="shared" si="15"/>
        <v>12506</v>
      </c>
      <c r="Q50" s="64">
        <f t="shared" si="13"/>
        <v>2015</v>
      </c>
      <c r="R50" s="67">
        <v>1</v>
      </c>
      <c r="S50" s="67">
        <v>1</v>
      </c>
      <c r="T50" s="67">
        <v>1</v>
      </c>
      <c r="U50" s="67">
        <v>1</v>
      </c>
      <c r="V50" s="67">
        <v>1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64">
        <f>INDEX(角色属性!AM$8:AM$107,MATCH($D50,角色属性!$I$8:$I$107,0),1)</f>
        <v>40680</v>
      </c>
      <c r="AC50" s="64">
        <f>INDEX(角色属性!AN$8:AN$107,MATCH($D50,角色属性!$I$8:$I$107,0),1)</f>
        <v>4068</v>
      </c>
      <c r="AD50" s="64">
        <f>INDEX(角色属性!AO$8:AO$107,MATCH($D50,角色属性!$I$8:$I$107,0),1)</f>
        <v>2034</v>
      </c>
      <c r="AE50" s="64">
        <f>INDEX(角色属性!AP$8:AP$107,MATCH($D50,角色属性!$I$8:$I$107,0),1)</f>
        <v>1627.2</v>
      </c>
      <c r="AF50" s="64">
        <f>INDEX(角色属性!AQ$8:AQ$107,MATCH($D50,角色属性!$I$8:$I$107,0),1)</f>
        <v>1627.2</v>
      </c>
      <c r="AG50" s="64">
        <f>$P50/10/(1+VLOOKUP(I50,技能效果!$B$2:$D$101,3,FALSE))*怪物属性规划!A$18*INDEX(怪物属性等级系数!$A$2:$A$101,MATCH(D50,怪物属性等级系数!$D$2:$D$101,0),1)*R50+W50</f>
        <v>9655.0389030197402</v>
      </c>
      <c r="AH50" s="64">
        <f>$P50/10/(1+VLOOKUP($I50,技能效果!$B$2:$D$101,3,FALSE))*怪物属性规划!B$18*S50+X50</f>
        <v>1108.6879432624112</v>
      </c>
      <c r="AI50" s="64">
        <f>$P50/10/(1+VLOOKUP($I50,技能效果!$B$2:$D$101,3,FALSE))*怪物属性规划!C$18*T50+Y50</f>
        <v>1108.6879432624112</v>
      </c>
      <c r="AJ50" s="64">
        <f>$P50/10/(1+VLOOKUP($I50,技能效果!$B$2:$D$101,3,FALSE))*怪物属性规划!D$18*U50+Z50</f>
        <v>886.95035460992904</v>
      </c>
      <c r="AK50" s="64">
        <f>$P50/10/(1+VLOOKUP($I50,技能效果!$B$2:$D$101,3,FALSE))*怪物属性规划!E$18*V50+AA50</f>
        <v>886.95035460992904</v>
      </c>
      <c r="AL50" s="67">
        <f>INDEX(角色属性!BB$8:BB$107,MATCH($D50,角色属性!$I$8:$I$107,0),1)</f>
        <v>1.3200000000000003</v>
      </c>
      <c r="AM50" s="64">
        <f>INDEX(角色属性!BC$8:BC$107,MATCH($D50,角色属性!$I$8:$I$107,0),1)</f>
        <v>1678</v>
      </c>
      <c r="AN50" s="64">
        <f>INDEX(角色属性!BD$8:BD$107,MATCH($D50,角色属性!$I$8:$I$107,0),1)</f>
        <v>758</v>
      </c>
      <c r="AO50" s="69">
        <f t="shared" si="6"/>
        <v>0.60632084310715806</v>
      </c>
      <c r="AP50" s="69">
        <f t="shared" si="7"/>
        <v>0.86216324132686672</v>
      </c>
      <c r="AQ50" s="64">
        <f>AL50*角色属性!$BA$1*(AC50*(1-AO50)+MAX(AF50-AJ50,0))</f>
        <v>6182.1842428636019</v>
      </c>
      <c r="AR50" s="64">
        <f>角色属性!$BA$1*(AH50*(1-AP50)+MAX(AK50-AE50,0))</f>
        <v>305.63590495854692</v>
      </c>
      <c r="AS50" s="73">
        <f t="shared" si="8"/>
        <v>0.86764002672185936</v>
      </c>
      <c r="AT50" s="73">
        <f t="shared" si="9"/>
        <v>0.57842668448123968</v>
      </c>
      <c r="AU50" s="73">
        <f t="shared" si="10"/>
        <v>0.43382001336092968</v>
      </c>
      <c r="AV50" s="73">
        <f t="shared" si="1"/>
        <v>133.0995453741516</v>
      </c>
      <c r="AW50" s="73">
        <f t="shared" si="11"/>
        <v>88.733030249434393</v>
      </c>
      <c r="AX50" s="2" t="str">
        <f t="shared" si="12"/>
        <v>r_guanqia_48</v>
      </c>
      <c r="AY50" s="2">
        <f>ROUND(($P50*R50/10/$H50/(1+VLOOKUP($I50,技能效果!$B$2:$D$101,3,FALSE))-1)*10000,0)</f>
        <v>107</v>
      </c>
      <c r="AZ50" s="2">
        <f>ROUND(($P50*S50/10/$H50/(1+VLOOKUP($I50,技能效果!$B$2:$D$101,3,FALSE))-1)*10000,0)</f>
        <v>107</v>
      </c>
      <c r="BA50" s="2">
        <f>ROUND(($P50*T50/10/$H50/(1+VLOOKUP($I50,技能效果!$B$2:$D$101,3,FALSE))-1)*10000,0)</f>
        <v>107</v>
      </c>
      <c r="BB50" s="2">
        <f>ROUND(($P50*U50/10/$H50/(1+VLOOKUP($I50,技能效果!$B$2:$D$101,3,FALSE))-1)*10000,0)</f>
        <v>107</v>
      </c>
      <c r="BC50" s="2">
        <f>ROUND(($P50*V50/10/$H50/(1+VLOOKUP($I50,技能效果!$B$2:$D$101,3,FALSE))-1)*10000,0)</f>
        <v>107</v>
      </c>
    </row>
    <row r="51" spans="2:55" x14ac:dyDescent="0.15">
      <c r="B51" s="83"/>
      <c r="C51" s="2">
        <v>49</v>
      </c>
      <c r="D51" s="2">
        <f t="shared" si="18"/>
        <v>33</v>
      </c>
      <c r="E51" s="2">
        <v>2</v>
      </c>
      <c r="F51" s="28">
        <f>INDEX([3]宠物属性!$AL$8:$AL$107,MATCH(D51,[3]宠物属性!$I$8:$I$107,0),1)</f>
        <v>21817.331218800002</v>
      </c>
      <c r="G51" s="68">
        <f>F51/INDEX(角色属性!$AI$8:$AI$107,MATCH(D51,角色属性!$I$8:$I$107,0),1)*E51</f>
        <v>1.9018294680851062</v>
      </c>
      <c r="H51" s="2">
        <f>INDEX(角色属性!$AL$8:$AL$107,MATCH(D51,角色属性!$I$8:$I$107,0),1)</f>
        <v>1097</v>
      </c>
      <c r="I51" s="2">
        <f>INDEX(角色属性!$Y$8:$Y$107,MATCH(D51,角色属性!$I$8:$I$107,0),1)</f>
        <v>33</v>
      </c>
      <c r="J51" s="28">
        <f>H51*10*(1+VLOOKUP(I51,技能效果!$B$2:$D$101,3,FALSE))</f>
        <v>12374.160000000002</v>
      </c>
      <c r="K51" s="28">
        <f>H51*10*(1+VLOOKUP(I51,技能效果!$B$2:$D$101,3,FALSE))*(1+G51)</f>
        <v>35907.702130799997</v>
      </c>
      <c r="L51" s="2">
        <f t="shared" si="2"/>
        <v>50</v>
      </c>
      <c r="M51" s="28">
        <f t="shared" si="3"/>
        <v>14177.28</v>
      </c>
      <c r="N51" s="28">
        <f t="shared" si="4"/>
        <v>51591.52955641185</v>
      </c>
      <c r="O51" s="62">
        <f t="shared" si="17"/>
        <v>44038</v>
      </c>
      <c r="P51" s="62">
        <f t="shared" si="15"/>
        <v>12924</v>
      </c>
      <c r="Q51" s="64">
        <f t="shared" si="13"/>
        <v>2518</v>
      </c>
      <c r="R51" s="67">
        <v>1</v>
      </c>
      <c r="S51" s="67">
        <v>1</v>
      </c>
      <c r="T51" s="67">
        <v>1</v>
      </c>
      <c r="U51" s="67">
        <v>1</v>
      </c>
      <c r="V51" s="67">
        <v>1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64">
        <f>INDEX(角色属性!AM$8:AM$107,MATCH($D51,角色属性!$I$8:$I$107,0),1)</f>
        <v>40680</v>
      </c>
      <c r="AC51" s="64">
        <f>INDEX(角色属性!AN$8:AN$107,MATCH($D51,角色属性!$I$8:$I$107,0),1)</f>
        <v>4068</v>
      </c>
      <c r="AD51" s="64">
        <f>INDEX(角色属性!AO$8:AO$107,MATCH($D51,角色属性!$I$8:$I$107,0),1)</f>
        <v>2034</v>
      </c>
      <c r="AE51" s="64">
        <f>INDEX(角色属性!AP$8:AP$107,MATCH($D51,角色属性!$I$8:$I$107,0),1)</f>
        <v>1627.2</v>
      </c>
      <c r="AF51" s="64">
        <f>INDEX(角色属性!AQ$8:AQ$107,MATCH($D51,角色属性!$I$8:$I$107,0),1)</f>
        <v>1627.2</v>
      </c>
      <c r="AG51" s="64">
        <f>$P51/10/(1+VLOOKUP(I51,技能效果!$B$2:$D$101,3,FALSE))*怪物属性规划!A$18*INDEX(怪物属性等级系数!$A$2:$A$101,MATCH(D51,怪物属性等级系数!$D$2:$D$101,0),1)*R51+W51</f>
        <v>9977.7485033285739</v>
      </c>
      <c r="AH51" s="64">
        <f>$P51/10/(1+VLOOKUP($I51,技能效果!$B$2:$D$101,3,FALSE))*怪物属性规划!B$18*S51+X51</f>
        <v>1145.7446808510638</v>
      </c>
      <c r="AI51" s="64">
        <f>$P51/10/(1+VLOOKUP($I51,技能效果!$B$2:$D$101,3,FALSE))*怪物属性规划!C$18*T51+Y51</f>
        <v>1145.7446808510638</v>
      </c>
      <c r="AJ51" s="64">
        <f>$P51/10/(1+VLOOKUP($I51,技能效果!$B$2:$D$101,3,FALSE))*怪物属性规划!D$18*U51+Z51</f>
        <v>916.59574468085111</v>
      </c>
      <c r="AK51" s="64">
        <f>$P51/10/(1+VLOOKUP($I51,技能效果!$B$2:$D$101,3,FALSE))*怪物属性规划!E$18*V51+AA51</f>
        <v>916.59574468085111</v>
      </c>
      <c r="AL51" s="67">
        <f>INDEX(角色属性!BB$8:BB$107,MATCH($D51,角色属性!$I$8:$I$107,0),1)</f>
        <v>1.3200000000000003</v>
      </c>
      <c r="AM51" s="64">
        <f>INDEX(角色属性!BC$8:BC$107,MATCH($D51,角色属性!$I$8:$I$107,0),1)</f>
        <v>1678</v>
      </c>
      <c r="AN51" s="64">
        <f>INDEX(角色属性!BD$8:BD$107,MATCH($D51,角色属性!$I$8:$I$107,0),1)</f>
        <v>758</v>
      </c>
      <c r="AO51" s="69">
        <f t="shared" si="6"/>
        <v>0.61414053273458002</v>
      </c>
      <c r="AP51" s="69">
        <f t="shared" si="7"/>
        <v>0.86216324132686672</v>
      </c>
      <c r="AQ51" s="64">
        <f>AL51*角色属性!$BA$1*(AC51*(1-AO51)+MAX(AF51-AJ51,0))</f>
        <v>6019.9406999288767</v>
      </c>
      <c r="AR51" s="64">
        <f>角色属性!$BA$1*(AH51*(1-AP51)+MAX(AK51-AE51,0))</f>
        <v>315.85146615098836</v>
      </c>
      <c r="AS51" s="73">
        <f t="shared" si="8"/>
        <v>0.92080535162510979</v>
      </c>
      <c r="AT51" s="73">
        <f t="shared" si="9"/>
        <v>0.61387023441673982</v>
      </c>
      <c r="AU51" s="73">
        <f t="shared" si="10"/>
        <v>0.4604026758125549</v>
      </c>
      <c r="AV51" s="73">
        <f t="shared" si="1"/>
        <v>128.79471637644227</v>
      </c>
      <c r="AW51" s="73">
        <f t="shared" si="11"/>
        <v>85.863144250961511</v>
      </c>
      <c r="AX51" s="2" t="str">
        <f t="shared" si="12"/>
        <v>r_guanqia_49</v>
      </c>
      <c r="AY51" s="2">
        <f>ROUND(($P51*R51/10/$H51/(1+VLOOKUP($I51,技能效果!$B$2:$D$101,3,FALSE))-1)*10000,0)</f>
        <v>444</v>
      </c>
      <c r="AZ51" s="2">
        <f>ROUND(($P51*S51/10/$H51/(1+VLOOKUP($I51,技能效果!$B$2:$D$101,3,FALSE))-1)*10000,0)</f>
        <v>444</v>
      </c>
      <c r="BA51" s="2">
        <f>ROUND(($P51*T51/10/$H51/(1+VLOOKUP($I51,技能效果!$B$2:$D$101,3,FALSE))-1)*10000,0)</f>
        <v>444</v>
      </c>
      <c r="BB51" s="2">
        <f>ROUND(($P51*U51/10/$H51/(1+VLOOKUP($I51,技能效果!$B$2:$D$101,3,FALSE))-1)*10000,0)</f>
        <v>444</v>
      </c>
      <c r="BC51" s="2">
        <f>ROUND(($P51*V51/10/$H51/(1+VLOOKUP($I51,技能效果!$B$2:$D$101,3,FALSE))-1)*10000,0)</f>
        <v>444</v>
      </c>
    </row>
    <row r="52" spans="2:55" x14ac:dyDescent="0.15">
      <c r="B52" s="83"/>
      <c r="C52" s="2">
        <v>50</v>
      </c>
      <c r="D52" s="2">
        <f t="shared" si="18"/>
        <v>35</v>
      </c>
      <c r="E52" s="2">
        <v>2</v>
      </c>
      <c r="F52" s="28">
        <f>INDEX([3]宠物属性!$AL$8:$AL$107,MATCH(D52,[3]宠物属性!$I$8:$I$107,0),1)</f>
        <v>38418.558338575152</v>
      </c>
      <c r="G52" s="68">
        <f>F52/INDEX(角色属性!$AI$8:$AI$107,MATCH(D52,角色属性!$I$8:$I$107,0),1)*E52</f>
        <v>2.639028752794037</v>
      </c>
      <c r="H52" s="2">
        <f>INDEX(角色属性!$AL$8:$AL$107,MATCH(D52,角色属性!$I$8:$I$107,0),1)</f>
        <v>1248</v>
      </c>
      <c r="I52" s="2">
        <f>INDEX(角色属性!$Y$8:$Y$107,MATCH(D52,角色属性!$I$8:$I$107,0),1)</f>
        <v>35</v>
      </c>
      <c r="J52" s="28">
        <f>H52*10*(1+VLOOKUP(I52,技能效果!$B$2:$D$101,3,FALSE))</f>
        <v>14177.28</v>
      </c>
      <c r="K52" s="28">
        <f>H52*10*(1+VLOOKUP(I52,技能效果!$B$2:$D$101,3,FALSE))*(1+G52)</f>
        <v>51591.52955641185</v>
      </c>
      <c r="L52" s="2">
        <f t="shared" si="2"/>
        <v>50</v>
      </c>
      <c r="M52" s="28">
        <f t="shared" si="3"/>
        <v>14177.28</v>
      </c>
      <c r="N52" s="28">
        <f t="shared" si="4"/>
        <v>51591.52955641185</v>
      </c>
      <c r="O52" s="62">
        <f t="shared" si="17"/>
        <v>51592</v>
      </c>
      <c r="P52" s="62">
        <f t="shared" si="15"/>
        <v>14177</v>
      </c>
      <c r="Q52" s="64">
        <f t="shared" si="13"/>
        <v>7554</v>
      </c>
      <c r="R52" s="67">
        <v>1</v>
      </c>
      <c r="S52" s="67">
        <v>1</v>
      </c>
      <c r="T52" s="67">
        <v>1</v>
      </c>
      <c r="U52" s="67">
        <v>1</v>
      </c>
      <c r="V52" s="67">
        <v>1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64">
        <f>INDEX(角色属性!AM$8:AM$107,MATCH($D52,角色属性!$I$8:$I$107,0),1)</f>
        <v>51260</v>
      </c>
      <c r="AC52" s="64">
        <f>INDEX(角色属性!AN$8:AN$107,MATCH($D52,角色属性!$I$8:$I$107,0),1)</f>
        <v>5126</v>
      </c>
      <c r="AD52" s="64">
        <f>INDEX(角色属性!AO$8:AO$107,MATCH($D52,角色属性!$I$8:$I$107,0),1)</f>
        <v>2563</v>
      </c>
      <c r="AE52" s="64">
        <f>INDEX(角色属性!AP$8:AP$107,MATCH($D52,角色属性!$I$8:$I$107,0),1)</f>
        <v>2050.4</v>
      </c>
      <c r="AF52" s="64">
        <f>INDEX(角色属性!AQ$8:AQ$107,MATCH($D52,角色属性!$I$8:$I$107,0),1)</f>
        <v>2050.4</v>
      </c>
      <c r="AG52" s="64">
        <f>$P52/10/(1+VLOOKUP(I52,技能效果!$B$2:$D$101,3,FALSE))*怪物属性规划!A$18*INDEX(怪物属性等级系数!$A$2:$A$101,MATCH(D52,怪物属性等级系数!$D$2:$D$101,0),1)*R52+W52</f>
        <v>11203.814946567341</v>
      </c>
      <c r="AH52" s="64">
        <f>$P52/10/(1+VLOOKUP($I52,技能效果!$B$2:$D$101,3,FALSE))*怪物属性规划!B$18*S52+X52</f>
        <v>1247.9753521126759</v>
      </c>
      <c r="AI52" s="64">
        <f>$P52/10/(1+VLOOKUP($I52,技能效果!$B$2:$D$101,3,FALSE))*怪物属性规划!C$18*T52+Y52</f>
        <v>1247.9753521126759</v>
      </c>
      <c r="AJ52" s="64">
        <f>$P52/10/(1+VLOOKUP($I52,技能效果!$B$2:$D$101,3,FALSE))*怪物属性规划!D$18*U52+Z52</f>
        <v>998.38028169014069</v>
      </c>
      <c r="AK52" s="64">
        <f>$P52/10/(1+VLOOKUP($I52,技能效果!$B$2:$D$101,3,FALSE))*怪物属性规划!E$18*V52+AA52</f>
        <v>998.38028169014069</v>
      </c>
      <c r="AL52" s="67">
        <f>INDEX(角色属性!BB$8:BB$107,MATCH($D52,角色属性!$I$8:$I$107,0),1)</f>
        <v>1.3400000000000003</v>
      </c>
      <c r="AM52" s="64">
        <f>INDEX(角色属性!BC$8:BC$107,MATCH($D52,角色属性!$I$8:$I$107,0),1)</f>
        <v>1958</v>
      </c>
      <c r="AN52" s="64">
        <f>INDEX(角色属性!BD$8:BD$107,MATCH($D52,角色属性!$I$8:$I$107,0),1)</f>
        <v>919</v>
      </c>
      <c r="AO52" s="69">
        <f t="shared" si="6"/>
        <v>0.59770155307527051</v>
      </c>
      <c r="AP52" s="69">
        <f t="shared" si="7"/>
        <v>0.86668328119594851</v>
      </c>
      <c r="AQ52" s="64">
        <f>AL52*角色属性!$BA$1*(AC52*(1-AO52)+MAX(AF52-AJ52,0))</f>
        <v>8346.0601734193424</v>
      </c>
      <c r="AR52" s="64">
        <f>角色属性!$BA$1*(AH52*(1-AP52)+MAX(AK52-AE52,0))</f>
        <v>332.75195818398549</v>
      </c>
      <c r="AS52" s="73">
        <f t="shared" si="8"/>
        <v>0.74578202261292492</v>
      </c>
      <c r="AT52" s="73">
        <f t="shared" si="9"/>
        <v>0.49718801507528326</v>
      </c>
      <c r="AU52" s="73">
        <f t="shared" si="10"/>
        <v>0.37289101130646246</v>
      </c>
      <c r="AV52" s="73">
        <f t="shared" si="1"/>
        <v>154.04868022341518</v>
      </c>
      <c r="AW52" s="73">
        <f t="shared" si="11"/>
        <v>102.69912014894345</v>
      </c>
      <c r="AX52" s="2" t="str">
        <f t="shared" si="12"/>
        <v>r_guanqia_50</v>
      </c>
      <c r="AY52" s="2">
        <f>ROUND(($P52*R52/10/$H52/(1+VLOOKUP($I52,技能效果!$B$2:$D$101,3,FALSE))-1)*10000,0)</f>
        <v>0</v>
      </c>
      <c r="AZ52" s="2">
        <f>ROUND(($P52*S52/10/$H52/(1+VLOOKUP($I52,技能效果!$B$2:$D$101,3,FALSE))-1)*10000,0)</f>
        <v>0</v>
      </c>
      <c r="BA52" s="2">
        <f>ROUND(($P52*T52/10/$H52/(1+VLOOKUP($I52,技能效果!$B$2:$D$101,3,FALSE))-1)*10000,0)</f>
        <v>0</v>
      </c>
      <c r="BB52" s="2">
        <f>ROUND(($P52*U52/10/$H52/(1+VLOOKUP($I52,技能效果!$B$2:$D$101,3,FALSE))-1)*10000,0)</f>
        <v>0</v>
      </c>
      <c r="BC52" s="2">
        <f>ROUND(($P52*V52/10/$H52/(1+VLOOKUP($I52,技能效果!$B$2:$D$101,3,FALSE))-1)*10000,0)</f>
        <v>0</v>
      </c>
    </row>
    <row r="53" spans="2:55" x14ac:dyDescent="0.15">
      <c r="B53" s="83" t="s">
        <v>117</v>
      </c>
      <c r="C53" s="2">
        <v>51</v>
      </c>
      <c r="D53" s="2">
        <f t="shared" si="18"/>
        <v>35</v>
      </c>
      <c r="E53" s="2">
        <v>2</v>
      </c>
      <c r="F53" s="28">
        <f>INDEX([3]宠物属性!$AL$8:$AL$107,MATCH(D53,[3]宠物属性!$I$8:$I$107,0),1)</f>
        <v>38418.558338575152</v>
      </c>
      <c r="G53" s="68">
        <f>F53/INDEX(角色属性!$AI$8:$AI$107,MATCH(D53,角色属性!$I$8:$I$107,0),1)*E53</f>
        <v>2.639028752794037</v>
      </c>
      <c r="H53" s="2">
        <f>INDEX(角色属性!$AL$8:$AL$107,MATCH(D53,角色属性!$I$8:$I$107,0),1)</f>
        <v>1248</v>
      </c>
      <c r="I53" s="2">
        <f>INDEX(角色属性!$Y$8:$Y$107,MATCH(D53,角色属性!$I$8:$I$107,0),1)</f>
        <v>35</v>
      </c>
      <c r="J53" s="28">
        <f>H53*10*(1+VLOOKUP(I53,技能效果!$B$2:$D$101,3,FALSE))</f>
        <v>14177.28</v>
      </c>
      <c r="K53" s="28">
        <f>H53*10*(1+VLOOKUP(I53,技能效果!$B$2:$D$101,3,FALSE))*(1+G53)</f>
        <v>51591.52955641185</v>
      </c>
      <c r="L53" s="2">
        <f t="shared" si="2"/>
        <v>60</v>
      </c>
      <c r="M53" s="28">
        <f t="shared" si="3"/>
        <v>19571.080000000002</v>
      </c>
      <c r="N53" s="28">
        <f t="shared" si="4"/>
        <v>66936.254415390169</v>
      </c>
      <c r="O53" s="62">
        <f t="shared" si="17"/>
        <v>52052</v>
      </c>
      <c r="P53" s="62">
        <f t="shared" si="15"/>
        <v>14339</v>
      </c>
      <c r="Q53" s="64">
        <f t="shared" si="13"/>
        <v>460</v>
      </c>
      <c r="R53" s="67">
        <v>1</v>
      </c>
      <c r="S53" s="67">
        <v>1</v>
      </c>
      <c r="T53" s="67">
        <v>1</v>
      </c>
      <c r="U53" s="67">
        <v>1</v>
      </c>
      <c r="V53" s="67">
        <v>1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64">
        <f>INDEX(角色属性!AM$8:AM$107,MATCH($D53,角色属性!$I$8:$I$107,0),1)</f>
        <v>51260</v>
      </c>
      <c r="AC53" s="64">
        <f>INDEX(角色属性!AN$8:AN$107,MATCH($D53,角色属性!$I$8:$I$107,0),1)</f>
        <v>5126</v>
      </c>
      <c r="AD53" s="64">
        <f>INDEX(角色属性!AO$8:AO$107,MATCH($D53,角色属性!$I$8:$I$107,0),1)</f>
        <v>2563</v>
      </c>
      <c r="AE53" s="64">
        <f>INDEX(角色属性!AP$8:AP$107,MATCH($D53,角色属性!$I$8:$I$107,0),1)</f>
        <v>2050.4</v>
      </c>
      <c r="AF53" s="64">
        <f>INDEX(角色属性!AQ$8:AQ$107,MATCH($D53,角色属性!$I$8:$I$107,0),1)</f>
        <v>2050.4</v>
      </c>
      <c r="AG53" s="64">
        <f>$P53/10/(1+VLOOKUP(I53,技能效果!$B$2:$D$101,3,FALSE))*怪物属性规划!A$18*INDEX(怪物属性等级系数!$A$2:$A$101,MATCH(D53,怪物属性等级系数!$D$2:$D$101,0),1)*R53+W53</f>
        <v>11331.840482389021</v>
      </c>
      <c r="AH53" s="64">
        <f>$P53/10/(1+VLOOKUP($I53,技能效果!$B$2:$D$101,3,FALSE))*怪物属性规划!B$18*S53+X53</f>
        <v>1262.2359154929577</v>
      </c>
      <c r="AI53" s="64">
        <f>$P53/10/(1+VLOOKUP($I53,技能效果!$B$2:$D$101,3,FALSE))*怪物属性规划!C$18*T53+Y53</f>
        <v>1262.2359154929577</v>
      </c>
      <c r="AJ53" s="64">
        <f>$P53/10/(1+VLOOKUP($I53,技能效果!$B$2:$D$101,3,FALSE))*怪物属性规划!D$18*U53+Z53</f>
        <v>1009.7887323943662</v>
      </c>
      <c r="AK53" s="64">
        <f>$P53/10/(1+VLOOKUP($I53,技能效果!$B$2:$D$101,3,FALSE))*怪物属性规划!E$18*V53+AA53</f>
        <v>1009.7887323943662</v>
      </c>
      <c r="AL53" s="67">
        <f>INDEX(角色属性!BB$8:BB$107,MATCH($D53,角色属性!$I$8:$I$107,0),1)</f>
        <v>1.3400000000000003</v>
      </c>
      <c r="AM53" s="64">
        <f>INDEX(角色属性!BC$8:BC$107,MATCH($D53,角色属性!$I$8:$I$107,0),1)</f>
        <v>1958</v>
      </c>
      <c r="AN53" s="64">
        <f>INDEX(角色属性!BD$8:BD$107,MATCH($D53,角色属性!$I$8:$I$107,0),1)</f>
        <v>919</v>
      </c>
      <c r="AO53" s="69">
        <f t="shared" si="6"/>
        <v>0.60043057676871281</v>
      </c>
      <c r="AP53" s="69">
        <f t="shared" si="7"/>
        <v>0.86668328119594851</v>
      </c>
      <c r="AQ53" s="64">
        <f>AL53*角色属性!$BA$1*(AC53*(1-AO53)+MAX(AF53-AJ53,0))</f>
        <v>8277.9950713190901</v>
      </c>
      <c r="AR53" s="64">
        <f>角色属性!$BA$1*(AH53*(1-AP53)+MAX(AK53-AE53,0))</f>
        <v>336.55430122029827</v>
      </c>
      <c r="AS53" s="73">
        <f t="shared" si="8"/>
        <v>0.76050624341062711</v>
      </c>
      <c r="AT53" s="73">
        <f t="shared" si="9"/>
        <v>0.50700416227375145</v>
      </c>
      <c r="AU53" s="73">
        <f t="shared" si="10"/>
        <v>0.38025312170531356</v>
      </c>
      <c r="AV53" s="73">
        <f t="shared" si="1"/>
        <v>152.30825995727434</v>
      </c>
      <c r="AW53" s="73">
        <f t="shared" si="11"/>
        <v>101.53883997151623</v>
      </c>
      <c r="AX53" s="2" t="str">
        <f t="shared" si="12"/>
        <v>r_guanqia_51</v>
      </c>
      <c r="AY53" s="2">
        <f>ROUND(($P53*R53/10/$H53/(1+VLOOKUP($I53,技能效果!$B$2:$D$101,3,FALSE))-1)*10000,0)</f>
        <v>114</v>
      </c>
      <c r="AZ53" s="2">
        <f>ROUND(($P53*S53/10/$H53/(1+VLOOKUP($I53,技能效果!$B$2:$D$101,3,FALSE))-1)*10000,0)</f>
        <v>114</v>
      </c>
      <c r="BA53" s="2">
        <f>ROUND(($P53*T53/10/$H53/(1+VLOOKUP($I53,技能效果!$B$2:$D$101,3,FALSE))-1)*10000,0)</f>
        <v>114</v>
      </c>
      <c r="BB53" s="2">
        <f>ROUND(($P53*U53/10/$H53/(1+VLOOKUP($I53,技能效果!$B$2:$D$101,3,FALSE))-1)*10000,0)</f>
        <v>114</v>
      </c>
      <c r="BC53" s="2">
        <f>ROUND(($P53*V53/10/$H53/(1+VLOOKUP($I53,技能效果!$B$2:$D$101,3,FALSE))-1)*10000,0)</f>
        <v>114</v>
      </c>
    </row>
    <row r="54" spans="2:55" x14ac:dyDescent="0.15">
      <c r="B54" s="83"/>
      <c r="C54" s="2">
        <v>52</v>
      </c>
      <c r="D54" s="2">
        <f t="shared" si="18"/>
        <v>35</v>
      </c>
      <c r="E54" s="2">
        <v>2</v>
      </c>
      <c r="F54" s="28">
        <f>INDEX([3]宠物属性!$AL$8:$AL$107,MATCH(D54,[3]宠物属性!$I$8:$I$107,0),1)</f>
        <v>38418.558338575152</v>
      </c>
      <c r="G54" s="68">
        <f>F54/INDEX(角色属性!$AI$8:$AI$107,MATCH(D54,角色属性!$I$8:$I$107,0),1)*E54</f>
        <v>2.639028752794037</v>
      </c>
      <c r="H54" s="2">
        <f>INDEX(角色属性!$AL$8:$AL$107,MATCH(D54,角色属性!$I$8:$I$107,0),1)</f>
        <v>1248</v>
      </c>
      <c r="I54" s="2">
        <f>INDEX(角色属性!$Y$8:$Y$107,MATCH(D54,角色属性!$I$8:$I$107,0),1)</f>
        <v>35</v>
      </c>
      <c r="J54" s="28">
        <f>H54*10*(1+VLOOKUP(I54,技能效果!$B$2:$D$101,3,FALSE))</f>
        <v>14177.28</v>
      </c>
      <c r="K54" s="28">
        <f>H54*10*(1+VLOOKUP(I54,技能效果!$B$2:$D$101,3,FALSE))*(1+G54)</f>
        <v>51591.52955641185</v>
      </c>
      <c r="L54" s="2">
        <f t="shared" si="2"/>
        <v>60</v>
      </c>
      <c r="M54" s="28">
        <f t="shared" si="3"/>
        <v>19571.080000000002</v>
      </c>
      <c r="N54" s="28">
        <f t="shared" si="4"/>
        <v>66936.254415390169</v>
      </c>
      <c r="O54" s="62">
        <f t="shared" si="17"/>
        <v>52819</v>
      </c>
      <c r="P54" s="62">
        <f t="shared" si="15"/>
        <v>14609</v>
      </c>
      <c r="Q54" s="64">
        <f t="shared" si="13"/>
        <v>767</v>
      </c>
      <c r="R54" s="67">
        <v>1</v>
      </c>
      <c r="S54" s="67">
        <v>1</v>
      </c>
      <c r="T54" s="67">
        <v>1</v>
      </c>
      <c r="U54" s="67">
        <v>1</v>
      </c>
      <c r="V54" s="67">
        <v>1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64">
        <f>INDEX(角色属性!AM$8:AM$107,MATCH($D54,角色属性!$I$8:$I$107,0),1)</f>
        <v>51260</v>
      </c>
      <c r="AC54" s="64">
        <f>INDEX(角色属性!AN$8:AN$107,MATCH($D54,角色属性!$I$8:$I$107,0),1)</f>
        <v>5126</v>
      </c>
      <c r="AD54" s="64">
        <f>INDEX(角色属性!AO$8:AO$107,MATCH($D54,角色属性!$I$8:$I$107,0),1)</f>
        <v>2563</v>
      </c>
      <c r="AE54" s="64">
        <f>INDEX(角色属性!AP$8:AP$107,MATCH($D54,角色属性!$I$8:$I$107,0),1)</f>
        <v>2050.4</v>
      </c>
      <c r="AF54" s="64">
        <f>INDEX(角色属性!AQ$8:AQ$107,MATCH($D54,角色属性!$I$8:$I$107,0),1)</f>
        <v>2050.4</v>
      </c>
      <c r="AG54" s="64">
        <f>$P54/10/(1+VLOOKUP(I54,技能效果!$B$2:$D$101,3,FALSE))*怪物属性规划!A$18*INDEX(怪物属性等级系数!$A$2:$A$101,MATCH(D54,怪物属性等级系数!$D$2:$D$101,0),1)*R54+W54</f>
        <v>11545.216375425147</v>
      </c>
      <c r="AH54" s="64">
        <f>$P54/10/(1+VLOOKUP($I54,技能效果!$B$2:$D$101,3,FALSE))*怪物属性规划!B$18*S54+X54</f>
        <v>1286.0035211267605</v>
      </c>
      <c r="AI54" s="64">
        <f>$P54/10/(1+VLOOKUP($I54,技能效果!$B$2:$D$101,3,FALSE))*怪物属性规划!C$18*T54+Y54</f>
        <v>1286.0035211267605</v>
      </c>
      <c r="AJ54" s="64">
        <f>$P54/10/(1+VLOOKUP($I54,技能效果!$B$2:$D$101,3,FALSE))*怪物属性规划!D$18*U54+Z54</f>
        <v>1028.8028169014085</v>
      </c>
      <c r="AK54" s="64">
        <f>$P54/10/(1+VLOOKUP($I54,技能效果!$B$2:$D$101,3,FALSE))*怪物属性规划!E$18*V54+AA54</f>
        <v>1028.8028169014085</v>
      </c>
      <c r="AL54" s="67">
        <f>INDEX(角色属性!BB$8:BB$107,MATCH($D54,角色属性!$I$8:$I$107,0),1)</f>
        <v>1.3400000000000003</v>
      </c>
      <c r="AM54" s="64">
        <f>INDEX(角色属性!BC$8:BC$107,MATCH($D54,角色属性!$I$8:$I$107,0),1)</f>
        <v>1958</v>
      </c>
      <c r="AN54" s="64">
        <f>INDEX(角色属性!BD$8:BD$107,MATCH($D54,角色属性!$I$8:$I$107,0),1)</f>
        <v>919</v>
      </c>
      <c r="AO54" s="69">
        <f t="shared" si="6"/>
        <v>0.60489759142159438</v>
      </c>
      <c r="AP54" s="69">
        <f t="shared" si="7"/>
        <v>0.86668328119594851</v>
      </c>
      <c r="AQ54" s="64">
        <f>AL54*角色属性!$BA$1*(AC54*(1-AO54)+MAX(AF54-AJ54,0))</f>
        <v>8165.6709069836188</v>
      </c>
      <c r="AR54" s="64">
        <f>角色属性!$BA$1*(AH54*(1-AP54)+MAX(AK54-AE54,0))</f>
        <v>342.89153961415286</v>
      </c>
      <c r="AS54" s="73">
        <f t="shared" si="8"/>
        <v>0.78548464302827703</v>
      </c>
      <c r="AT54" s="73">
        <f t="shared" si="9"/>
        <v>0.52365642868551798</v>
      </c>
      <c r="AU54" s="73">
        <f t="shared" si="10"/>
        <v>0.39274232151413851</v>
      </c>
      <c r="AV54" s="73">
        <f t="shared" si="1"/>
        <v>149.49333558267892</v>
      </c>
      <c r="AW54" s="73">
        <f t="shared" si="11"/>
        <v>99.662223721785949</v>
      </c>
      <c r="AX54" s="2" t="str">
        <f t="shared" si="12"/>
        <v>r_guanqia_52</v>
      </c>
      <c r="AY54" s="2">
        <f>ROUND(($P54*R54/10/$H54/(1+VLOOKUP($I54,技能效果!$B$2:$D$101,3,FALSE))-1)*10000,0)</f>
        <v>305</v>
      </c>
      <c r="AZ54" s="2">
        <f>ROUND(($P54*S54/10/$H54/(1+VLOOKUP($I54,技能效果!$B$2:$D$101,3,FALSE))-1)*10000,0)</f>
        <v>305</v>
      </c>
      <c r="BA54" s="2">
        <f>ROUND(($P54*T54/10/$H54/(1+VLOOKUP($I54,技能效果!$B$2:$D$101,3,FALSE))-1)*10000,0)</f>
        <v>305</v>
      </c>
      <c r="BB54" s="2">
        <f>ROUND(($P54*U54/10/$H54/(1+VLOOKUP($I54,技能效果!$B$2:$D$101,3,FALSE))-1)*10000,0)</f>
        <v>305</v>
      </c>
      <c r="BC54" s="2">
        <f>ROUND(($P54*V54/10/$H54/(1+VLOOKUP($I54,技能效果!$B$2:$D$101,3,FALSE))-1)*10000,0)</f>
        <v>305</v>
      </c>
    </row>
    <row r="55" spans="2:55" x14ac:dyDescent="0.15">
      <c r="B55" s="83"/>
      <c r="C55" s="2">
        <v>53</v>
      </c>
      <c r="D55" s="2">
        <f t="shared" si="18"/>
        <v>36</v>
      </c>
      <c r="E55" s="2">
        <v>2</v>
      </c>
      <c r="F55" s="28">
        <f>INDEX([3]宠物属性!$AL$8:$AL$107,MATCH(D55,[3]宠物属性!$I$8:$I$107,0),1)</f>
        <v>39755.243440018938</v>
      </c>
      <c r="G55" s="68">
        <f>F55/INDEX(角色属性!$AI$8:$AI$107,MATCH(D55,角色属性!$I$8:$I$107,0),1)*E55</f>
        <v>2.6671526242003911</v>
      </c>
      <c r="H55" s="2">
        <f>INDEX(角色属性!$AL$8:$AL$107,MATCH(D55,角色属性!$I$8:$I$107,0),1)</f>
        <v>1329</v>
      </c>
      <c r="I55" s="2">
        <f>INDEX(角色属性!$Y$8:$Y$107,MATCH(D55,角色属性!$I$8:$I$107,0),1)</f>
        <v>36</v>
      </c>
      <c r="J55" s="28">
        <f>H55*10*(1+VLOOKUP(I55,技能效果!$B$2:$D$101,3,FALSE))</f>
        <v>15150.600000000002</v>
      </c>
      <c r="K55" s="28">
        <f>H55*10*(1+VLOOKUP(I55,技能效果!$B$2:$D$101,3,FALSE))*(1+G55)</f>
        <v>55559.562548210451</v>
      </c>
      <c r="L55" s="2">
        <f t="shared" si="2"/>
        <v>60</v>
      </c>
      <c r="M55" s="28">
        <f t="shared" si="3"/>
        <v>19571.080000000002</v>
      </c>
      <c r="N55" s="28">
        <f t="shared" si="4"/>
        <v>66936.254415390169</v>
      </c>
      <c r="O55" s="62">
        <f t="shared" si="17"/>
        <v>53893</v>
      </c>
      <c r="P55" s="62">
        <f t="shared" si="15"/>
        <v>14986</v>
      </c>
      <c r="Q55" s="64">
        <f t="shared" si="13"/>
        <v>1074</v>
      </c>
      <c r="R55" s="67">
        <v>1</v>
      </c>
      <c r="S55" s="67">
        <v>1</v>
      </c>
      <c r="T55" s="67">
        <v>1</v>
      </c>
      <c r="U55" s="67">
        <v>1</v>
      </c>
      <c r="V55" s="67">
        <v>1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64">
        <f>INDEX(角色属性!AM$8:AM$107,MATCH($D55,角色属性!$I$8:$I$107,0),1)</f>
        <v>52300</v>
      </c>
      <c r="AC55" s="64">
        <f>INDEX(角色属性!AN$8:AN$107,MATCH($D55,角色属性!$I$8:$I$107,0),1)</f>
        <v>5230</v>
      </c>
      <c r="AD55" s="64">
        <f>INDEX(角色属性!AO$8:AO$107,MATCH($D55,角色属性!$I$8:$I$107,0),1)</f>
        <v>2615</v>
      </c>
      <c r="AE55" s="64">
        <f>INDEX(角色属性!AP$8:AP$107,MATCH($D55,角色属性!$I$8:$I$107,0),1)</f>
        <v>2092</v>
      </c>
      <c r="AF55" s="64">
        <f>INDEX(角色属性!AQ$8:AQ$107,MATCH($D55,角色属性!$I$8:$I$107,0),1)</f>
        <v>2092</v>
      </c>
      <c r="AG55" s="64">
        <f>$P55/10/(1+VLOOKUP(I55,技能效果!$B$2:$D$101,3,FALSE))*怪物属性规划!A$18*INDEX(怪物属性等级系数!$A$2:$A$101,MATCH(D55,怪物属性等级系数!$D$2:$D$101,0),1)*R55+W55</f>
        <v>11977.546212340305</v>
      </c>
      <c r="AH55" s="64">
        <f>$P55/10/(1+VLOOKUP($I55,技能效果!$B$2:$D$101,3,FALSE))*怪物属性规划!B$18*S55+X55</f>
        <v>1314.5614035087717</v>
      </c>
      <c r="AI55" s="64">
        <f>$P55/10/(1+VLOOKUP($I55,技能效果!$B$2:$D$101,3,FALSE))*怪物属性规划!C$18*T55+Y55</f>
        <v>1314.5614035087717</v>
      </c>
      <c r="AJ55" s="64">
        <f>$P55/10/(1+VLOOKUP($I55,技能效果!$B$2:$D$101,3,FALSE))*怪物属性规划!D$18*U55+Z55</f>
        <v>1051.6491228070174</v>
      </c>
      <c r="AK55" s="64">
        <f>$P55/10/(1+VLOOKUP($I55,技能效果!$B$2:$D$101,3,FALSE))*怪物属性规划!E$18*V55+AA55</f>
        <v>1051.6491228070174</v>
      </c>
      <c r="AL55" s="67">
        <f>INDEX(角色属性!BB$8:BB$107,MATCH($D55,角色属性!$I$8:$I$107,0),1)</f>
        <v>1.3500000000000003</v>
      </c>
      <c r="AM55" s="64">
        <f>INDEX(角色属性!BC$8:BC$107,MATCH($D55,角色属性!$I$8:$I$107,0),1)</f>
        <v>2111</v>
      </c>
      <c r="AN55" s="64">
        <f>INDEX(角色属性!BD$8:BD$107,MATCH($D55,角色属性!$I$8:$I$107,0),1)</f>
        <v>937</v>
      </c>
      <c r="AO55" s="69">
        <f t="shared" si="6"/>
        <v>0.59209666089802426</v>
      </c>
      <c r="AP55" s="69">
        <f t="shared" si="7"/>
        <v>0.86676281159957347</v>
      </c>
      <c r="AQ55" s="64">
        <f>AL55*角色属性!$BA$1*(AC55*(1-AO55)+MAX(AF55-AJ55,0))</f>
        <v>8568.9504198800532</v>
      </c>
      <c r="AR55" s="64">
        <f>角色属性!$BA$1*(AH55*(1-AP55)+MAX(AK55-AE55,0))</f>
        <v>350.29693076645469</v>
      </c>
      <c r="AS55" s="73">
        <f t="shared" si="8"/>
        <v>0.77654695314274003</v>
      </c>
      <c r="AT55" s="73">
        <f t="shared" si="9"/>
        <v>0.51769796876182661</v>
      </c>
      <c r="AU55" s="73">
        <f t="shared" si="10"/>
        <v>0.38827347657137001</v>
      </c>
      <c r="AV55" s="73">
        <f t="shared" si="1"/>
        <v>149.30190762895597</v>
      </c>
      <c r="AW55" s="73">
        <f t="shared" si="11"/>
        <v>99.534605085970654</v>
      </c>
      <c r="AX55" s="2" t="str">
        <f t="shared" si="12"/>
        <v>r_guanqia_53</v>
      </c>
      <c r="AY55" s="2">
        <f>ROUND(($P55*R55/10/$H55/(1+VLOOKUP($I55,技能效果!$B$2:$D$101,3,FALSE))-1)*10000,0)</f>
        <v>-109</v>
      </c>
      <c r="AZ55" s="2">
        <f>ROUND(($P55*S55/10/$H55/(1+VLOOKUP($I55,技能效果!$B$2:$D$101,3,FALSE))-1)*10000,0)</f>
        <v>-109</v>
      </c>
      <c r="BA55" s="2">
        <f>ROUND(($P55*T55/10/$H55/(1+VLOOKUP($I55,技能效果!$B$2:$D$101,3,FALSE))-1)*10000,0)</f>
        <v>-109</v>
      </c>
      <c r="BB55" s="2">
        <f>ROUND(($P55*U55/10/$H55/(1+VLOOKUP($I55,技能效果!$B$2:$D$101,3,FALSE))-1)*10000,0)</f>
        <v>-109</v>
      </c>
      <c r="BC55" s="2">
        <f>ROUND(($P55*V55/10/$H55/(1+VLOOKUP($I55,技能效果!$B$2:$D$101,3,FALSE))-1)*10000,0)</f>
        <v>-109</v>
      </c>
    </row>
    <row r="56" spans="2:55" x14ac:dyDescent="0.15">
      <c r="B56" s="83"/>
      <c r="C56" s="2">
        <v>54</v>
      </c>
      <c r="D56" s="2">
        <f t="shared" si="18"/>
        <v>36</v>
      </c>
      <c r="E56" s="2">
        <v>2</v>
      </c>
      <c r="F56" s="28">
        <f>INDEX([3]宠物属性!$AL$8:$AL$107,MATCH(D56,[3]宠物属性!$I$8:$I$107,0),1)</f>
        <v>39755.243440018938</v>
      </c>
      <c r="G56" s="68">
        <f>F56/INDEX(角色属性!$AI$8:$AI$107,MATCH(D56,角色属性!$I$8:$I$107,0),1)*E56</f>
        <v>2.6671526242003911</v>
      </c>
      <c r="H56" s="2">
        <f>INDEX(角色属性!$AL$8:$AL$107,MATCH(D56,角色属性!$I$8:$I$107,0),1)</f>
        <v>1329</v>
      </c>
      <c r="I56" s="2">
        <f>INDEX(角色属性!$Y$8:$Y$107,MATCH(D56,角色属性!$I$8:$I$107,0),1)</f>
        <v>36</v>
      </c>
      <c r="J56" s="28">
        <f>H56*10*(1+VLOOKUP(I56,技能效果!$B$2:$D$101,3,FALSE))</f>
        <v>15150.600000000002</v>
      </c>
      <c r="K56" s="28">
        <f>H56*10*(1+VLOOKUP(I56,技能效果!$B$2:$D$101,3,FALSE))*(1+G56)</f>
        <v>55559.562548210451</v>
      </c>
      <c r="L56" s="2">
        <f t="shared" si="2"/>
        <v>60</v>
      </c>
      <c r="M56" s="28">
        <f t="shared" si="3"/>
        <v>19571.080000000002</v>
      </c>
      <c r="N56" s="28">
        <f t="shared" si="4"/>
        <v>66936.254415390169</v>
      </c>
      <c r="O56" s="62">
        <f t="shared" si="17"/>
        <v>55274</v>
      </c>
      <c r="P56" s="62">
        <f t="shared" si="15"/>
        <v>15472</v>
      </c>
      <c r="Q56" s="64">
        <f t="shared" si="13"/>
        <v>1381</v>
      </c>
      <c r="R56" s="67">
        <v>1</v>
      </c>
      <c r="S56" s="67">
        <v>1</v>
      </c>
      <c r="T56" s="67">
        <v>1</v>
      </c>
      <c r="U56" s="67">
        <v>1</v>
      </c>
      <c r="V56" s="67">
        <v>1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64">
        <f>INDEX(角色属性!AM$8:AM$107,MATCH($D56,角色属性!$I$8:$I$107,0),1)</f>
        <v>52300</v>
      </c>
      <c r="AC56" s="64">
        <f>INDEX(角色属性!AN$8:AN$107,MATCH($D56,角色属性!$I$8:$I$107,0),1)</f>
        <v>5230</v>
      </c>
      <c r="AD56" s="64">
        <f>INDEX(角色属性!AO$8:AO$107,MATCH($D56,角色属性!$I$8:$I$107,0),1)</f>
        <v>2615</v>
      </c>
      <c r="AE56" s="64">
        <f>INDEX(角色属性!AP$8:AP$107,MATCH($D56,角色属性!$I$8:$I$107,0),1)</f>
        <v>2092</v>
      </c>
      <c r="AF56" s="64">
        <f>INDEX(角色属性!AQ$8:AQ$107,MATCH($D56,角色属性!$I$8:$I$107,0),1)</f>
        <v>2092</v>
      </c>
      <c r="AG56" s="64">
        <f>$P56/10/(1+VLOOKUP(I56,技能效果!$B$2:$D$101,3,FALSE))*怪物属性规划!A$18*INDEX(怪物属性等级系数!$A$2:$A$101,MATCH(D56,怪物属性等级系数!$D$2:$D$101,0),1)*R56+W56</f>
        <v>12365.981248987669</v>
      </c>
      <c r="AH56" s="64">
        <f>$P56/10/(1+VLOOKUP($I56,技能效果!$B$2:$D$101,3,FALSE))*怪物属性规划!B$18*S56+X56</f>
        <v>1357.1929824561403</v>
      </c>
      <c r="AI56" s="64">
        <f>$P56/10/(1+VLOOKUP($I56,技能效果!$B$2:$D$101,3,FALSE))*怪物属性规划!C$18*T56+Y56</f>
        <v>1357.1929824561403</v>
      </c>
      <c r="AJ56" s="64">
        <f>$P56/10/(1+VLOOKUP($I56,技能效果!$B$2:$D$101,3,FALSE))*怪物属性规划!D$18*U56+Z56</f>
        <v>1085.7543859649122</v>
      </c>
      <c r="AK56" s="64">
        <f>$P56/10/(1+VLOOKUP($I56,技能效果!$B$2:$D$101,3,FALSE))*怪物属性规划!E$18*V56+AA56</f>
        <v>1085.7543859649122</v>
      </c>
      <c r="AL56" s="67">
        <f>INDEX(角色属性!BB$8:BB$107,MATCH($D56,角色属性!$I$8:$I$107,0),1)</f>
        <v>1.3500000000000003</v>
      </c>
      <c r="AM56" s="64">
        <f>INDEX(角色属性!BC$8:BC$107,MATCH($D56,角色属性!$I$8:$I$107,0),1)</f>
        <v>2111</v>
      </c>
      <c r="AN56" s="64">
        <f>INDEX(角色属性!BD$8:BD$107,MATCH($D56,角色属性!$I$8:$I$107,0),1)</f>
        <v>937</v>
      </c>
      <c r="AO56" s="69">
        <f t="shared" si="6"/>
        <v>0.59978159607542492</v>
      </c>
      <c r="AP56" s="69">
        <f t="shared" si="7"/>
        <v>0.86676281159957347</v>
      </c>
      <c r="AQ56" s="64">
        <f>AL56*角色属性!$BA$1*(AC56*(1-AO56)+MAX(AF56-AJ56,0))</f>
        <v>8368.3472397136629</v>
      </c>
      <c r="AR56" s="64">
        <f>角色属性!$BA$1*(AH56*(1-AP56)+MAX(AK56-AE56,0))</f>
        <v>361.65715419849107</v>
      </c>
      <c r="AS56" s="73">
        <f t="shared" si="8"/>
        <v>0.82094939251182353</v>
      </c>
      <c r="AT56" s="73">
        <f t="shared" si="9"/>
        <v>0.54729959500788228</v>
      </c>
      <c r="AU56" s="73">
        <f t="shared" si="10"/>
        <v>0.41047469625591176</v>
      </c>
      <c r="AV56" s="73">
        <f t="shared" si="1"/>
        <v>144.61209848290679</v>
      </c>
      <c r="AW56" s="73">
        <f t="shared" si="11"/>
        <v>96.408065655271201</v>
      </c>
      <c r="AX56" s="2" t="str">
        <f t="shared" si="12"/>
        <v>r_guanqia_54</v>
      </c>
      <c r="AY56" s="2">
        <f>ROUND(($P56*R56/10/$H56/(1+VLOOKUP($I56,技能效果!$B$2:$D$101,3,FALSE))-1)*10000,0)</f>
        <v>212</v>
      </c>
      <c r="AZ56" s="2">
        <f>ROUND(($P56*S56/10/$H56/(1+VLOOKUP($I56,技能效果!$B$2:$D$101,3,FALSE))-1)*10000,0)</f>
        <v>212</v>
      </c>
      <c r="BA56" s="2">
        <f>ROUND(($P56*T56/10/$H56/(1+VLOOKUP($I56,技能效果!$B$2:$D$101,3,FALSE))-1)*10000,0)</f>
        <v>212</v>
      </c>
      <c r="BB56" s="2">
        <f>ROUND(($P56*U56/10/$H56/(1+VLOOKUP($I56,技能效果!$B$2:$D$101,3,FALSE))-1)*10000,0)</f>
        <v>212</v>
      </c>
      <c r="BC56" s="2">
        <f>ROUND(($P56*V56/10/$H56/(1+VLOOKUP($I56,技能效果!$B$2:$D$101,3,FALSE))-1)*10000,0)</f>
        <v>212</v>
      </c>
    </row>
    <row r="57" spans="2:55" x14ac:dyDescent="0.15">
      <c r="B57" s="83"/>
      <c r="C57" s="2">
        <v>55</v>
      </c>
      <c r="D57" s="2">
        <f t="shared" si="18"/>
        <v>37</v>
      </c>
      <c r="E57" s="2">
        <v>2</v>
      </c>
      <c r="F57" s="28">
        <f>INDEX([3]宠物属性!$AL$8:$AL$107,MATCH(D57,[3]宠物属性!$I$8:$I$107,0),1)</f>
        <v>41103.755741462723</v>
      </c>
      <c r="G57" s="68">
        <f>F57/INDEX(角色属性!$AI$8:$AI$107,MATCH(D57,角色属性!$I$8:$I$107,0),1)*E57</f>
        <v>2.6853405394142391</v>
      </c>
      <c r="H57" s="2">
        <f>INDEX(角色属性!$AL$8:$AL$107,MATCH(D57,角色属性!$I$8:$I$107,0),1)</f>
        <v>1414</v>
      </c>
      <c r="I57" s="2">
        <f>INDEX(角色属性!$Y$8:$Y$107,MATCH(D57,角色属性!$I$8:$I$107,0),1)</f>
        <v>37</v>
      </c>
      <c r="J57" s="28">
        <f>H57*10*(1+VLOOKUP(I57,技能效果!$B$2:$D$101,3,FALSE))</f>
        <v>16176.160000000002</v>
      </c>
      <c r="K57" s="28">
        <f>H57*10*(1+VLOOKUP(I57,技能效果!$B$2:$D$101,3,FALSE))*(1+G57)</f>
        <v>59614.658220051046</v>
      </c>
      <c r="L57" s="2">
        <f t="shared" si="2"/>
        <v>60</v>
      </c>
      <c r="M57" s="28">
        <f t="shared" si="3"/>
        <v>19571.080000000002</v>
      </c>
      <c r="N57" s="28">
        <f t="shared" si="4"/>
        <v>66936.254415390169</v>
      </c>
      <c r="O57" s="62">
        <f t="shared" si="17"/>
        <v>58036</v>
      </c>
      <c r="P57" s="62">
        <f t="shared" si="15"/>
        <v>16443</v>
      </c>
      <c r="Q57" s="64">
        <f t="shared" si="13"/>
        <v>2762</v>
      </c>
      <c r="R57" s="67">
        <v>1</v>
      </c>
      <c r="S57" s="67">
        <v>1</v>
      </c>
      <c r="T57" s="67">
        <v>1</v>
      </c>
      <c r="U57" s="67">
        <v>1</v>
      </c>
      <c r="V57" s="67">
        <v>1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64">
        <f>INDEX(角色属性!AM$8:AM$107,MATCH($D57,角色属性!$I$8:$I$107,0),1)</f>
        <v>53520.000000000007</v>
      </c>
      <c r="AC57" s="64">
        <f>INDEX(角色属性!AN$8:AN$107,MATCH($D57,角色属性!$I$8:$I$107,0),1)</f>
        <v>5352</v>
      </c>
      <c r="AD57" s="64">
        <f>INDEX(角色属性!AO$8:AO$107,MATCH($D57,角色属性!$I$8:$I$107,0),1)</f>
        <v>2676</v>
      </c>
      <c r="AE57" s="64">
        <f>INDEX(角色属性!AP$8:AP$107,MATCH($D57,角色属性!$I$8:$I$107,0),1)</f>
        <v>2140.8000000000002</v>
      </c>
      <c r="AF57" s="64">
        <f>INDEX(角色属性!AQ$8:AQ$107,MATCH($D57,角色属性!$I$8:$I$107,0),1)</f>
        <v>2140.8000000000002</v>
      </c>
      <c r="AG57" s="64">
        <f>$P57/10/(1+VLOOKUP(I57,技能效果!$B$2:$D$101,3,FALSE))*怪物属性规划!A$18*INDEX(怪物属性等级系数!$A$2:$A$101,MATCH(D57,怪物属性等级系数!$D$2:$D$101,0),1)*R57+W57</f>
        <v>13287.84991608183</v>
      </c>
      <c r="AH57" s="64">
        <f>$P57/10/(1+VLOOKUP($I57,技能效果!$B$2:$D$101,3,FALSE))*怪物属性规划!B$18*S57+X57</f>
        <v>1437.3251748251746</v>
      </c>
      <c r="AI57" s="64">
        <f>$P57/10/(1+VLOOKUP($I57,技能效果!$B$2:$D$101,3,FALSE))*怪物属性规划!C$18*T57+Y57</f>
        <v>1437.3251748251746</v>
      </c>
      <c r="AJ57" s="64">
        <f>$P57/10/(1+VLOOKUP($I57,技能效果!$B$2:$D$101,3,FALSE))*怪物属性规划!D$18*U57+Z57</f>
        <v>1149.8601398601397</v>
      </c>
      <c r="AK57" s="64">
        <f>$P57/10/(1+VLOOKUP($I57,技能效果!$B$2:$D$101,3,FALSE))*怪物属性规划!E$18*V57+AA57</f>
        <v>1149.8601398601397</v>
      </c>
      <c r="AL57" s="67">
        <f>INDEX(角色属性!BB$8:BB$107,MATCH($D57,角色属性!$I$8:$I$107,0),1)</f>
        <v>1.3600000000000003</v>
      </c>
      <c r="AM57" s="64">
        <f>INDEX(角色属性!BC$8:BC$107,MATCH($D57,角色属性!$I$8:$I$107,0),1)</f>
        <v>2274</v>
      </c>
      <c r="AN57" s="64">
        <f>INDEX(角色属性!BD$8:BD$107,MATCH($D57,角色属性!$I$8:$I$107,0),1)</f>
        <v>959</v>
      </c>
      <c r="AO57" s="69">
        <f t="shared" si="6"/>
        <v>0.59569080596659563</v>
      </c>
      <c r="AP57" s="69">
        <f t="shared" si="7"/>
        <v>0.86674563250568193</v>
      </c>
      <c r="AQ57" s="64">
        <f>AL57*角色属性!$BA$1*(AC57*(1-AO57)+MAX(AF57-AJ57,0))</f>
        <v>8581.0632531700649</v>
      </c>
      <c r="AR57" s="64">
        <f>角色属性!$BA$1*(AH57*(1-AP57)+MAX(AK57-AE57,0))</f>
        <v>383.05971410997756</v>
      </c>
      <c r="AS57" s="73">
        <f t="shared" si="8"/>
        <v>0.86028253428157997</v>
      </c>
      <c r="AT57" s="73">
        <f t="shared" si="9"/>
        <v>0.57352168952105331</v>
      </c>
      <c r="AU57" s="73">
        <f t="shared" si="10"/>
        <v>0.43014126714078998</v>
      </c>
      <c r="AV57" s="73">
        <f t="shared" si="1"/>
        <v>139.71711988652052</v>
      </c>
      <c r="AW57" s="73">
        <f t="shared" si="11"/>
        <v>93.144746591013657</v>
      </c>
      <c r="AX57" s="2" t="str">
        <f t="shared" si="12"/>
        <v>r_guanqia_55</v>
      </c>
      <c r="AY57" s="2">
        <f>ROUND(($P57*R57/10/$H57/(1+VLOOKUP($I57,技能效果!$B$2:$D$101,3,FALSE))-1)*10000,0)</f>
        <v>165</v>
      </c>
      <c r="AZ57" s="2">
        <f>ROUND(($P57*S57/10/$H57/(1+VLOOKUP($I57,技能效果!$B$2:$D$101,3,FALSE))-1)*10000,0)</f>
        <v>165</v>
      </c>
      <c r="BA57" s="2">
        <f>ROUND(($P57*T57/10/$H57/(1+VLOOKUP($I57,技能效果!$B$2:$D$101,3,FALSE))-1)*10000,0)</f>
        <v>165</v>
      </c>
      <c r="BB57" s="2">
        <f>ROUND(($P57*U57/10/$H57/(1+VLOOKUP($I57,技能效果!$B$2:$D$101,3,FALSE))-1)*10000,0)</f>
        <v>165</v>
      </c>
      <c r="BC57" s="2">
        <f>ROUND(($P57*V57/10/$H57/(1+VLOOKUP($I57,技能效果!$B$2:$D$101,3,FALSE))-1)*10000,0)</f>
        <v>165</v>
      </c>
    </row>
    <row r="58" spans="2:55" x14ac:dyDescent="0.15">
      <c r="B58" s="83"/>
      <c r="C58" s="2">
        <v>56</v>
      </c>
      <c r="D58" s="2">
        <f t="shared" si="18"/>
        <v>37</v>
      </c>
      <c r="E58" s="2">
        <v>2</v>
      </c>
      <c r="F58" s="28">
        <f>INDEX([3]宠物属性!$AL$8:$AL$107,MATCH(D58,[3]宠物属性!$I$8:$I$107,0),1)</f>
        <v>41103.755741462723</v>
      </c>
      <c r="G58" s="68">
        <f>F58/INDEX(角色属性!$AI$8:$AI$107,MATCH(D58,角色属性!$I$8:$I$107,0),1)*E58</f>
        <v>2.6853405394142391</v>
      </c>
      <c r="H58" s="2">
        <f>INDEX(角色属性!$AL$8:$AL$107,MATCH(D58,角色属性!$I$8:$I$107,0),1)</f>
        <v>1414</v>
      </c>
      <c r="I58" s="2">
        <f>INDEX(角色属性!$Y$8:$Y$107,MATCH(D58,角色属性!$I$8:$I$107,0),1)</f>
        <v>37</v>
      </c>
      <c r="J58" s="28">
        <f>H58*10*(1+VLOOKUP(I58,技能效果!$B$2:$D$101,3,FALSE))</f>
        <v>16176.160000000002</v>
      </c>
      <c r="K58" s="28">
        <f>H58*10*(1+VLOOKUP(I58,技能效果!$B$2:$D$101,3,FALSE))*(1+G58)</f>
        <v>59614.658220051046</v>
      </c>
      <c r="L58" s="2">
        <f t="shared" si="2"/>
        <v>60</v>
      </c>
      <c r="M58" s="28">
        <f t="shared" si="3"/>
        <v>19571.080000000002</v>
      </c>
      <c r="N58" s="28">
        <f t="shared" si="4"/>
        <v>66936.254415390169</v>
      </c>
      <c r="O58" s="62">
        <f t="shared" si="17"/>
        <v>58650</v>
      </c>
      <c r="P58" s="62">
        <f t="shared" si="15"/>
        <v>16658</v>
      </c>
      <c r="Q58" s="64">
        <f t="shared" si="13"/>
        <v>614</v>
      </c>
      <c r="R58" s="67">
        <v>1</v>
      </c>
      <c r="S58" s="67">
        <v>1</v>
      </c>
      <c r="T58" s="67">
        <v>1</v>
      </c>
      <c r="U58" s="67">
        <v>1</v>
      </c>
      <c r="V58" s="67">
        <v>1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64">
        <f>INDEX(角色属性!AM$8:AM$107,MATCH($D58,角色属性!$I$8:$I$107,0),1)</f>
        <v>53520.000000000007</v>
      </c>
      <c r="AC58" s="64">
        <f>INDEX(角色属性!AN$8:AN$107,MATCH($D58,角色属性!$I$8:$I$107,0),1)</f>
        <v>5352</v>
      </c>
      <c r="AD58" s="64">
        <f>INDEX(角色属性!AO$8:AO$107,MATCH($D58,角色属性!$I$8:$I$107,0),1)</f>
        <v>2676</v>
      </c>
      <c r="AE58" s="64">
        <f>INDEX(角色属性!AP$8:AP$107,MATCH($D58,角色属性!$I$8:$I$107,0),1)</f>
        <v>2140.8000000000002</v>
      </c>
      <c r="AF58" s="64">
        <f>INDEX(角色属性!AQ$8:AQ$107,MATCH($D58,角色属性!$I$8:$I$107,0),1)</f>
        <v>2140.8000000000002</v>
      </c>
      <c r="AG58" s="64">
        <f>$P58/10/(1+VLOOKUP(I58,技能效果!$B$2:$D$101,3,FALSE))*怪物属性规划!A$18*INDEX(怪物属性等级系数!$A$2:$A$101,MATCH(D58,怪物属性等级系数!$D$2:$D$101,0),1)*R58+W58</f>
        <v>13461.594836835802</v>
      </c>
      <c r="AH58" s="64">
        <f>$P58/10/(1+VLOOKUP($I58,技能效果!$B$2:$D$101,3,FALSE))*怪物属性规划!B$18*S58+X58</f>
        <v>1456.1188811188808</v>
      </c>
      <c r="AI58" s="64">
        <f>$P58/10/(1+VLOOKUP($I58,技能效果!$B$2:$D$101,3,FALSE))*怪物属性规划!C$18*T58+Y58</f>
        <v>1456.1188811188808</v>
      </c>
      <c r="AJ58" s="64">
        <f>$P58/10/(1+VLOOKUP($I58,技能效果!$B$2:$D$101,3,FALSE))*怪物属性规划!D$18*U58+Z58</f>
        <v>1164.8951048951046</v>
      </c>
      <c r="AK58" s="64">
        <f>$P58/10/(1+VLOOKUP($I58,技能效果!$B$2:$D$101,3,FALSE))*怪物属性规划!E$18*V58+AA58</f>
        <v>1164.8951048951046</v>
      </c>
      <c r="AL58" s="67">
        <f>INDEX(角色属性!BB$8:BB$107,MATCH($D58,角色属性!$I$8:$I$107,0),1)</f>
        <v>1.3600000000000003</v>
      </c>
      <c r="AM58" s="64">
        <f>INDEX(角色属性!BC$8:BC$107,MATCH($D58,角色属性!$I$8:$I$107,0),1)</f>
        <v>2274</v>
      </c>
      <c r="AN58" s="64">
        <f>INDEX(角色属性!BD$8:BD$107,MATCH($D58,角色属性!$I$8:$I$107,0),1)</f>
        <v>959</v>
      </c>
      <c r="AO58" s="69">
        <f t="shared" si="6"/>
        <v>0.59881560671669432</v>
      </c>
      <c r="AP58" s="69">
        <f t="shared" si="7"/>
        <v>0.86674563250568193</v>
      </c>
      <c r="AQ58" s="64">
        <f>AL58*角色属性!$BA$1*(AC58*(1-AO58)+MAX(AF58-AJ58,0))</f>
        <v>8494.6790488434435</v>
      </c>
      <c r="AR58" s="64">
        <f>角色属性!$BA$1*(AH58*(1-AP58)+MAX(AK58-AE58,0))</f>
        <v>388.06840100006121</v>
      </c>
      <c r="AS58" s="73">
        <f t="shared" si="8"/>
        <v>0.88039392132894512</v>
      </c>
      <c r="AT58" s="73">
        <f t="shared" si="9"/>
        <v>0.58692928088596341</v>
      </c>
      <c r="AU58" s="73">
        <f t="shared" si="10"/>
        <v>0.44019696066447256</v>
      </c>
      <c r="AV58" s="73">
        <f t="shared" si="1"/>
        <v>137.91383132993496</v>
      </c>
      <c r="AW58" s="73">
        <f t="shared" si="11"/>
        <v>91.942554219956634</v>
      </c>
      <c r="AX58" s="2" t="str">
        <f t="shared" si="12"/>
        <v>r_guanqia_56</v>
      </c>
      <c r="AY58" s="2">
        <f>ROUND(($P58*R58/10/$H58/(1+VLOOKUP($I58,技能效果!$B$2:$D$101,3,FALSE))-1)*10000,0)</f>
        <v>298</v>
      </c>
      <c r="AZ58" s="2">
        <f>ROUND(($P58*S58/10/$H58/(1+VLOOKUP($I58,技能效果!$B$2:$D$101,3,FALSE))-1)*10000,0)</f>
        <v>298</v>
      </c>
      <c r="BA58" s="2">
        <f>ROUND(($P58*T58/10/$H58/(1+VLOOKUP($I58,技能效果!$B$2:$D$101,3,FALSE))-1)*10000,0)</f>
        <v>298</v>
      </c>
      <c r="BB58" s="2">
        <f>ROUND(($P58*U58/10/$H58/(1+VLOOKUP($I58,技能效果!$B$2:$D$101,3,FALSE))-1)*10000,0)</f>
        <v>298</v>
      </c>
      <c r="BC58" s="2">
        <f>ROUND(($P58*V58/10/$H58/(1+VLOOKUP($I58,技能效果!$B$2:$D$101,3,FALSE))-1)*10000,0)</f>
        <v>298</v>
      </c>
    </row>
    <row r="59" spans="2:55" x14ac:dyDescent="0.15">
      <c r="B59" s="83"/>
      <c r="C59" s="2">
        <v>57</v>
      </c>
      <c r="D59" s="2">
        <f t="shared" si="18"/>
        <v>37</v>
      </c>
      <c r="E59" s="2">
        <v>2</v>
      </c>
      <c r="F59" s="28">
        <f>INDEX([3]宠物属性!$AL$8:$AL$107,MATCH(D59,[3]宠物属性!$I$8:$I$107,0),1)</f>
        <v>41103.755741462723</v>
      </c>
      <c r="G59" s="68">
        <f>F59/INDEX(角色属性!$AI$8:$AI$107,MATCH(D59,角色属性!$I$8:$I$107,0),1)*E59</f>
        <v>2.6853405394142391</v>
      </c>
      <c r="H59" s="2">
        <f>INDEX(角色属性!$AL$8:$AL$107,MATCH(D59,角色属性!$I$8:$I$107,0),1)</f>
        <v>1414</v>
      </c>
      <c r="I59" s="2">
        <f>INDEX(角色属性!$Y$8:$Y$107,MATCH(D59,角色属性!$I$8:$I$107,0),1)</f>
        <v>37</v>
      </c>
      <c r="J59" s="28">
        <f>H59*10*(1+VLOOKUP(I59,技能效果!$B$2:$D$101,3,FALSE))</f>
        <v>16176.160000000002</v>
      </c>
      <c r="K59" s="28">
        <f>H59*10*(1+VLOOKUP(I59,技能效果!$B$2:$D$101,3,FALSE))*(1+G59)</f>
        <v>59614.658220051046</v>
      </c>
      <c r="L59" s="2">
        <f t="shared" si="2"/>
        <v>60</v>
      </c>
      <c r="M59" s="28">
        <f t="shared" si="3"/>
        <v>19571.080000000002</v>
      </c>
      <c r="N59" s="28">
        <f t="shared" si="4"/>
        <v>66936.254415390169</v>
      </c>
      <c r="O59" s="62">
        <f t="shared" si="17"/>
        <v>59571</v>
      </c>
      <c r="P59" s="62">
        <f t="shared" si="15"/>
        <v>16982</v>
      </c>
      <c r="Q59" s="64">
        <f t="shared" si="13"/>
        <v>921</v>
      </c>
      <c r="R59" s="67">
        <v>1</v>
      </c>
      <c r="S59" s="67">
        <v>1</v>
      </c>
      <c r="T59" s="67">
        <v>1</v>
      </c>
      <c r="U59" s="67">
        <v>1</v>
      </c>
      <c r="V59" s="67">
        <v>1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64">
        <f>INDEX(角色属性!AM$8:AM$107,MATCH($D59,角色属性!$I$8:$I$107,0),1)</f>
        <v>53520.000000000007</v>
      </c>
      <c r="AC59" s="64">
        <f>INDEX(角色属性!AN$8:AN$107,MATCH($D59,角色属性!$I$8:$I$107,0),1)</f>
        <v>5352</v>
      </c>
      <c r="AD59" s="64">
        <f>INDEX(角色属性!AO$8:AO$107,MATCH($D59,角色属性!$I$8:$I$107,0),1)</f>
        <v>2676</v>
      </c>
      <c r="AE59" s="64">
        <f>INDEX(角色属性!AP$8:AP$107,MATCH($D59,角色属性!$I$8:$I$107,0),1)</f>
        <v>2140.8000000000002</v>
      </c>
      <c r="AF59" s="64">
        <f>INDEX(角色属性!AQ$8:AQ$107,MATCH($D59,角色属性!$I$8:$I$107,0),1)</f>
        <v>2140.8000000000002</v>
      </c>
      <c r="AG59" s="64">
        <f>$P59/10/(1+VLOOKUP(I59,技能效果!$B$2:$D$101,3,FALSE))*怪物属性规划!A$18*INDEX(怪物属性等级系数!$A$2:$A$101,MATCH(D59,怪物属性等级系数!$D$2:$D$101,0),1)*R59+W59</f>
        <v>13723.424391832492</v>
      </c>
      <c r="AH59" s="64">
        <f>$P59/10/(1+VLOOKUP($I59,技能效果!$B$2:$D$101,3,FALSE))*怪物属性规划!B$18*S59+X59</f>
        <v>1484.4405594405594</v>
      </c>
      <c r="AI59" s="64">
        <f>$P59/10/(1+VLOOKUP($I59,技能效果!$B$2:$D$101,3,FALSE))*怪物属性规划!C$18*T59+Y59</f>
        <v>1484.4405594405594</v>
      </c>
      <c r="AJ59" s="64">
        <f>$P59/10/(1+VLOOKUP($I59,技能效果!$B$2:$D$101,3,FALSE))*怪物属性规划!D$18*U59+Z59</f>
        <v>1187.5524475524476</v>
      </c>
      <c r="AK59" s="64">
        <f>$P59/10/(1+VLOOKUP($I59,技能效果!$B$2:$D$101,3,FALSE))*怪物属性规划!E$18*V59+AA59</f>
        <v>1187.5524475524476</v>
      </c>
      <c r="AL59" s="67">
        <f>INDEX(角色属性!BB$8:BB$107,MATCH($D59,角色属性!$I$8:$I$107,0),1)</f>
        <v>1.3600000000000003</v>
      </c>
      <c r="AM59" s="64">
        <f>INDEX(角色属性!BC$8:BC$107,MATCH($D59,角色属性!$I$8:$I$107,0),1)</f>
        <v>2274</v>
      </c>
      <c r="AN59" s="64">
        <f>INDEX(角色属性!BD$8:BD$107,MATCH($D59,角色属性!$I$8:$I$107,0),1)</f>
        <v>959</v>
      </c>
      <c r="AO59" s="69">
        <f t="shared" si="6"/>
        <v>0.60343441867346836</v>
      </c>
      <c r="AP59" s="69">
        <f t="shared" si="7"/>
        <v>0.86674563250568193</v>
      </c>
      <c r="AQ59" s="64">
        <f>AL59*角色属性!$BA$1*(AC59*(1-AO59)+MAX(AF59-AJ59,0))</f>
        <v>8365.8129988834498</v>
      </c>
      <c r="AR59" s="64">
        <f>角色属性!$BA$1*(AH59*(1-AP59)+MAX(AK59-AE59,0))</f>
        <v>395.61637566232679</v>
      </c>
      <c r="AS59" s="73">
        <f t="shared" si="8"/>
        <v>0.91134294576590724</v>
      </c>
      <c r="AT59" s="73">
        <f t="shared" si="9"/>
        <v>0.60756196384393824</v>
      </c>
      <c r="AU59" s="73">
        <f t="shared" si="10"/>
        <v>0.45567147288295362</v>
      </c>
      <c r="AV59" s="73">
        <f t="shared" si="1"/>
        <v>135.28256991485435</v>
      </c>
      <c r="AW59" s="73">
        <f t="shared" si="11"/>
        <v>90.188379943236242</v>
      </c>
      <c r="AX59" s="2" t="str">
        <f t="shared" si="12"/>
        <v>r_guanqia_57</v>
      </c>
      <c r="AY59" s="2">
        <f>ROUND(($P59*R59/10/$H59/(1+VLOOKUP($I59,技能效果!$B$2:$D$101,3,FALSE))-1)*10000,0)</f>
        <v>498</v>
      </c>
      <c r="AZ59" s="2">
        <f>ROUND(($P59*S59/10/$H59/(1+VLOOKUP($I59,技能效果!$B$2:$D$101,3,FALSE))-1)*10000,0)</f>
        <v>498</v>
      </c>
      <c r="BA59" s="2">
        <f>ROUND(($P59*T59/10/$H59/(1+VLOOKUP($I59,技能效果!$B$2:$D$101,3,FALSE))-1)*10000,0)</f>
        <v>498</v>
      </c>
      <c r="BB59" s="2">
        <f>ROUND(($P59*U59/10/$H59/(1+VLOOKUP($I59,技能效果!$B$2:$D$101,3,FALSE))-1)*10000,0)</f>
        <v>498</v>
      </c>
      <c r="BC59" s="2">
        <f>ROUND(($P59*V59/10/$H59/(1+VLOOKUP($I59,技能效果!$B$2:$D$101,3,FALSE))-1)*10000,0)</f>
        <v>498</v>
      </c>
    </row>
    <row r="60" spans="2:55" x14ac:dyDescent="0.15">
      <c r="B60" s="83"/>
      <c r="C60" s="2">
        <v>58</v>
      </c>
      <c r="D60" s="2">
        <f t="shared" si="18"/>
        <v>38</v>
      </c>
      <c r="E60" s="2">
        <v>2</v>
      </c>
      <c r="F60" s="28">
        <f>INDEX([3]宠物属性!$AL$8:$AL$107,MATCH(D60,[3]宠物属性!$I$8:$I$107,0),1)</f>
        <v>42137.094148847347</v>
      </c>
      <c r="G60" s="68">
        <f>F60/INDEX(角色属性!$AI$8:$AI$107,MATCH(D60,角色属性!$I$8:$I$107,0),1)*E60</f>
        <v>2.6919534905715938</v>
      </c>
      <c r="H60" s="2">
        <f>INDEX(角色属性!$AL$8:$AL$107,MATCH(D60,角色属性!$I$8:$I$107,0),1)</f>
        <v>1503</v>
      </c>
      <c r="I60" s="2">
        <f>INDEX(角色属性!$Y$8:$Y$107,MATCH(D60,角色属性!$I$8:$I$107,0),1)</f>
        <v>38</v>
      </c>
      <c r="J60" s="28">
        <f>H60*10*(1+VLOOKUP(I60,技能效果!$B$2:$D$101,3,FALSE))</f>
        <v>17254.440000000002</v>
      </c>
      <c r="K60" s="28">
        <f>H60*10*(1+VLOOKUP(I60,技能效果!$B$2:$D$101,3,FALSE))*(1+G60)</f>
        <v>63702.58998585814</v>
      </c>
      <c r="L60" s="2">
        <f t="shared" si="2"/>
        <v>60</v>
      </c>
      <c r="M60" s="28">
        <f t="shared" si="3"/>
        <v>19571.080000000002</v>
      </c>
      <c r="N60" s="28">
        <f t="shared" si="4"/>
        <v>66936.254415390169</v>
      </c>
      <c r="O60" s="62">
        <f t="shared" si="17"/>
        <v>60798</v>
      </c>
      <c r="P60" s="62">
        <f t="shared" si="15"/>
        <v>17414</v>
      </c>
      <c r="Q60" s="64">
        <f t="shared" si="13"/>
        <v>1227</v>
      </c>
      <c r="R60" s="67">
        <v>1</v>
      </c>
      <c r="S60" s="67">
        <v>1</v>
      </c>
      <c r="T60" s="67">
        <v>1</v>
      </c>
      <c r="U60" s="67">
        <v>1</v>
      </c>
      <c r="V60" s="67">
        <v>1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64">
        <f>INDEX(角色属性!AM$8:AM$107,MATCH($D60,角色属性!$I$8:$I$107,0),1)</f>
        <v>54540</v>
      </c>
      <c r="AC60" s="64">
        <f>INDEX(角色属性!AN$8:AN$107,MATCH($D60,角色属性!$I$8:$I$107,0),1)</f>
        <v>5454</v>
      </c>
      <c r="AD60" s="64">
        <f>INDEX(角色属性!AO$8:AO$107,MATCH($D60,角色属性!$I$8:$I$107,0),1)</f>
        <v>2727</v>
      </c>
      <c r="AE60" s="64">
        <f>INDEX(角色属性!AP$8:AP$107,MATCH($D60,角色属性!$I$8:$I$107,0),1)</f>
        <v>2181.6</v>
      </c>
      <c r="AF60" s="64">
        <f>INDEX(角色属性!AQ$8:AQ$107,MATCH($D60,角色属性!$I$8:$I$107,0),1)</f>
        <v>2181.6</v>
      </c>
      <c r="AG60" s="64">
        <f>$P60/10/(1+VLOOKUP(I60,技能效果!$B$2:$D$101,3,FALSE))*怪物属性规划!A$18*INDEX(怪物属性等级系数!$A$2:$A$101,MATCH(D60,怪物属性等级系数!$D$2:$D$101,0),1)*R60+W60</f>
        <v>14238.547974828614</v>
      </c>
      <c r="AH60" s="64">
        <f>$P60/10/(1+VLOOKUP($I60,技能效果!$B$2:$D$101,3,FALSE))*怪物属性规划!B$18*S60+X60</f>
        <v>1516.8989547038327</v>
      </c>
      <c r="AI60" s="64">
        <f>$P60/10/(1+VLOOKUP($I60,技能效果!$B$2:$D$101,3,FALSE))*怪物属性规划!C$18*T60+Y60</f>
        <v>1516.8989547038327</v>
      </c>
      <c r="AJ60" s="64">
        <f>$P60/10/(1+VLOOKUP($I60,技能效果!$B$2:$D$101,3,FALSE))*怪物属性规划!D$18*U60+Z60</f>
        <v>1213.5191637630662</v>
      </c>
      <c r="AK60" s="64">
        <f>$P60/10/(1+VLOOKUP($I60,技能效果!$B$2:$D$101,3,FALSE))*怪物属性规划!E$18*V60+AA60</f>
        <v>1213.5191637630662</v>
      </c>
      <c r="AL60" s="67">
        <f>INDEX(角色属性!BB$8:BB$107,MATCH($D60,角色属性!$I$8:$I$107,0),1)</f>
        <v>1.3700000000000003</v>
      </c>
      <c r="AM60" s="64">
        <f>INDEX(角色属性!BC$8:BC$107,MATCH($D60,角色属性!$I$8:$I$107,0),1)</f>
        <v>2448</v>
      </c>
      <c r="AN60" s="64">
        <f>INDEX(角色属性!BD$8:BD$107,MATCH($D60,角色属性!$I$8:$I$107,0),1)</f>
        <v>977</v>
      </c>
      <c r="AO60" s="69">
        <f t="shared" si="6"/>
        <v>0.59090191250307234</v>
      </c>
      <c r="AP60" s="69">
        <f t="shared" si="7"/>
        <v>0.86677835933827341</v>
      </c>
      <c r="AQ60" s="64">
        <f>AL60*角色属性!$BA$1*(AC60*(1-AO60)+MAX(AF60-AJ60,0))</f>
        <v>8766.086946919786</v>
      </c>
      <c r="AR60" s="64">
        <f>角色属性!$BA$1*(AH60*(1-AP60)+MAX(AK60-AE60,0))</f>
        <v>404.16753492740537</v>
      </c>
      <c r="AS60" s="73">
        <f t="shared" si="8"/>
        <v>0.90237576678837894</v>
      </c>
      <c r="AT60" s="73">
        <f t="shared" si="9"/>
        <v>0.60158384452558589</v>
      </c>
      <c r="AU60" s="73">
        <f t="shared" si="10"/>
        <v>0.45118788339418947</v>
      </c>
      <c r="AV60" s="73">
        <f t="shared" si="1"/>
        <v>134.94404000013563</v>
      </c>
      <c r="AW60" s="73">
        <f t="shared" si="11"/>
        <v>89.962693333423744</v>
      </c>
      <c r="AX60" s="2" t="str">
        <f t="shared" si="12"/>
        <v>r_guanqia_58</v>
      </c>
      <c r="AY60" s="2">
        <f>ROUND(($P60*R60/10/$H60/(1+VLOOKUP($I60,技能效果!$B$2:$D$101,3,FALSE))-1)*10000,0)</f>
        <v>92</v>
      </c>
      <c r="AZ60" s="2">
        <f>ROUND(($P60*S60/10/$H60/(1+VLOOKUP($I60,技能效果!$B$2:$D$101,3,FALSE))-1)*10000,0)</f>
        <v>92</v>
      </c>
      <c r="BA60" s="2">
        <f>ROUND(($P60*T60/10/$H60/(1+VLOOKUP($I60,技能效果!$B$2:$D$101,3,FALSE))-1)*10000,0)</f>
        <v>92</v>
      </c>
      <c r="BB60" s="2">
        <f>ROUND(($P60*U60/10/$H60/(1+VLOOKUP($I60,技能效果!$B$2:$D$101,3,FALSE))-1)*10000,0)</f>
        <v>92</v>
      </c>
      <c r="BC60" s="2">
        <f>ROUND(($P60*V60/10/$H60/(1+VLOOKUP($I60,技能效果!$B$2:$D$101,3,FALSE))-1)*10000,0)</f>
        <v>92</v>
      </c>
    </row>
    <row r="61" spans="2:55" x14ac:dyDescent="0.15">
      <c r="B61" s="83"/>
      <c r="C61" s="2">
        <v>59</v>
      </c>
      <c r="D61" s="2">
        <f t="shared" si="18"/>
        <v>38</v>
      </c>
      <c r="E61" s="2">
        <v>2</v>
      </c>
      <c r="F61" s="28">
        <f>INDEX([3]宠物属性!$AL$8:$AL$107,MATCH(D61,[3]宠物属性!$I$8:$I$107,0),1)</f>
        <v>42137.094148847347</v>
      </c>
      <c r="G61" s="68">
        <f>F61/INDEX(角色属性!$AI$8:$AI$107,MATCH(D61,角色属性!$I$8:$I$107,0),1)*E61</f>
        <v>2.6919534905715938</v>
      </c>
      <c r="H61" s="2">
        <f>INDEX(角色属性!$AL$8:$AL$107,MATCH(D61,角色属性!$I$8:$I$107,0),1)</f>
        <v>1503</v>
      </c>
      <c r="I61" s="2">
        <f>INDEX(角色属性!$Y$8:$Y$107,MATCH(D61,角色属性!$I$8:$I$107,0),1)</f>
        <v>38</v>
      </c>
      <c r="J61" s="28">
        <f>H61*10*(1+VLOOKUP(I61,技能效果!$B$2:$D$101,3,FALSE))</f>
        <v>17254.440000000002</v>
      </c>
      <c r="K61" s="28">
        <f>H61*10*(1+VLOOKUP(I61,技能效果!$B$2:$D$101,3,FALSE))*(1+G61)</f>
        <v>63702.58998585814</v>
      </c>
      <c r="L61" s="2">
        <f t="shared" si="2"/>
        <v>60</v>
      </c>
      <c r="M61" s="28">
        <f t="shared" si="3"/>
        <v>19571.080000000002</v>
      </c>
      <c r="N61" s="28">
        <f t="shared" si="4"/>
        <v>66936.254415390169</v>
      </c>
      <c r="O61" s="62">
        <f t="shared" si="17"/>
        <v>62333</v>
      </c>
      <c r="P61" s="62">
        <f t="shared" si="15"/>
        <v>17953</v>
      </c>
      <c r="Q61" s="64">
        <f t="shared" si="13"/>
        <v>1535</v>
      </c>
      <c r="R61" s="67">
        <v>1</v>
      </c>
      <c r="S61" s="67">
        <v>1</v>
      </c>
      <c r="T61" s="67">
        <v>1</v>
      </c>
      <c r="U61" s="67">
        <v>1</v>
      </c>
      <c r="V61" s="67">
        <v>1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64">
        <f>INDEX(角色属性!AM$8:AM$107,MATCH($D61,角色属性!$I$8:$I$107,0),1)</f>
        <v>54540</v>
      </c>
      <c r="AC61" s="64">
        <f>INDEX(角色属性!AN$8:AN$107,MATCH($D61,角色属性!$I$8:$I$107,0),1)</f>
        <v>5454</v>
      </c>
      <c r="AD61" s="64">
        <f>INDEX(角色属性!AO$8:AO$107,MATCH($D61,角色属性!$I$8:$I$107,0),1)</f>
        <v>2727</v>
      </c>
      <c r="AE61" s="64">
        <f>INDEX(角色属性!AP$8:AP$107,MATCH($D61,角色属性!$I$8:$I$107,0),1)</f>
        <v>2181.6</v>
      </c>
      <c r="AF61" s="64">
        <f>INDEX(角色属性!AQ$8:AQ$107,MATCH($D61,角色属性!$I$8:$I$107,0),1)</f>
        <v>2181.6</v>
      </c>
      <c r="AG61" s="64">
        <f>$P61/10/(1+VLOOKUP(I61,技能效果!$B$2:$D$101,3,FALSE))*怪物属性规划!A$18*INDEX(怪物属性等级系数!$A$2:$A$101,MATCH(D61,怪物属性等级系数!$D$2:$D$101,0),1)*R61+W61</f>
        <v>14679.261042385328</v>
      </c>
      <c r="AH61" s="64">
        <f>$P61/10/(1+VLOOKUP($I61,技能效果!$B$2:$D$101,3,FALSE))*怪物属性规划!B$18*S61+X61</f>
        <v>1563.8501742160277</v>
      </c>
      <c r="AI61" s="64">
        <f>$P61/10/(1+VLOOKUP($I61,技能效果!$B$2:$D$101,3,FALSE))*怪物属性规划!C$18*T61+Y61</f>
        <v>1563.8501742160277</v>
      </c>
      <c r="AJ61" s="64">
        <f>$P61/10/(1+VLOOKUP($I61,技能效果!$B$2:$D$101,3,FALSE))*怪物属性规划!D$18*U61+Z61</f>
        <v>1251.0801393728223</v>
      </c>
      <c r="AK61" s="64">
        <f>$P61/10/(1+VLOOKUP($I61,技能效果!$B$2:$D$101,3,FALSE))*怪物属性规划!E$18*V61+AA61</f>
        <v>1251.0801393728223</v>
      </c>
      <c r="AL61" s="67">
        <f>INDEX(角色属性!BB$8:BB$107,MATCH($D61,角色属性!$I$8:$I$107,0),1)</f>
        <v>1.3700000000000003</v>
      </c>
      <c r="AM61" s="64">
        <f>INDEX(角色属性!BC$8:BC$107,MATCH($D61,角色属性!$I$8:$I$107,0),1)</f>
        <v>2448</v>
      </c>
      <c r="AN61" s="64">
        <f>INDEX(角色属性!BD$8:BD$107,MATCH($D61,角色属性!$I$8:$I$107,0),1)</f>
        <v>977</v>
      </c>
      <c r="AO61" s="69">
        <f t="shared" si="6"/>
        <v>0.59824978710798293</v>
      </c>
      <c r="AP61" s="69">
        <f t="shared" si="7"/>
        <v>0.86677835933827341</v>
      </c>
      <c r="AQ61" s="64">
        <f>AL61*角色属性!$BA$1*(AC61*(1-AO61)+MAX(AF61-AJ61,0))</f>
        <v>8553.3635295682561</v>
      </c>
      <c r="AR61" s="64">
        <f>角色属性!$BA$1*(AH61*(1-AP61)+MAX(AK61-AE61,0))</f>
        <v>416.67737191637235</v>
      </c>
      <c r="AS61" s="73">
        <f t="shared" si="8"/>
        <v>0.95344305142132157</v>
      </c>
      <c r="AT61" s="73">
        <f t="shared" si="9"/>
        <v>0.63562870094754775</v>
      </c>
      <c r="AU61" s="73">
        <f t="shared" si="10"/>
        <v>0.47672152571066079</v>
      </c>
      <c r="AV61" s="73">
        <f t="shared" si="1"/>
        <v>130.89263702792636</v>
      </c>
      <c r="AW61" s="73">
        <f t="shared" si="11"/>
        <v>87.26175801861757</v>
      </c>
      <c r="AX61" s="2" t="str">
        <f t="shared" si="12"/>
        <v>r_guanqia_59</v>
      </c>
      <c r="AY61" s="2">
        <f>ROUND(($P61*R61/10/$H61/(1+VLOOKUP($I61,技能效果!$B$2:$D$101,3,FALSE))-1)*10000,0)</f>
        <v>405</v>
      </c>
      <c r="AZ61" s="2">
        <f>ROUND(($P61*S61/10/$H61/(1+VLOOKUP($I61,技能效果!$B$2:$D$101,3,FALSE))-1)*10000,0)</f>
        <v>405</v>
      </c>
      <c r="BA61" s="2">
        <f>ROUND(($P61*T61/10/$H61/(1+VLOOKUP($I61,技能效果!$B$2:$D$101,3,FALSE))-1)*10000,0)</f>
        <v>405</v>
      </c>
      <c r="BB61" s="2">
        <f>ROUND(($P61*U61/10/$H61/(1+VLOOKUP($I61,技能效果!$B$2:$D$101,3,FALSE))-1)*10000,0)</f>
        <v>405</v>
      </c>
      <c r="BC61" s="2">
        <f>ROUND(($P61*V61/10/$H61/(1+VLOOKUP($I61,技能效果!$B$2:$D$101,3,FALSE))-1)*10000,0)</f>
        <v>405</v>
      </c>
    </row>
    <row r="62" spans="2:55" x14ac:dyDescent="0.15">
      <c r="B62" s="83"/>
      <c r="C62" s="2">
        <v>60</v>
      </c>
      <c r="D62" s="2">
        <f t="shared" si="18"/>
        <v>40</v>
      </c>
      <c r="E62" s="2">
        <v>2</v>
      </c>
      <c r="F62" s="28">
        <f>INDEX([3]宠物属性!$AL$8:$AL$107,MATCH(D62,[3]宠物属性!$I$8:$I$107,0),1)</f>
        <v>56443.732653898216</v>
      </c>
      <c r="G62" s="68">
        <f>F62/INDEX(角色属性!$AI$8:$AI$107,MATCH(D62,角色属性!$I$8:$I$107,0),1)*E62</f>
        <v>2.4201615043927145</v>
      </c>
      <c r="H62" s="2">
        <f>INDEX(角色属性!$AL$8:$AL$107,MATCH(D62,角色属性!$I$8:$I$107,0),1)</f>
        <v>1693</v>
      </c>
      <c r="I62" s="2">
        <f>INDEX(角色属性!$Y$8:$Y$107,MATCH(D62,角色属性!$I$8:$I$107,0),1)</f>
        <v>40</v>
      </c>
      <c r="J62" s="28">
        <f>H62*10*(1+VLOOKUP(I62,技能效果!$B$2:$D$101,3,FALSE))</f>
        <v>19571.080000000002</v>
      </c>
      <c r="K62" s="28">
        <f>H62*10*(1+VLOOKUP(I62,技能效果!$B$2:$D$101,3,FALSE))*(1+G62)</f>
        <v>66936.254415390169</v>
      </c>
      <c r="L62" s="2">
        <f t="shared" si="2"/>
        <v>60</v>
      </c>
      <c r="M62" s="28">
        <f t="shared" si="3"/>
        <v>19571.080000000002</v>
      </c>
      <c r="N62" s="28">
        <f t="shared" si="4"/>
        <v>66936.254415390169</v>
      </c>
      <c r="O62" s="62">
        <f t="shared" si="17"/>
        <v>66936</v>
      </c>
      <c r="P62" s="62">
        <f t="shared" si="15"/>
        <v>19571</v>
      </c>
      <c r="Q62" s="64">
        <f t="shared" si="13"/>
        <v>4603</v>
      </c>
      <c r="R62" s="67">
        <v>1</v>
      </c>
      <c r="S62" s="67">
        <v>1</v>
      </c>
      <c r="T62" s="67">
        <v>1</v>
      </c>
      <c r="U62" s="67">
        <v>1</v>
      </c>
      <c r="V62" s="67">
        <v>1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64">
        <f>INDEX(角色属性!AM$8:AM$107,MATCH($D62,角色属性!$I$8:$I$107,0),1)</f>
        <v>80700</v>
      </c>
      <c r="AC62" s="64">
        <f>INDEX(角色属性!AN$8:AN$107,MATCH($D62,角色属性!$I$8:$I$107,0),1)</f>
        <v>8070</v>
      </c>
      <c r="AD62" s="64">
        <f>INDEX(角色属性!AO$8:AO$107,MATCH($D62,角色属性!$I$8:$I$107,0),1)</f>
        <v>4035</v>
      </c>
      <c r="AE62" s="64">
        <f>INDEX(角色属性!AP$8:AP$107,MATCH($D62,角色属性!$I$8:$I$107,0),1)</f>
        <v>3228</v>
      </c>
      <c r="AF62" s="64">
        <f>INDEX(角色属性!AQ$8:AQ$107,MATCH($D62,角色属性!$I$8:$I$107,0),1)</f>
        <v>3228</v>
      </c>
      <c r="AG62" s="64">
        <f>$P62/10/(1+VLOOKUP(I62,技能效果!$B$2:$D$101,3,FALSE))*怪物属性规划!A$18*INDEX(怪物属性等级系数!$A$2:$A$101,MATCH(D62,怪物属性等级系数!$D$2:$D$101,0),1)*R62+W62</f>
        <v>16356.348491711575</v>
      </c>
      <c r="AH62" s="64">
        <f>$P62/10/(1+VLOOKUP($I62,技能效果!$B$2:$D$101,3,FALSE))*怪物属性规划!B$18*S62+X62</f>
        <v>1692.9930795847747</v>
      </c>
      <c r="AI62" s="64">
        <f>$P62/10/(1+VLOOKUP($I62,技能效果!$B$2:$D$101,3,FALSE))*怪物属性规划!C$18*T62+Y62</f>
        <v>1692.9930795847747</v>
      </c>
      <c r="AJ62" s="64">
        <f>$P62/10/(1+VLOOKUP($I62,技能效果!$B$2:$D$101,3,FALSE))*怪物属性规划!D$18*U62+Z62</f>
        <v>1354.3944636678198</v>
      </c>
      <c r="AK62" s="64">
        <f>$P62/10/(1+VLOOKUP($I62,技能效果!$B$2:$D$101,3,FALSE))*怪物属性规划!E$18*V62+AA62</f>
        <v>1354.3944636678198</v>
      </c>
      <c r="AL62" s="67">
        <f>INDEX(角色属性!BB$8:BB$107,MATCH($D62,角色属性!$I$8:$I$107,0),1)</f>
        <v>1.3900000000000003</v>
      </c>
      <c r="AM62" s="64">
        <f>INDEX(角色属性!BC$8:BC$107,MATCH($D62,角色属性!$I$8:$I$107,0),1)</f>
        <v>2826</v>
      </c>
      <c r="AN62" s="64">
        <f>INDEX(角色属性!BD$8:BD$107,MATCH($D62,角色属性!$I$8:$I$107,0),1)</f>
        <v>1138</v>
      </c>
      <c r="AO62" s="69">
        <f t="shared" si="6"/>
        <v>0.58271629282472281</v>
      </c>
      <c r="AP62" s="69">
        <f t="shared" si="7"/>
        <v>0.89206716834667121</v>
      </c>
      <c r="AQ62" s="64">
        <f>AL62*角色属性!$BA$1*(AC62*(1-AO62)+MAX(AF62-AJ62,0))</f>
        <v>14570.21644799794</v>
      </c>
      <c r="AR62" s="64">
        <f>角色属性!$BA$1*(AH62*(1-AP62)+MAX(AK62-AE62,0))</f>
        <v>365.45907409814828</v>
      </c>
      <c r="AS62" s="73">
        <f t="shared" si="8"/>
        <v>0.62365993707812772</v>
      </c>
      <c r="AT62" s="73">
        <f t="shared" si="9"/>
        <v>0.41577329138541846</v>
      </c>
      <c r="AU62" s="73">
        <f t="shared" si="10"/>
        <v>0.31182996853906386</v>
      </c>
      <c r="AV62" s="73">
        <f t="shared" si="1"/>
        <v>220.81815918552641</v>
      </c>
      <c r="AW62" s="73">
        <f t="shared" si="11"/>
        <v>147.21210612368426</v>
      </c>
      <c r="AX62" s="2" t="str">
        <f t="shared" si="12"/>
        <v>r_guanqia_60</v>
      </c>
      <c r="AY62" s="2">
        <f>ROUND(($P62*R62/10/$H62/(1+VLOOKUP($I62,技能效果!$B$2:$D$101,3,FALSE))-1)*10000,0)</f>
        <v>0</v>
      </c>
      <c r="AZ62" s="2">
        <f>ROUND(($P62*S62/10/$H62/(1+VLOOKUP($I62,技能效果!$B$2:$D$101,3,FALSE))-1)*10000,0)</f>
        <v>0</v>
      </c>
      <c r="BA62" s="2">
        <f>ROUND(($P62*T62/10/$H62/(1+VLOOKUP($I62,技能效果!$B$2:$D$101,3,FALSE))-1)*10000,0)</f>
        <v>0</v>
      </c>
      <c r="BB62" s="2">
        <f>ROUND(($P62*U62/10/$H62/(1+VLOOKUP($I62,技能效果!$B$2:$D$101,3,FALSE))-1)*10000,0)</f>
        <v>0</v>
      </c>
      <c r="BC62" s="2">
        <f>ROUND(($P62*V62/10/$H62/(1+VLOOKUP($I62,技能效果!$B$2:$D$101,3,FALSE))-1)*10000,0)</f>
        <v>0</v>
      </c>
    </row>
    <row r="63" spans="2:55" x14ac:dyDescent="0.15">
      <c r="B63" s="83" t="s">
        <v>118</v>
      </c>
      <c r="C63" s="2">
        <v>61</v>
      </c>
      <c r="D63" s="2">
        <f t="shared" si="18"/>
        <v>40</v>
      </c>
      <c r="E63" s="2">
        <v>2</v>
      </c>
      <c r="F63" s="28">
        <f>INDEX([3]宠物属性!$AL$8:$AL$107,MATCH(D63,[3]宠物属性!$I$8:$I$107,0),1)</f>
        <v>56443.732653898216</v>
      </c>
      <c r="G63" s="68">
        <f>F63/INDEX(角色属性!$AI$8:$AI$107,MATCH(D63,角色属性!$I$8:$I$107,0),1)*E63</f>
        <v>2.4201615043927145</v>
      </c>
      <c r="H63" s="2">
        <f>INDEX(角色属性!$AL$8:$AL$107,MATCH(D63,角色属性!$I$8:$I$107,0),1)</f>
        <v>1693</v>
      </c>
      <c r="I63" s="2">
        <f>INDEX(角色属性!$Y$8:$Y$107,MATCH(D63,角色属性!$I$8:$I$107,0),1)</f>
        <v>40</v>
      </c>
      <c r="J63" s="28">
        <f>H63*10*(1+VLOOKUP(I63,技能效果!$B$2:$D$101,3,FALSE))</f>
        <v>19571.080000000002</v>
      </c>
      <c r="K63" s="28">
        <f>H63*10*(1+VLOOKUP(I63,技能效果!$B$2:$D$101,3,FALSE))*(1+G63)</f>
        <v>66936.254415390169</v>
      </c>
      <c r="L63" s="2">
        <f t="shared" si="2"/>
        <v>70</v>
      </c>
      <c r="M63" s="28">
        <f t="shared" si="3"/>
        <v>26377.680000000004</v>
      </c>
      <c r="N63" s="28">
        <f t="shared" si="4"/>
        <v>88774.685730725221</v>
      </c>
      <c r="O63" s="62">
        <f t="shared" si="17"/>
        <v>67591</v>
      </c>
      <c r="P63" s="62">
        <f t="shared" si="15"/>
        <v>19775</v>
      </c>
      <c r="Q63" s="64">
        <f t="shared" si="13"/>
        <v>655</v>
      </c>
      <c r="R63" s="67">
        <v>1</v>
      </c>
      <c r="S63" s="67">
        <v>1</v>
      </c>
      <c r="T63" s="67">
        <v>1</v>
      </c>
      <c r="U63" s="67">
        <v>1</v>
      </c>
      <c r="V63" s="67">
        <v>1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64">
        <f>INDEX(角色属性!AM$8:AM$107,MATCH($D63,角色属性!$I$8:$I$107,0),1)</f>
        <v>80700</v>
      </c>
      <c r="AC63" s="64">
        <f>INDEX(角色属性!AN$8:AN$107,MATCH($D63,角色属性!$I$8:$I$107,0),1)</f>
        <v>8070</v>
      </c>
      <c r="AD63" s="64">
        <f>INDEX(角色属性!AO$8:AO$107,MATCH($D63,角色属性!$I$8:$I$107,0),1)</f>
        <v>4035</v>
      </c>
      <c r="AE63" s="64">
        <f>INDEX(角色属性!AP$8:AP$107,MATCH($D63,角色属性!$I$8:$I$107,0),1)</f>
        <v>3228</v>
      </c>
      <c r="AF63" s="64">
        <f>INDEX(角色属性!AQ$8:AQ$107,MATCH($D63,角色属性!$I$8:$I$107,0),1)</f>
        <v>3228</v>
      </c>
      <c r="AG63" s="64">
        <f>$P63/10/(1+VLOOKUP(I63,技能效果!$B$2:$D$101,3,FALSE))*怪物属性规划!A$18*INDEX(怪物属性等级系数!$A$2:$A$101,MATCH(D63,怪物属性等级系数!$D$2:$D$101,0),1)*R63+W63</f>
        <v>16526.840295518694</v>
      </c>
      <c r="AH63" s="64">
        <f>$P63/10/(1+VLOOKUP($I63,技能效果!$B$2:$D$101,3,FALSE))*怪物属性规划!B$18*S63+X63</f>
        <v>1710.6401384083042</v>
      </c>
      <c r="AI63" s="64">
        <f>$P63/10/(1+VLOOKUP($I63,技能效果!$B$2:$D$101,3,FALSE))*怪物属性规划!C$18*T63+Y63</f>
        <v>1710.6401384083042</v>
      </c>
      <c r="AJ63" s="64">
        <f>$P63/10/(1+VLOOKUP($I63,技能效果!$B$2:$D$101,3,FALSE))*怪物属性规划!D$18*U63+Z63</f>
        <v>1368.5121107266434</v>
      </c>
      <c r="AK63" s="64">
        <f>$P63/10/(1+VLOOKUP($I63,技能效果!$B$2:$D$101,3,FALSE))*怪物属性规划!E$18*V63+AA63</f>
        <v>1368.5121107266434</v>
      </c>
      <c r="AL63" s="67">
        <f>INDEX(角色属性!BB$8:BB$107,MATCH($D63,角色属性!$I$8:$I$107,0),1)</f>
        <v>1.3900000000000003</v>
      </c>
      <c r="AM63" s="64">
        <f>INDEX(角色属性!BC$8:BC$107,MATCH($D63,角色属性!$I$8:$I$107,0),1)</f>
        <v>2826</v>
      </c>
      <c r="AN63" s="64">
        <f>INDEX(角色属性!BD$8:BD$107,MATCH($D63,角色属性!$I$8:$I$107,0),1)</f>
        <v>1138</v>
      </c>
      <c r="AO63" s="69">
        <f t="shared" si="6"/>
        <v>0.58523556921664621</v>
      </c>
      <c r="AP63" s="69">
        <f t="shared" si="7"/>
        <v>0.89206716834667121</v>
      </c>
      <c r="AQ63" s="64">
        <f>AL63*角色属性!$BA$1*(AC63*(1-AO63)+MAX(AF63-AJ63,0))</f>
        <v>14474.450431032163</v>
      </c>
      <c r="AR63" s="64">
        <f>角色属性!$BA$1*(AH63*(1-AP63)+MAX(AK63-AE63,0))</f>
        <v>369.26846815650111</v>
      </c>
      <c r="AS63" s="73">
        <f t="shared" si="8"/>
        <v>0.63432998618518865</v>
      </c>
      <c r="AT63" s="73">
        <f t="shared" si="9"/>
        <v>0.42288665745679249</v>
      </c>
      <c r="AU63" s="73">
        <f t="shared" si="10"/>
        <v>0.31716499309259433</v>
      </c>
      <c r="AV63" s="73">
        <f t="shared" si="1"/>
        <v>218.54018677218392</v>
      </c>
      <c r="AW63" s="73">
        <f t="shared" si="11"/>
        <v>145.69345784812259</v>
      </c>
      <c r="AX63" s="2" t="str">
        <f t="shared" si="12"/>
        <v>r_guanqia_61</v>
      </c>
      <c r="AY63" s="2">
        <f>ROUND(($P63*R63/10/$H63/(1+VLOOKUP($I63,技能效果!$B$2:$D$101,3,FALSE))-1)*10000,0)</f>
        <v>104</v>
      </c>
      <c r="AZ63" s="2">
        <f>ROUND(($P63*S63/10/$H63/(1+VLOOKUP($I63,技能效果!$B$2:$D$101,3,FALSE))-1)*10000,0)</f>
        <v>104</v>
      </c>
      <c r="BA63" s="2">
        <f>ROUND(($P63*T63/10/$H63/(1+VLOOKUP($I63,技能效果!$B$2:$D$101,3,FALSE))-1)*10000,0)</f>
        <v>104</v>
      </c>
      <c r="BB63" s="2">
        <f>ROUND(($P63*U63/10/$H63/(1+VLOOKUP($I63,技能效果!$B$2:$D$101,3,FALSE))-1)*10000,0)</f>
        <v>104</v>
      </c>
      <c r="BC63" s="2">
        <f>ROUND(($P63*V63/10/$H63/(1+VLOOKUP($I63,技能效果!$B$2:$D$101,3,FALSE))-1)*10000,0)</f>
        <v>104</v>
      </c>
    </row>
    <row r="64" spans="2:55" x14ac:dyDescent="0.15">
      <c r="B64" s="83"/>
      <c r="C64" s="2">
        <v>62</v>
      </c>
      <c r="D64" s="2">
        <f t="shared" si="18"/>
        <v>40</v>
      </c>
      <c r="E64" s="2">
        <v>2</v>
      </c>
      <c r="F64" s="28">
        <f>INDEX([3]宠物属性!$AL$8:$AL$107,MATCH(D64,[3]宠物属性!$I$8:$I$107,0),1)</f>
        <v>56443.732653898216</v>
      </c>
      <c r="G64" s="68">
        <f>F64/INDEX(角色属性!$AI$8:$AI$107,MATCH(D64,角色属性!$I$8:$I$107,0),1)*E64</f>
        <v>2.4201615043927145</v>
      </c>
      <c r="H64" s="2">
        <f>INDEX(角色属性!$AL$8:$AL$107,MATCH(D64,角色属性!$I$8:$I$107,0),1)</f>
        <v>1693</v>
      </c>
      <c r="I64" s="2">
        <f>INDEX(角色属性!$Y$8:$Y$107,MATCH(D64,角色属性!$I$8:$I$107,0),1)</f>
        <v>40</v>
      </c>
      <c r="J64" s="28">
        <f>H64*10*(1+VLOOKUP(I64,技能效果!$B$2:$D$101,3,FALSE))</f>
        <v>19571.080000000002</v>
      </c>
      <c r="K64" s="28">
        <f>H64*10*(1+VLOOKUP(I64,技能效果!$B$2:$D$101,3,FALSE))*(1+G64)</f>
        <v>66936.254415390169</v>
      </c>
      <c r="L64" s="2">
        <f t="shared" si="2"/>
        <v>70</v>
      </c>
      <c r="M64" s="28">
        <f t="shared" si="3"/>
        <v>26377.680000000004</v>
      </c>
      <c r="N64" s="28">
        <f t="shared" si="4"/>
        <v>88774.685730725221</v>
      </c>
      <c r="O64" s="62">
        <f t="shared" si="17"/>
        <v>68683</v>
      </c>
      <c r="P64" s="62">
        <f t="shared" si="15"/>
        <v>20116</v>
      </c>
      <c r="Q64" s="64">
        <f t="shared" si="13"/>
        <v>1092</v>
      </c>
      <c r="R64" s="67">
        <v>1</v>
      </c>
      <c r="S64" s="67">
        <v>1</v>
      </c>
      <c r="T64" s="67">
        <v>1</v>
      </c>
      <c r="U64" s="67">
        <v>1</v>
      </c>
      <c r="V64" s="67">
        <v>1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64">
        <f>INDEX(角色属性!AM$8:AM$107,MATCH($D64,角色属性!$I$8:$I$107,0),1)</f>
        <v>80700</v>
      </c>
      <c r="AC64" s="64">
        <f>INDEX(角色属性!AN$8:AN$107,MATCH($D64,角色属性!$I$8:$I$107,0),1)</f>
        <v>8070</v>
      </c>
      <c r="AD64" s="64">
        <f>INDEX(角色属性!AO$8:AO$107,MATCH($D64,角色属性!$I$8:$I$107,0),1)</f>
        <v>4035</v>
      </c>
      <c r="AE64" s="64">
        <f>INDEX(角色属性!AP$8:AP$107,MATCH($D64,角色属性!$I$8:$I$107,0),1)</f>
        <v>3228</v>
      </c>
      <c r="AF64" s="64">
        <f>INDEX(角色属性!AQ$8:AQ$107,MATCH($D64,角色属性!$I$8:$I$107,0),1)</f>
        <v>3228</v>
      </c>
      <c r="AG64" s="64">
        <f>$P64/10/(1+VLOOKUP(I64,技能效果!$B$2:$D$101,3,FALSE))*怪物属性规划!A$18*INDEX(怪物属性等级系数!$A$2:$A$101,MATCH(D64,怪物属性等级系数!$D$2:$D$101,0),1)*R64+W64</f>
        <v>16811.829046000206</v>
      </c>
      <c r="AH64" s="64">
        <f>$P64/10/(1+VLOOKUP($I64,技能效果!$B$2:$D$101,3,FALSE))*怪物属性规划!B$18*S64+X64</f>
        <v>1740.1384083044979</v>
      </c>
      <c r="AI64" s="64">
        <f>$P64/10/(1+VLOOKUP($I64,技能效果!$B$2:$D$101,3,FALSE))*怪物属性规划!C$18*T64+Y64</f>
        <v>1740.1384083044979</v>
      </c>
      <c r="AJ64" s="64">
        <f>$P64/10/(1+VLOOKUP($I64,技能效果!$B$2:$D$101,3,FALSE))*怪物属性规划!D$18*U64+Z64</f>
        <v>1392.1107266435984</v>
      </c>
      <c r="AK64" s="64">
        <f>$P64/10/(1+VLOOKUP($I64,技能效果!$B$2:$D$101,3,FALSE))*怪物属性规划!E$18*V64+AA64</f>
        <v>1392.1107266435984</v>
      </c>
      <c r="AL64" s="67">
        <f>INDEX(角色属性!BB$8:BB$107,MATCH($D64,角色属性!$I$8:$I$107,0),1)</f>
        <v>1.3900000000000003</v>
      </c>
      <c r="AM64" s="64">
        <f>INDEX(角色属性!BC$8:BC$107,MATCH($D64,角色属性!$I$8:$I$107,0),1)</f>
        <v>2826</v>
      </c>
      <c r="AN64" s="64">
        <f>INDEX(角色属性!BD$8:BD$107,MATCH($D64,角色属性!$I$8:$I$107,0),1)</f>
        <v>1138</v>
      </c>
      <c r="AO64" s="69">
        <f t="shared" si="6"/>
        <v>0.58937946915968265</v>
      </c>
      <c r="AP64" s="69">
        <f t="shared" si="7"/>
        <v>0.89206716834667121</v>
      </c>
      <c r="AQ64" s="64">
        <f>AL64*角色属性!$BA$1*(AC64*(1-AO64)+MAX(AF64-AJ64,0))</f>
        <v>14315.879541120983</v>
      </c>
      <c r="AR64" s="64">
        <f>角色属性!$BA$1*(AH64*(1-AP64)+MAX(AK64-AE64,0))</f>
        <v>375.6361317540418</v>
      </c>
      <c r="AS64" s="73">
        <f t="shared" si="8"/>
        <v>0.65241573168646005</v>
      </c>
      <c r="AT64" s="73">
        <f t="shared" si="9"/>
        <v>0.43494382112430668</v>
      </c>
      <c r="AU64" s="73">
        <f t="shared" si="10"/>
        <v>0.32620786584323003</v>
      </c>
      <c r="AV64" s="73">
        <f t="shared" si="1"/>
        <v>214.83556340325794</v>
      </c>
      <c r="AW64" s="73">
        <f t="shared" si="11"/>
        <v>143.2237089355053</v>
      </c>
      <c r="AX64" s="2" t="str">
        <f t="shared" si="12"/>
        <v>r_guanqia_62</v>
      </c>
      <c r="AY64" s="2">
        <f>ROUND(($P64*R64/10/$H64/(1+VLOOKUP($I64,技能效果!$B$2:$D$101,3,FALSE))-1)*10000,0)</f>
        <v>278</v>
      </c>
      <c r="AZ64" s="2">
        <f>ROUND(($P64*S64/10/$H64/(1+VLOOKUP($I64,技能效果!$B$2:$D$101,3,FALSE))-1)*10000,0)</f>
        <v>278</v>
      </c>
      <c r="BA64" s="2">
        <f>ROUND(($P64*T64/10/$H64/(1+VLOOKUP($I64,技能效果!$B$2:$D$101,3,FALSE))-1)*10000,0)</f>
        <v>278</v>
      </c>
      <c r="BB64" s="2">
        <f>ROUND(($P64*U64/10/$H64/(1+VLOOKUP($I64,技能效果!$B$2:$D$101,3,FALSE))-1)*10000,0)</f>
        <v>278</v>
      </c>
      <c r="BC64" s="2">
        <f>ROUND(($P64*V64/10/$H64/(1+VLOOKUP($I64,技能效果!$B$2:$D$101,3,FALSE))-1)*10000,0)</f>
        <v>278</v>
      </c>
    </row>
    <row r="65" spans="2:55" x14ac:dyDescent="0.15">
      <c r="B65" s="83"/>
      <c r="C65" s="2">
        <v>63</v>
      </c>
      <c r="D65" s="2">
        <f t="shared" si="18"/>
        <v>41</v>
      </c>
      <c r="E65" s="2">
        <v>2</v>
      </c>
      <c r="F65" s="28">
        <f>INDEX([3]宠物属性!$AL$8:$AL$107,MATCH(D65,[3]宠物属性!$I$8:$I$107,0),1)</f>
        <v>57310.717135223684</v>
      </c>
      <c r="G65" s="68">
        <f>F65/INDEX(角色属性!$AI$8:$AI$107,MATCH(D65,角色属性!$I$8:$I$107,0),1)*E65</f>
        <v>2.3764209059073362</v>
      </c>
      <c r="H65" s="2">
        <f>INDEX(角色属性!$AL$8:$AL$107,MATCH(D65,角色属性!$I$8:$I$107,0),1)</f>
        <v>1794</v>
      </c>
      <c r="I65" s="2">
        <f>INDEX(角色属性!$Y$8:$Y$107,MATCH(D65,角色属性!$I$8:$I$107,0),1)</f>
        <v>41</v>
      </c>
      <c r="J65" s="28">
        <f>H65*10*(1+VLOOKUP(I65,技能效果!$B$2:$D$101,3,FALSE))</f>
        <v>20810.400000000001</v>
      </c>
      <c r="K65" s="28">
        <f>H65*10*(1+VLOOKUP(I65,技能效果!$B$2:$D$101,3,FALSE))*(1+G65)</f>
        <v>70264.669620294037</v>
      </c>
      <c r="L65" s="2">
        <f t="shared" si="2"/>
        <v>70</v>
      </c>
      <c r="M65" s="28">
        <f t="shared" si="3"/>
        <v>26377.680000000004</v>
      </c>
      <c r="N65" s="28">
        <f t="shared" si="4"/>
        <v>88774.685730725221</v>
      </c>
      <c r="O65" s="62">
        <f t="shared" si="17"/>
        <v>70212</v>
      </c>
      <c r="P65" s="62">
        <f t="shared" si="15"/>
        <v>20592</v>
      </c>
      <c r="Q65" s="64">
        <f t="shared" si="13"/>
        <v>1529</v>
      </c>
      <c r="R65" s="67">
        <v>1</v>
      </c>
      <c r="S65" s="67">
        <v>1</v>
      </c>
      <c r="T65" s="67">
        <v>1</v>
      </c>
      <c r="U65" s="67">
        <v>1</v>
      </c>
      <c r="V65" s="67">
        <v>1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64">
        <f>INDEX(角色属性!AM$8:AM$107,MATCH($D65,角色属性!$I$8:$I$107,0),1)</f>
        <v>83160</v>
      </c>
      <c r="AC65" s="64">
        <f>INDEX(角色属性!AN$8:AN$107,MATCH($D65,角色属性!$I$8:$I$107,0),1)</f>
        <v>8316</v>
      </c>
      <c r="AD65" s="64">
        <f>INDEX(角色属性!AO$8:AO$107,MATCH($D65,角色属性!$I$8:$I$107,0),1)</f>
        <v>4158</v>
      </c>
      <c r="AE65" s="64">
        <f>INDEX(角色属性!AP$8:AP$107,MATCH($D65,角色属性!$I$8:$I$107,0),1)</f>
        <v>3326.4</v>
      </c>
      <c r="AF65" s="64">
        <f>INDEX(角色属性!AQ$8:AQ$107,MATCH($D65,角色属性!$I$8:$I$107,0),1)</f>
        <v>3326.4</v>
      </c>
      <c r="AG65" s="64">
        <f>$P65/10/(1+VLOOKUP(I65,技能效果!$B$2:$D$101,3,FALSE))*怪物属性规划!A$18*INDEX(怪物属性等级系数!$A$2:$A$101,MATCH(D65,怪物属性等级系数!$D$2:$D$101,0),1)*R65+W65</f>
        <v>17391.284542179172</v>
      </c>
      <c r="AH65" s="64">
        <f>$P65/10/(1+VLOOKUP($I65,技能效果!$B$2:$D$101,3,FALSE))*怪物属性规划!B$18*S65+X65</f>
        <v>1775.172413793103</v>
      </c>
      <c r="AI65" s="64">
        <f>$P65/10/(1+VLOOKUP($I65,技能效果!$B$2:$D$101,3,FALSE))*怪物属性规划!C$18*T65+Y65</f>
        <v>1775.172413793103</v>
      </c>
      <c r="AJ65" s="64">
        <f>$P65/10/(1+VLOOKUP($I65,技能效果!$B$2:$D$101,3,FALSE))*怪物属性规划!D$18*U65+Z65</f>
        <v>1420.1379310344826</v>
      </c>
      <c r="AK65" s="64">
        <f>$P65/10/(1+VLOOKUP($I65,技能效果!$B$2:$D$101,3,FALSE))*怪物属性规划!E$18*V65+AA65</f>
        <v>1420.1379310344826</v>
      </c>
      <c r="AL65" s="67">
        <f>INDEX(角色属性!BB$8:BB$107,MATCH($D65,角色属性!$I$8:$I$107,0),1)</f>
        <v>1.4000000000000004</v>
      </c>
      <c r="AM65" s="64">
        <f>INDEX(角色属性!BC$8:BC$107,MATCH($D65,角色属性!$I$8:$I$107,0),1)</f>
        <v>3032</v>
      </c>
      <c r="AN65" s="64">
        <f>INDEX(角色属性!BD$8:BD$107,MATCH($D65,角色属性!$I$8:$I$107,0),1)</f>
        <v>1166</v>
      </c>
      <c r="AO65" s="69">
        <f t="shared" si="6"/>
        <v>0.57712285021738285</v>
      </c>
      <c r="AP65" s="69">
        <f t="shared" si="7"/>
        <v>0.89261678402924383</v>
      </c>
      <c r="AQ65" s="64">
        <f>AL65*角色属性!$BA$1*(AC65*(1-AO65)+MAX(AF65-AJ65,0))</f>
        <v>15184.143650361737</v>
      </c>
      <c r="AR65" s="64">
        <f>角色属性!$BA$1*(AH65*(1-AP65)+MAX(AK65-AE65,0))</f>
        <v>381.24744539134667</v>
      </c>
      <c r="AS65" s="73">
        <f t="shared" si="8"/>
        <v>0.63631015144044145</v>
      </c>
      <c r="AT65" s="73">
        <f t="shared" si="9"/>
        <v>0.42420676762696097</v>
      </c>
      <c r="AU65" s="73">
        <f t="shared" si="10"/>
        <v>0.31815507572022073</v>
      </c>
      <c r="AV65" s="73">
        <f t="shared" si="1"/>
        <v>218.12605174216208</v>
      </c>
      <c r="AW65" s="73">
        <f t="shared" si="11"/>
        <v>145.41736782810807</v>
      </c>
      <c r="AX65" s="2" t="str">
        <f t="shared" si="12"/>
        <v>r_guanqia_63</v>
      </c>
      <c r="AY65" s="2">
        <f>ROUND(($P65*R65/10/$H65/(1+VLOOKUP($I65,技能效果!$B$2:$D$101,3,FALSE))-1)*10000,0)</f>
        <v>-105</v>
      </c>
      <c r="AZ65" s="2">
        <f>ROUND(($P65*S65/10/$H65/(1+VLOOKUP($I65,技能效果!$B$2:$D$101,3,FALSE))-1)*10000,0)</f>
        <v>-105</v>
      </c>
      <c r="BA65" s="2">
        <f>ROUND(($P65*T65/10/$H65/(1+VLOOKUP($I65,技能效果!$B$2:$D$101,3,FALSE))-1)*10000,0)</f>
        <v>-105</v>
      </c>
      <c r="BB65" s="2">
        <f>ROUND(($P65*U65/10/$H65/(1+VLOOKUP($I65,技能效果!$B$2:$D$101,3,FALSE))-1)*10000,0)</f>
        <v>-105</v>
      </c>
      <c r="BC65" s="2">
        <f>ROUND(($P65*V65/10/$H65/(1+VLOOKUP($I65,技能效果!$B$2:$D$101,3,FALSE))-1)*10000,0)</f>
        <v>-105</v>
      </c>
    </row>
    <row r="66" spans="2:55" x14ac:dyDescent="0.15">
      <c r="B66" s="83"/>
      <c r="C66" s="2">
        <v>64</v>
      </c>
      <c r="D66" s="2">
        <f t="shared" si="18"/>
        <v>41</v>
      </c>
      <c r="E66" s="2">
        <v>2</v>
      </c>
      <c r="F66" s="28">
        <f>INDEX([3]宠物属性!$AL$8:$AL$107,MATCH(D66,[3]宠物属性!$I$8:$I$107,0),1)</f>
        <v>57310.717135223684</v>
      </c>
      <c r="G66" s="68">
        <f>F66/INDEX(角色属性!$AI$8:$AI$107,MATCH(D66,角色属性!$I$8:$I$107,0),1)*E66</f>
        <v>2.3764209059073362</v>
      </c>
      <c r="H66" s="2">
        <f>INDEX(角色属性!$AL$8:$AL$107,MATCH(D66,角色属性!$I$8:$I$107,0),1)</f>
        <v>1794</v>
      </c>
      <c r="I66" s="2">
        <f>INDEX(角色属性!$Y$8:$Y$107,MATCH(D66,角色属性!$I$8:$I$107,0),1)</f>
        <v>41</v>
      </c>
      <c r="J66" s="28">
        <f>H66*10*(1+VLOOKUP(I66,技能效果!$B$2:$D$101,3,FALSE))</f>
        <v>20810.400000000001</v>
      </c>
      <c r="K66" s="28">
        <f>H66*10*(1+VLOOKUP(I66,技能效果!$B$2:$D$101,3,FALSE))*(1+G66)</f>
        <v>70264.669620294037</v>
      </c>
      <c r="L66" s="2">
        <f t="shared" si="2"/>
        <v>70</v>
      </c>
      <c r="M66" s="28">
        <f t="shared" si="3"/>
        <v>26377.680000000004</v>
      </c>
      <c r="N66" s="28">
        <f t="shared" si="4"/>
        <v>88774.685730725221</v>
      </c>
      <c r="O66" s="62">
        <f t="shared" si="17"/>
        <v>72177</v>
      </c>
      <c r="P66" s="62">
        <f t="shared" si="15"/>
        <v>21205</v>
      </c>
      <c r="Q66" s="64">
        <f t="shared" si="13"/>
        <v>1965</v>
      </c>
      <c r="R66" s="67">
        <v>1</v>
      </c>
      <c r="S66" s="67">
        <v>1</v>
      </c>
      <c r="T66" s="67">
        <v>1</v>
      </c>
      <c r="U66" s="67">
        <v>1</v>
      </c>
      <c r="V66" s="67">
        <v>1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64">
        <f>INDEX(角色属性!AM$8:AM$107,MATCH($D66,角色属性!$I$8:$I$107,0),1)</f>
        <v>83160</v>
      </c>
      <c r="AC66" s="64">
        <f>INDEX(角色属性!AN$8:AN$107,MATCH($D66,角色属性!$I$8:$I$107,0),1)</f>
        <v>8316</v>
      </c>
      <c r="AD66" s="64">
        <f>INDEX(角色属性!AO$8:AO$107,MATCH($D66,角色属性!$I$8:$I$107,0),1)</f>
        <v>4158</v>
      </c>
      <c r="AE66" s="64">
        <f>INDEX(角色属性!AP$8:AP$107,MATCH($D66,角色属性!$I$8:$I$107,0),1)</f>
        <v>3326.4</v>
      </c>
      <c r="AF66" s="64">
        <f>INDEX(角色属性!AQ$8:AQ$107,MATCH($D66,角色属性!$I$8:$I$107,0),1)</f>
        <v>3326.4</v>
      </c>
      <c r="AG66" s="64">
        <f>$P66/10/(1+VLOOKUP(I66,技能效果!$B$2:$D$101,3,FALSE))*怪物属性规划!A$18*INDEX(怪物属性等级系数!$A$2:$A$101,MATCH(D66,怪物属性等级系数!$D$2:$D$101,0),1)*R66+W66</f>
        <v>17909.002948567861</v>
      </c>
      <c r="AH66" s="64">
        <f>$P66/10/(1+VLOOKUP($I66,技能效果!$B$2:$D$101,3,FALSE))*怪物属性规划!B$18*S66+X66</f>
        <v>1828.01724137931</v>
      </c>
      <c r="AI66" s="64">
        <f>$P66/10/(1+VLOOKUP($I66,技能效果!$B$2:$D$101,3,FALSE))*怪物属性规划!C$18*T66+Y66</f>
        <v>1828.01724137931</v>
      </c>
      <c r="AJ66" s="64">
        <f>$P66/10/(1+VLOOKUP($I66,技能效果!$B$2:$D$101,3,FALSE))*怪物属性规划!D$18*U66+Z66</f>
        <v>1462.4137931034481</v>
      </c>
      <c r="AK66" s="64">
        <f>$P66/10/(1+VLOOKUP($I66,技能效果!$B$2:$D$101,3,FALSE))*怪物属性规划!E$18*V66+AA66</f>
        <v>1462.4137931034481</v>
      </c>
      <c r="AL66" s="67">
        <f>INDEX(角色属性!BB$8:BB$107,MATCH($D66,角色属性!$I$8:$I$107,0),1)</f>
        <v>1.4000000000000004</v>
      </c>
      <c r="AM66" s="64">
        <f>INDEX(角色属性!BC$8:BC$107,MATCH($D66,角色属性!$I$8:$I$107,0),1)</f>
        <v>3032</v>
      </c>
      <c r="AN66" s="64">
        <f>INDEX(角色属性!BD$8:BD$107,MATCH($D66,角色属性!$I$8:$I$107,0),1)</f>
        <v>1166</v>
      </c>
      <c r="AO66" s="69">
        <f t="shared" si="6"/>
        <v>0.5842652885900762</v>
      </c>
      <c r="AP66" s="69">
        <f t="shared" si="7"/>
        <v>0.89261678402924383</v>
      </c>
      <c r="AQ66" s="64">
        <f>AL66*角色属性!$BA$1*(AC66*(1-AO66)+MAX(AF66-AJ66,0))</f>
        <v>14899.460987548142</v>
      </c>
      <c r="AR66" s="64">
        <f>角色属性!$BA$1*(AH66*(1-AP66)+MAX(AK66-AE66,0))</f>
        <v>392.59674045860072</v>
      </c>
      <c r="AS66" s="73">
        <f t="shared" si="8"/>
        <v>0.6677722161125631</v>
      </c>
      <c r="AT66" s="73">
        <f t="shared" si="9"/>
        <v>0.44518147740837538</v>
      </c>
      <c r="AU66" s="73">
        <f t="shared" si="10"/>
        <v>0.33388610805628155</v>
      </c>
      <c r="AV66" s="73">
        <f t="shared" si="1"/>
        <v>211.82040355928328</v>
      </c>
      <c r="AW66" s="73">
        <f t="shared" si="11"/>
        <v>141.21360237285552</v>
      </c>
      <c r="AX66" s="2" t="str">
        <f t="shared" si="12"/>
        <v>r_guanqia_64</v>
      </c>
      <c r="AY66" s="2">
        <f>ROUND(($P66*R66/10/$H66/(1+VLOOKUP($I66,技能效果!$B$2:$D$101,3,FALSE))-1)*10000,0)</f>
        <v>190</v>
      </c>
      <c r="AZ66" s="2">
        <f>ROUND(($P66*S66/10/$H66/(1+VLOOKUP($I66,技能效果!$B$2:$D$101,3,FALSE))-1)*10000,0)</f>
        <v>190</v>
      </c>
      <c r="BA66" s="2">
        <f>ROUND(($P66*T66/10/$H66/(1+VLOOKUP($I66,技能效果!$B$2:$D$101,3,FALSE))-1)*10000,0)</f>
        <v>190</v>
      </c>
      <c r="BB66" s="2">
        <f>ROUND(($P66*U66/10/$H66/(1+VLOOKUP($I66,技能效果!$B$2:$D$101,3,FALSE))-1)*10000,0)</f>
        <v>190</v>
      </c>
      <c r="BC66" s="2">
        <f>ROUND(($P66*V66/10/$H66/(1+VLOOKUP($I66,技能效果!$B$2:$D$101,3,FALSE))-1)*10000,0)</f>
        <v>190</v>
      </c>
    </row>
    <row r="67" spans="2:55" x14ac:dyDescent="0.15">
      <c r="B67" s="83"/>
      <c r="C67" s="2">
        <v>65</v>
      </c>
      <c r="D67" s="2">
        <f t="shared" si="18"/>
        <v>42</v>
      </c>
      <c r="E67" s="2">
        <v>2</v>
      </c>
      <c r="F67" s="28">
        <f>INDEX([3]宠物属性!$AL$8:$AL$107,MATCH(D67,[3]宠物属性!$I$8:$I$107,0),1)</f>
        <v>59546.256178187003</v>
      </c>
      <c r="G67" s="68">
        <f>F67/INDEX(角色属性!$AI$8:$AI$107,MATCH(D67,角色属性!$I$8:$I$107,0),1)*E67</f>
        <v>2.4210401075565189</v>
      </c>
      <c r="H67" s="2">
        <f>INDEX(角色属性!$AL$8:$AL$107,MATCH(D67,角色属性!$I$8:$I$107,0),1)</f>
        <v>1900</v>
      </c>
      <c r="I67" s="2">
        <f>INDEX(角色属性!$Y$8:$Y$107,MATCH(D67,角色属性!$I$8:$I$107,0),1)</f>
        <v>42</v>
      </c>
      <c r="J67" s="28">
        <f>H67*10*(1+VLOOKUP(I67,技能效果!$B$2:$D$101,3,FALSE))</f>
        <v>22116.000000000004</v>
      </c>
      <c r="K67" s="28">
        <f>H67*10*(1+VLOOKUP(I67,技能效果!$B$2:$D$101,3,FALSE))*(1+G67)</f>
        <v>75659.723018719989</v>
      </c>
      <c r="L67" s="2">
        <f t="shared" si="2"/>
        <v>70</v>
      </c>
      <c r="M67" s="28">
        <f t="shared" si="3"/>
        <v>26377.680000000004</v>
      </c>
      <c r="N67" s="28">
        <f t="shared" si="4"/>
        <v>88774.685730725221</v>
      </c>
      <c r="O67" s="62">
        <f t="shared" si="17"/>
        <v>76108</v>
      </c>
      <c r="P67" s="62">
        <f t="shared" si="15"/>
        <v>22430</v>
      </c>
      <c r="Q67" s="64">
        <f t="shared" si="13"/>
        <v>3931</v>
      </c>
      <c r="R67" s="67">
        <v>1</v>
      </c>
      <c r="S67" s="67">
        <v>1</v>
      </c>
      <c r="T67" s="67">
        <v>1</v>
      </c>
      <c r="U67" s="67">
        <v>1</v>
      </c>
      <c r="V67" s="67">
        <v>1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64">
        <f>INDEX(角色属性!AM$8:AM$107,MATCH($D67,角色属性!$I$8:$I$107,0),1)</f>
        <v>84520</v>
      </c>
      <c r="AC67" s="64">
        <f>INDEX(角色属性!AN$8:AN$107,MATCH($D67,角色属性!$I$8:$I$107,0),1)</f>
        <v>8452</v>
      </c>
      <c r="AD67" s="64">
        <f>INDEX(角色属性!AO$8:AO$107,MATCH($D67,角色属性!$I$8:$I$107,0),1)</f>
        <v>4226</v>
      </c>
      <c r="AE67" s="64">
        <f>INDEX(角色属性!AP$8:AP$107,MATCH($D67,角色属性!$I$8:$I$107,0),1)</f>
        <v>3380.8</v>
      </c>
      <c r="AF67" s="64">
        <f>INDEX(角色属性!AQ$8:AQ$107,MATCH($D67,角色属性!$I$8:$I$107,0),1)</f>
        <v>3380.8</v>
      </c>
      <c r="AG67" s="64">
        <f>$P67/10/(1+VLOOKUP(I67,技能效果!$B$2:$D$101,3,FALSE))*怪物属性规划!A$18*INDEX(怪物属性等级系数!$A$2:$A$101,MATCH(D67,怪物属性等级系数!$D$2:$D$101,0),1)*R67+W67</f>
        <v>19156.676808967637</v>
      </c>
      <c r="AH67" s="64">
        <f>$P67/10/(1+VLOOKUP($I67,技能效果!$B$2:$D$101,3,FALSE))*怪物属性规划!B$18*S67+X67</f>
        <v>1926.9759450171819</v>
      </c>
      <c r="AI67" s="64">
        <f>$P67/10/(1+VLOOKUP($I67,技能效果!$B$2:$D$101,3,FALSE))*怪物属性规划!C$18*T67+Y67</f>
        <v>1926.9759450171819</v>
      </c>
      <c r="AJ67" s="64">
        <f>$P67/10/(1+VLOOKUP($I67,技能效果!$B$2:$D$101,3,FALSE))*怪物属性规划!D$18*U67+Z67</f>
        <v>1541.5807560137455</v>
      </c>
      <c r="AK67" s="64">
        <f>$P67/10/(1+VLOOKUP($I67,技能效果!$B$2:$D$101,3,FALSE))*怪物属性规划!E$18*V67+AA67</f>
        <v>1541.5807560137455</v>
      </c>
      <c r="AL67" s="67">
        <f>INDEX(角色属性!BB$8:BB$107,MATCH($D67,角色属性!$I$8:$I$107,0),1)</f>
        <v>1.4100000000000004</v>
      </c>
      <c r="AM67" s="64">
        <f>INDEX(角色属性!BC$8:BC$107,MATCH($D67,角色属性!$I$8:$I$107,0),1)</f>
        <v>3251</v>
      </c>
      <c r="AN67" s="64">
        <f>INDEX(角色属性!BD$8:BD$107,MATCH($D67,角色属性!$I$8:$I$107,0),1)</f>
        <v>1188</v>
      </c>
      <c r="AO67" s="69">
        <f t="shared" si="6"/>
        <v>0.58012526192940073</v>
      </c>
      <c r="AP67" s="69">
        <f t="shared" si="7"/>
        <v>0.89237976101284466</v>
      </c>
      <c r="AQ67" s="64">
        <f>AL67*角色属性!$BA$1*(AC67*(1-AO67)+MAX(AF67-AJ67,0))</f>
        <v>15194.161495048271</v>
      </c>
      <c r="AR67" s="64">
        <f>角色属性!$BA$1*(AH67*(1-AP67)+MAX(AK67-AE67,0))</f>
        <v>414.76322345049721</v>
      </c>
      <c r="AS67" s="73">
        <f t="shared" si="8"/>
        <v>0.70043998352081693</v>
      </c>
      <c r="AT67" s="73">
        <f t="shared" si="9"/>
        <v>0.46695998901387797</v>
      </c>
      <c r="AU67" s="73">
        <f t="shared" si="10"/>
        <v>0.35021999176040847</v>
      </c>
      <c r="AV67" s="73">
        <f t="shared" si="1"/>
        <v>203.77891582783406</v>
      </c>
      <c r="AW67" s="73">
        <f t="shared" si="11"/>
        <v>135.85261055188937</v>
      </c>
      <c r="AX67" s="2" t="str">
        <f t="shared" si="12"/>
        <v>r_guanqia_65</v>
      </c>
      <c r="AY67" s="2">
        <f>ROUND(($P67*R67/10/$H67/(1+VLOOKUP($I67,技能效果!$B$2:$D$101,3,FALSE))-1)*10000,0)</f>
        <v>142</v>
      </c>
      <c r="AZ67" s="2">
        <f>ROUND(($P67*S67/10/$H67/(1+VLOOKUP($I67,技能效果!$B$2:$D$101,3,FALSE))-1)*10000,0)</f>
        <v>142</v>
      </c>
      <c r="BA67" s="2">
        <f>ROUND(($P67*T67/10/$H67/(1+VLOOKUP($I67,技能效果!$B$2:$D$101,3,FALSE))-1)*10000,0)</f>
        <v>142</v>
      </c>
      <c r="BB67" s="2">
        <f>ROUND(($P67*U67/10/$H67/(1+VLOOKUP($I67,技能效果!$B$2:$D$101,3,FALSE))-1)*10000,0)</f>
        <v>142</v>
      </c>
      <c r="BC67" s="2">
        <f>ROUND(($P67*V67/10/$H67/(1+VLOOKUP($I67,技能效果!$B$2:$D$101,3,FALSE))-1)*10000,0)</f>
        <v>142</v>
      </c>
    </row>
    <row r="68" spans="2:55" x14ac:dyDescent="0.15">
      <c r="B68" s="83"/>
      <c r="C68" s="2">
        <v>66</v>
      </c>
      <c r="D68" s="2">
        <f t="shared" si="18"/>
        <v>42</v>
      </c>
      <c r="E68" s="2">
        <v>2</v>
      </c>
      <c r="F68" s="28">
        <f>INDEX([3]宠物属性!$AL$8:$AL$107,MATCH(D68,[3]宠物属性!$I$8:$I$107,0),1)</f>
        <v>59546.256178187003</v>
      </c>
      <c r="G68" s="68">
        <f>F68/INDEX(角色属性!$AI$8:$AI$107,MATCH(D68,角色属性!$I$8:$I$107,0),1)*E68</f>
        <v>2.4210401075565189</v>
      </c>
      <c r="H68" s="2">
        <f>INDEX(角色属性!$AL$8:$AL$107,MATCH(D68,角色属性!$I$8:$I$107,0),1)</f>
        <v>1900</v>
      </c>
      <c r="I68" s="2">
        <f>INDEX(角色属性!$Y$8:$Y$107,MATCH(D68,角色属性!$I$8:$I$107,0),1)</f>
        <v>42</v>
      </c>
      <c r="J68" s="28">
        <f>H68*10*(1+VLOOKUP(I68,技能效果!$B$2:$D$101,3,FALSE))</f>
        <v>22116.000000000004</v>
      </c>
      <c r="K68" s="28">
        <f>H68*10*(1+VLOOKUP(I68,技能效果!$B$2:$D$101,3,FALSE))*(1+G68)</f>
        <v>75659.723018719989</v>
      </c>
      <c r="L68" s="2">
        <f t="shared" ref="L68:L131" si="19">(INT((C68-1)/10)+1)*10</f>
        <v>70</v>
      </c>
      <c r="M68" s="28">
        <f t="shared" ref="M68:M131" si="20">INDEX($J$3:$J$202,MATCH(L68,$C$3:$C$202,0),1)</f>
        <v>26377.680000000004</v>
      </c>
      <c r="N68" s="28">
        <f t="shared" ref="N68:N131" si="21">INDEX($K$3:$K$202,MATCH(L68,$C$3:$C$202,0),1)</f>
        <v>88774.685730725221</v>
      </c>
      <c r="O68" s="62">
        <f t="shared" si="17"/>
        <v>76982</v>
      </c>
      <c r="P68" s="62">
        <f t="shared" si="15"/>
        <v>22702</v>
      </c>
      <c r="Q68" s="64">
        <f t="shared" si="13"/>
        <v>874</v>
      </c>
      <c r="R68" s="67">
        <v>1</v>
      </c>
      <c r="S68" s="67">
        <v>1</v>
      </c>
      <c r="T68" s="67">
        <v>1</v>
      </c>
      <c r="U68" s="67">
        <v>1</v>
      </c>
      <c r="V68" s="67">
        <v>1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64">
        <f>INDEX(角色属性!AM$8:AM$107,MATCH($D68,角色属性!$I$8:$I$107,0),1)</f>
        <v>84520</v>
      </c>
      <c r="AC68" s="64">
        <f>INDEX(角色属性!AN$8:AN$107,MATCH($D68,角色属性!$I$8:$I$107,0),1)</f>
        <v>8452</v>
      </c>
      <c r="AD68" s="64">
        <f>INDEX(角色属性!AO$8:AO$107,MATCH($D68,角色属性!$I$8:$I$107,0),1)</f>
        <v>4226</v>
      </c>
      <c r="AE68" s="64">
        <f>INDEX(角色属性!AP$8:AP$107,MATCH($D68,角色属性!$I$8:$I$107,0),1)</f>
        <v>3380.8</v>
      </c>
      <c r="AF68" s="64">
        <f>INDEX(角色属性!AQ$8:AQ$107,MATCH($D68,角色属性!$I$8:$I$107,0),1)</f>
        <v>3380.8</v>
      </c>
      <c r="AG68" s="64">
        <f>$P68/10/(1+VLOOKUP(I68,技能效果!$B$2:$D$101,3,FALSE))*怪物属性规划!A$18*INDEX(怪物属性等级系数!$A$2:$A$101,MATCH(D68,怪物属性等级系数!$D$2:$D$101,0),1)*R68+W68</f>
        <v>19388.982475130775</v>
      </c>
      <c r="AH68" s="64">
        <f>$P68/10/(1+VLOOKUP($I68,技能效果!$B$2:$D$101,3,FALSE))*怪物属性规划!B$18*S68+X68</f>
        <v>1950.3436426116834</v>
      </c>
      <c r="AI68" s="64">
        <f>$P68/10/(1+VLOOKUP($I68,技能效果!$B$2:$D$101,3,FALSE))*怪物属性规划!C$18*T68+Y68</f>
        <v>1950.3436426116834</v>
      </c>
      <c r="AJ68" s="64">
        <f>$P68/10/(1+VLOOKUP($I68,技能效果!$B$2:$D$101,3,FALSE))*怪物属性规划!D$18*U68+Z68</f>
        <v>1560.2749140893468</v>
      </c>
      <c r="AK68" s="64">
        <f>$P68/10/(1+VLOOKUP($I68,技能效果!$B$2:$D$101,3,FALSE))*怪物属性规划!E$18*V68+AA68</f>
        <v>1560.2749140893468</v>
      </c>
      <c r="AL68" s="67">
        <f>INDEX(角色属性!BB$8:BB$107,MATCH($D68,角色属性!$I$8:$I$107,0),1)</f>
        <v>1.4100000000000004</v>
      </c>
      <c r="AM68" s="64">
        <f>INDEX(角色属性!BC$8:BC$107,MATCH($D68,角色属性!$I$8:$I$107,0),1)</f>
        <v>3251</v>
      </c>
      <c r="AN68" s="64">
        <f>INDEX(角色属性!BD$8:BD$107,MATCH($D68,角色属性!$I$8:$I$107,0),1)</f>
        <v>1188</v>
      </c>
      <c r="AO68" s="69">
        <f t="shared" ref="AO68:AO131" si="22">1*AI68/(AI68+0+0.429*AM68)</f>
        <v>0.58305842769689575</v>
      </c>
      <c r="AP68" s="69">
        <f t="shared" ref="AP68:AP131" si="23">1*AD68/(AD68+0+0.429*AN68)</f>
        <v>0.89237976101284466</v>
      </c>
      <c r="AQ68" s="64">
        <f>AL68*角色属性!$BA$1*(AC68*(1-AO68)+MAX(AF68-AJ68,0))</f>
        <v>15071.533019146507</v>
      </c>
      <c r="AR68" s="64">
        <f>角色属性!$BA$1*(AH68*(1-AP68)+MAX(AK68-AE68,0))</f>
        <v>419.79289784989692</v>
      </c>
      <c r="AS68" s="73">
        <f t="shared" ref="AS68:AS131" si="24">AG68/(AQ68*1.8)</f>
        <v>0.71470214190846793</v>
      </c>
      <c r="AT68" s="73">
        <f t="shared" ref="AT68:AT131" si="25">AG68/(AQ68*1.8*1.5)</f>
        <v>0.47646809460564532</v>
      </c>
      <c r="AU68" s="73">
        <f t="shared" ref="AU68:AU131" si="26">AG68/(AQ68*1.8*2)</f>
        <v>0.35735107095423396</v>
      </c>
      <c r="AV68" s="73">
        <f t="shared" ref="AV68:AV131" si="27">AB68/AR68</f>
        <v>201.33737476954971</v>
      </c>
      <c r="AW68" s="73">
        <f t="shared" ref="AW68:AW131" si="28">AB68/(AR68*1.5)</f>
        <v>134.22491651303315</v>
      </c>
      <c r="AX68" s="2" t="str">
        <f t="shared" ref="AX68:AX131" si="29">"r_guanqia_"&amp;C68</f>
        <v>r_guanqia_66</v>
      </c>
      <c r="AY68" s="2">
        <f>ROUND(($P68*R68/10/$H68/(1+VLOOKUP($I68,技能效果!$B$2:$D$101,3,FALSE))-1)*10000,0)</f>
        <v>265</v>
      </c>
      <c r="AZ68" s="2">
        <f>ROUND(($P68*S68/10/$H68/(1+VLOOKUP($I68,技能效果!$B$2:$D$101,3,FALSE))-1)*10000,0)</f>
        <v>265</v>
      </c>
      <c r="BA68" s="2">
        <f>ROUND(($P68*T68/10/$H68/(1+VLOOKUP($I68,技能效果!$B$2:$D$101,3,FALSE))-1)*10000,0)</f>
        <v>265</v>
      </c>
      <c r="BB68" s="2">
        <f>ROUND(($P68*U68/10/$H68/(1+VLOOKUP($I68,技能效果!$B$2:$D$101,3,FALSE))-1)*10000,0)</f>
        <v>265</v>
      </c>
      <c r="BC68" s="2">
        <f>ROUND(($P68*V68/10/$H68/(1+VLOOKUP($I68,技能效果!$B$2:$D$101,3,FALSE))-1)*10000,0)</f>
        <v>265</v>
      </c>
    </row>
    <row r="69" spans="2:55" x14ac:dyDescent="0.15">
      <c r="B69" s="83"/>
      <c r="C69" s="2">
        <v>67</v>
      </c>
      <c r="D69" s="2">
        <f t="shared" si="18"/>
        <v>42</v>
      </c>
      <c r="E69" s="2">
        <v>2</v>
      </c>
      <c r="F69" s="28">
        <f>INDEX([3]宠物属性!$AL$8:$AL$107,MATCH(D69,[3]宠物属性!$I$8:$I$107,0),1)</f>
        <v>59546.256178187003</v>
      </c>
      <c r="G69" s="68">
        <f>F69/INDEX(角色属性!$AI$8:$AI$107,MATCH(D69,角色属性!$I$8:$I$107,0),1)*E69</f>
        <v>2.4210401075565189</v>
      </c>
      <c r="H69" s="2">
        <f>INDEX(角色属性!$AL$8:$AL$107,MATCH(D69,角色属性!$I$8:$I$107,0),1)</f>
        <v>1900</v>
      </c>
      <c r="I69" s="2">
        <f>INDEX(角色属性!$Y$8:$Y$107,MATCH(D69,角色属性!$I$8:$I$107,0),1)</f>
        <v>42</v>
      </c>
      <c r="J69" s="28">
        <f>H69*10*(1+VLOOKUP(I69,技能效果!$B$2:$D$101,3,FALSE))</f>
        <v>22116.000000000004</v>
      </c>
      <c r="K69" s="28">
        <f>H69*10*(1+VLOOKUP(I69,技能效果!$B$2:$D$101,3,FALSE))*(1+G69)</f>
        <v>75659.723018719989</v>
      </c>
      <c r="L69" s="2">
        <f t="shared" si="19"/>
        <v>70</v>
      </c>
      <c r="M69" s="28">
        <f t="shared" si="20"/>
        <v>26377.680000000004</v>
      </c>
      <c r="N69" s="28">
        <f t="shared" si="21"/>
        <v>88774.685730725221</v>
      </c>
      <c r="O69" s="62">
        <f t="shared" si="17"/>
        <v>78292</v>
      </c>
      <c r="P69" s="62">
        <f t="shared" si="15"/>
        <v>23111</v>
      </c>
      <c r="Q69" s="64">
        <f t="shared" ref="Q69:Q132" si="30">O69-O68</f>
        <v>1310</v>
      </c>
      <c r="R69" s="67">
        <v>1</v>
      </c>
      <c r="S69" s="67">
        <v>1</v>
      </c>
      <c r="T69" s="67">
        <v>1</v>
      </c>
      <c r="U69" s="67">
        <v>1</v>
      </c>
      <c r="V69" s="67">
        <v>1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64">
        <f>INDEX(角色属性!AM$8:AM$107,MATCH($D69,角色属性!$I$8:$I$107,0),1)</f>
        <v>84520</v>
      </c>
      <c r="AC69" s="64">
        <f>INDEX(角色属性!AN$8:AN$107,MATCH($D69,角色属性!$I$8:$I$107,0),1)</f>
        <v>8452</v>
      </c>
      <c r="AD69" s="64">
        <f>INDEX(角色属性!AO$8:AO$107,MATCH($D69,角色属性!$I$8:$I$107,0),1)</f>
        <v>4226</v>
      </c>
      <c r="AE69" s="64">
        <f>INDEX(角色属性!AP$8:AP$107,MATCH($D69,角色属性!$I$8:$I$107,0),1)</f>
        <v>3380.8</v>
      </c>
      <c r="AF69" s="64">
        <f>INDEX(角色属性!AQ$8:AQ$107,MATCH($D69,角色属性!$I$8:$I$107,0),1)</f>
        <v>3380.8</v>
      </c>
      <c r="AG69" s="64">
        <f>$P69/10/(1+VLOOKUP(I69,技能效果!$B$2:$D$101,3,FALSE))*怪物属性规划!A$18*INDEX(怪物属性等级系数!$A$2:$A$101,MATCH(D69,怪物属性等级系数!$D$2:$D$101,0),1)*R69+W69</f>
        <v>19738.295039324614</v>
      </c>
      <c r="AH69" s="64">
        <f>$P69/10/(1+VLOOKUP($I69,技能效果!$B$2:$D$101,3,FALSE))*怪物属性规划!B$18*S69+X69</f>
        <v>1985.4810996563572</v>
      </c>
      <c r="AI69" s="64">
        <f>$P69/10/(1+VLOOKUP($I69,技能效果!$B$2:$D$101,3,FALSE))*怪物属性规划!C$18*T69+Y69</f>
        <v>1985.4810996563572</v>
      </c>
      <c r="AJ69" s="64">
        <f>$P69/10/(1+VLOOKUP($I69,技能效果!$B$2:$D$101,3,FALSE))*怪物属性规划!D$18*U69+Z69</f>
        <v>1588.3848797250857</v>
      </c>
      <c r="AK69" s="64">
        <f>$P69/10/(1+VLOOKUP($I69,技能效果!$B$2:$D$101,3,FALSE))*怪物属性规划!E$18*V69+AA69</f>
        <v>1588.3848797250857</v>
      </c>
      <c r="AL69" s="67">
        <f>INDEX(角色属性!BB$8:BB$107,MATCH($D69,角色属性!$I$8:$I$107,0),1)</f>
        <v>1.4100000000000004</v>
      </c>
      <c r="AM69" s="64">
        <f>INDEX(角色属性!BC$8:BC$107,MATCH($D69,角色属性!$I$8:$I$107,0),1)</f>
        <v>3251</v>
      </c>
      <c r="AN69" s="64">
        <f>INDEX(角色属性!BD$8:BD$107,MATCH($D69,角色属性!$I$8:$I$107,0),1)</f>
        <v>1188</v>
      </c>
      <c r="AO69" s="69">
        <f t="shared" si="22"/>
        <v>0.58739262079870425</v>
      </c>
      <c r="AP69" s="69">
        <f t="shared" si="23"/>
        <v>0.89237976101284466</v>
      </c>
      <c r="AQ69" s="64">
        <f>AL69*角色属性!$BA$1*(AC69*(1-AO69)+MAX(AF69-AJ69,0))</f>
        <v>14888.958983781633</v>
      </c>
      <c r="AR69" s="64">
        <f>角色属性!$BA$1*(AH69*(1-AP69)+MAX(AK69-AE69,0))</f>
        <v>427.35590089899426</v>
      </c>
      <c r="AS69" s="73">
        <f t="shared" si="24"/>
        <v>0.73650007889982638</v>
      </c>
      <c r="AT69" s="73">
        <f t="shared" si="25"/>
        <v>0.49100005259988427</v>
      </c>
      <c r="AU69" s="73">
        <f t="shared" si="26"/>
        <v>0.36825003944991319</v>
      </c>
      <c r="AV69" s="73">
        <f t="shared" si="27"/>
        <v>197.77426688669109</v>
      </c>
      <c r="AW69" s="73">
        <f t="shared" si="28"/>
        <v>131.84951125779403</v>
      </c>
      <c r="AX69" s="2" t="str">
        <f t="shared" si="29"/>
        <v>r_guanqia_67</v>
      </c>
      <c r="AY69" s="2">
        <f>ROUND(($P69*R69/10/$H69/(1+VLOOKUP($I69,技能效果!$B$2:$D$101,3,FALSE))-1)*10000,0)</f>
        <v>450</v>
      </c>
      <c r="AZ69" s="2">
        <f>ROUND(($P69*S69/10/$H69/(1+VLOOKUP($I69,技能效果!$B$2:$D$101,3,FALSE))-1)*10000,0)</f>
        <v>450</v>
      </c>
      <c r="BA69" s="2">
        <f>ROUND(($P69*T69/10/$H69/(1+VLOOKUP($I69,技能效果!$B$2:$D$101,3,FALSE))-1)*10000,0)</f>
        <v>450</v>
      </c>
      <c r="BB69" s="2">
        <f>ROUND(($P69*U69/10/$H69/(1+VLOOKUP($I69,技能效果!$B$2:$D$101,3,FALSE))-1)*10000,0)</f>
        <v>450</v>
      </c>
      <c r="BC69" s="2">
        <f>ROUND(($P69*V69/10/$H69/(1+VLOOKUP($I69,技能效果!$B$2:$D$101,3,FALSE))-1)*10000,0)</f>
        <v>450</v>
      </c>
    </row>
    <row r="70" spans="2:55" x14ac:dyDescent="0.15">
      <c r="B70" s="83"/>
      <c r="C70" s="2">
        <v>68</v>
      </c>
      <c r="D70" s="2">
        <f t="shared" si="18"/>
        <v>43</v>
      </c>
      <c r="E70" s="2">
        <v>2</v>
      </c>
      <c r="F70" s="28">
        <f>INDEX([3]宠物属性!$AL$8:$AL$107,MATCH(D70,[3]宠物属性!$I$8:$I$107,0),1)</f>
        <v>60443.589968293505</v>
      </c>
      <c r="G70" s="68">
        <f>F70/INDEX(角色属性!$AI$8:$AI$107,MATCH(D70,角色属性!$I$8:$I$107,0),1)*E70</f>
        <v>2.4080804534879832</v>
      </c>
      <c r="H70" s="2">
        <f>INDEX(角色属性!$AL$8:$AL$107,MATCH(D70,角色属性!$I$8:$I$107,0),1)</f>
        <v>2010</v>
      </c>
      <c r="I70" s="2">
        <f>INDEX(角色属性!$Y$8:$Y$107,MATCH(D70,角色属性!$I$8:$I$107,0),1)</f>
        <v>43</v>
      </c>
      <c r="J70" s="28">
        <f>H70*10*(1+VLOOKUP(I70,技能效果!$B$2:$D$101,3,FALSE))</f>
        <v>23476.800000000003</v>
      </c>
      <c r="K70" s="28">
        <f>H70*10*(1+VLOOKUP(I70,技能效果!$B$2:$D$101,3,FALSE))*(1+G70)</f>
        <v>80010.823190446696</v>
      </c>
      <c r="L70" s="2">
        <f t="shared" si="19"/>
        <v>70</v>
      </c>
      <c r="M70" s="28">
        <f t="shared" si="20"/>
        <v>26377.680000000004</v>
      </c>
      <c r="N70" s="28">
        <f t="shared" si="21"/>
        <v>88774.685730725221</v>
      </c>
      <c r="O70" s="62">
        <f t="shared" si="17"/>
        <v>80039</v>
      </c>
      <c r="P70" s="62">
        <f t="shared" si="15"/>
        <v>23655</v>
      </c>
      <c r="Q70" s="64">
        <f t="shared" si="30"/>
        <v>1747</v>
      </c>
      <c r="R70" s="67">
        <v>1</v>
      </c>
      <c r="S70" s="67">
        <v>1</v>
      </c>
      <c r="T70" s="67">
        <v>1</v>
      </c>
      <c r="U70" s="67">
        <v>1</v>
      </c>
      <c r="V70" s="67">
        <v>1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64">
        <f>INDEX(角色属性!AM$8:AM$107,MATCH($D70,角色属性!$I$8:$I$107,0),1)</f>
        <v>85960</v>
      </c>
      <c r="AC70" s="64">
        <f>INDEX(角色属性!AN$8:AN$107,MATCH($D70,角色属性!$I$8:$I$107,0),1)</f>
        <v>8596</v>
      </c>
      <c r="AD70" s="64">
        <f>INDEX(角色属性!AO$8:AO$107,MATCH($D70,角色属性!$I$8:$I$107,0),1)</f>
        <v>4298</v>
      </c>
      <c r="AE70" s="64">
        <f>INDEX(角色属性!AP$8:AP$107,MATCH($D70,角色属性!$I$8:$I$107,0),1)</f>
        <v>3438.4</v>
      </c>
      <c r="AF70" s="64">
        <f>INDEX(角色属性!AQ$8:AQ$107,MATCH($D70,角色属性!$I$8:$I$107,0),1)</f>
        <v>3438.4</v>
      </c>
      <c r="AG70" s="64">
        <f>$P70/10/(1+VLOOKUP(I70,技能效果!$B$2:$D$101,3,FALSE))*怪物属性规划!A$18*INDEX(怪物属性等级系数!$A$2:$A$101,MATCH(D70,怪物属性等级系数!$D$2:$D$101,0),1)*R70+W70</f>
        <v>20418.364022220187</v>
      </c>
      <c r="AH70" s="64">
        <f>$P70/10/(1+VLOOKUP($I70,技能效果!$B$2:$D$101,3,FALSE))*怪物属性规划!B$18*S70+X70</f>
        <v>2025.2568493150682</v>
      </c>
      <c r="AI70" s="64">
        <f>$P70/10/(1+VLOOKUP($I70,技能效果!$B$2:$D$101,3,FALSE))*怪物属性规划!C$18*T70+Y70</f>
        <v>2025.2568493150682</v>
      </c>
      <c r="AJ70" s="64">
        <f>$P70/10/(1+VLOOKUP($I70,技能效果!$B$2:$D$101,3,FALSE))*怪物属性规划!D$18*U70+Z70</f>
        <v>1620.2054794520545</v>
      </c>
      <c r="AK70" s="64">
        <f>$P70/10/(1+VLOOKUP($I70,技能效果!$B$2:$D$101,3,FALSE))*怪物属性规划!E$18*V70+AA70</f>
        <v>1620.2054794520545</v>
      </c>
      <c r="AL70" s="67">
        <f>INDEX(角色属性!BB$8:BB$107,MATCH($D70,角色属性!$I$8:$I$107,0),1)</f>
        <v>1.4200000000000004</v>
      </c>
      <c r="AM70" s="64">
        <f>INDEX(角色属性!BC$8:BC$107,MATCH($D70,角色属性!$I$8:$I$107,0),1)</f>
        <v>3481</v>
      </c>
      <c r="AN70" s="64">
        <f>INDEX(角色属性!BD$8:BD$107,MATCH($D70,角色属性!$I$8:$I$107,0),1)</f>
        <v>1212</v>
      </c>
      <c r="AO70" s="69">
        <f t="shared" si="22"/>
        <v>0.57558502885718354</v>
      </c>
      <c r="AP70" s="69">
        <f t="shared" si="23"/>
        <v>0.89208102702644354</v>
      </c>
      <c r="AQ70" s="64">
        <f>AL70*角色属性!$BA$1*(AC70*(1-AO70)+MAX(AF70-AJ70,0))</f>
        <v>15524.762339476138</v>
      </c>
      <c r="AR70" s="64">
        <f>角色属性!$BA$1*(AH70*(1-AP70)+MAX(AK70-AE70,0))</f>
        <v>437.12727837148589</v>
      </c>
      <c r="AS70" s="73">
        <f t="shared" si="24"/>
        <v>0.73067370178388669</v>
      </c>
      <c r="AT70" s="73">
        <f t="shared" si="25"/>
        <v>0.48711580118925779</v>
      </c>
      <c r="AU70" s="73">
        <f t="shared" si="26"/>
        <v>0.36533685089194334</v>
      </c>
      <c r="AV70" s="73">
        <f t="shared" si="27"/>
        <v>196.64753094394675</v>
      </c>
      <c r="AW70" s="73">
        <f t="shared" si="28"/>
        <v>131.09835396263117</v>
      </c>
      <c r="AX70" s="2" t="str">
        <f t="shared" si="29"/>
        <v>r_guanqia_68</v>
      </c>
      <c r="AY70" s="2">
        <f>ROUND(($P70*R70/10/$H70/(1+VLOOKUP($I70,技能效果!$B$2:$D$101,3,FALSE))-1)*10000,0)</f>
        <v>76</v>
      </c>
      <c r="AZ70" s="2">
        <f>ROUND(($P70*S70/10/$H70/(1+VLOOKUP($I70,技能效果!$B$2:$D$101,3,FALSE))-1)*10000,0)</f>
        <v>76</v>
      </c>
      <c r="BA70" s="2">
        <f>ROUND(($P70*T70/10/$H70/(1+VLOOKUP($I70,技能效果!$B$2:$D$101,3,FALSE))-1)*10000,0)</f>
        <v>76</v>
      </c>
      <c r="BB70" s="2">
        <f>ROUND(($P70*U70/10/$H70/(1+VLOOKUP($I70,技能效果!$B$2:$D$101,3,FALSE))-1)*10000,0)</f>
        <v>76</v>
      </c>
      <c r="BC70" s="2">
        <f>ROUND(($P70*V70/10/$H70/(1+VLOOKUP($I70,技能效果!$B$2:$D$101,3,FALSE))-1)*10000,0)</f>
        <v>76</v>
      </c>
    </row>
    <row r="71" spans="2:55" x14ac:dyDescent="0.15">
      <c r="B71" s="83"/>
      <c r="C71" s="2">
        <v>69</v>
      </c>
      <c r="D71" s="2">
        <f t="shared" si="18"/>
        <v>43</v>
      </c>
      <c r="E71" s="2">
        <v>2</v>
      </c>
      <c r="F71" s="28">
        <f>INDEX([3]宠物属性!$AL$8:$AL$107,MATCH(D71,[3]宠物属性!$I$8:$I$107,0),1)</f>
        <v>60443.589968293505</v>
      </c>
      <c r="G71" s="68">
        <f>F71/INDEX(角色属性!$AI$8:$AI$107,MATCH(D71,角色属性!$I$8:$I$107,0),1)*E71</f>
        <v>2.4080804534879832</v>
      </c>
      <c r="H71" s="2">
        <f>INDEX(角色属性!$AL$8:$AL$107,MATCH(D71,角色属性!$I$8:$I$107,0),1)</f>
        <v>2010</v>
      </c>
      <c r="I71" s="2">
        <f>INDEX(角色属性!$Y$8:$Y$107,MATCH(D71,角色属性!$I$8:$I$107,0),1)</f>
        <v>43</v>
      </c>
      <c r="J71" s="28">
        <f>H71*10*(1+VLOOKUP(I71,技能效果!$B$2:$D$101,3,FALSE))</f>
        <v>23476.800000000003</v>
      </c>
      <c r="K71" s="28">
        <f>H71*10*(1+VLOOKUP(I71,技能效果!$B$2:$D$101,3,FALSE))*(1+G71)</f>
        <v>80010.823190446696</v>
      </c>
      <c r="L71" s="2">
        <f t="shared" si="19"/>
        <v>70</v>
      </c>
      <c r="M71" s="28">
        <f t="shared" si="20"/>
        <v>26377.680000000004</v>
      </c>
      <c r="N71" s="28">
        <f t="shared" si="21"/>
        <v>88774.685730725221</v>
      </c>
      <c r="O71" s="62">
        <f t="shared" si="17"/>
        <v>82223</v>
      </c>
      <c r="P71" s="62">
        <f t="shared" si="15"/>
        <v>24336</v>
      </c>
      <c r="Q71" s="64">
        <f t="shared" si="30"/>
        <v>2184</v>
      </c>
      <c r="R71" s="67">
        <v>1</v>
      </c>
      <c r="S71" s="67">
        <v>1</v>
      </c>
      <c r="T71" s="67">
        <v>1</v>
      </c>
      <c r="U71" s="67">
        <v>1</v>
      </c>
      <c r="V71" s="67">
        <v>1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64">
        <f>INDEX(角色属性!AM$8:AM$107,MATCH($D71,角色属性!$I$8:$I$107,0),1)</f>
        <v>85960</v>
      </c>
      <c r="AC71" s="64">
        <f>INDEX(角色属性!AN$8:AN$107,MATCH($D71,角色属性!$I$8:$I$107,0),1)</f>
        <v>8596</v>
      </c>
      <c r="AD71" s="64">
        <f>INDEX(角色属性!AO$8:AO$107,MATCH($D71,角色属性!$I$8:$I$107,0),1)</f>
        <v>4298</v>
      </c>
      <c r="AE71" s="64">
        <f>INDEX(角色属性!AP$8:AP$107,MATCH($D71,角色属性!$I$8:$I$107,0),1)</f>
        <v>3438.4</v>
      </c>
      <c r="AF71" s="64">
        <f>INDEX(角色属性!AQ$8:AQ$107,MATCH($D71,角色属性!$I$8:$I$107,0),1)</f>
        <v>3438.4</v>
      </c>
      <c r="AG71" s="64">
        <f>$P71/10/(1+VLOOKUP(I71,技能效果!$B$2:$D$101,3,FALSE))*怪物属性规划!A$18*INDEX(怪物属性等级系数!$A$2:$A$101,MATCH(D71,怪物属性等级系数!$D$2:$D$101,0),1)*R71+W71</f>
        <v>21006.185028313274</v>
      </c>
      <c r="AH71" s="64">
        <f>$P71/10/(1+VLOOKUP($I71,技能效果!$B$2:$D$101,3,FALSE))*怪物属性规划!B$18*S71+X71</f>
        <v>2083.561643835616</v>
      </c>
      <c r="AI71" s="64">
        <f>$P71/10/(1+VLOOKUP($I71,技能效果!$B$2:$D$101,3,FALSE))*怪物属性规划!C$18*T71+Y71</f>
        <v>2083.561643835616</v>
      </c>
      <c r="AJ71" s="64">
        <f>$P71/10/(1+VLOOKUP($I71,技能效果!$B$2:$D$101,3,FALSE))*怪物属性规划!D$18*U71+Z71</f>
        <v>1666.8493150684928</v>
      </c>
      <c r="AK71" s="64">
        <f>$P71/10/(1+VLOOKUP($I71,技能效果!$B$2:$D$101,3,FALSE))*怪物属性规划!E$18*V71+AA71</f>
        <v>1666.8493150684928</v>
      </c>
      <c r="AL71" s="67">
        <f>INDEX(角色属性!BB$8:BB$107,MATCH($D71,角色属性!$I$8:$I$107,0),1)</f>
        <v>1.4200000000000004</v>
      </c>
      <c r="AM71" s="64">
        <f>INDEX(角色属性!BC$8:BC$107,MATCH($D71,角色属性!$I$8:$I$107,0),1)</f>
        <v>3481</v>
      </c>
      <c r="AN71" s="64">
        <f>INDEX(角色属性!BD$8:BD$107,MATCH($D71,角色属性!$I$8:$I$107,0),1)</f>
        <v>1212</v>
      </c>
      <c r="AO71" s="69">
        <f t="shared" si="22"/>
        <v>0.58250312946072313</v>
      </c>
      <c r="AP71" s="69">
        <f t="shared" si="23"/>
        <v>0.89208102702644354</v>
      </c>
      <c r="AQ71" s="64">
        <f>AL71*角色属性!$BA$1*(AC71*(1-AO71)+MAX(AF71-AJ71,0))</f>
        <v>15223.404746807457</v>
      </c>
      <c r="AR71" s="64">
        <f>角色属性!$BA$1*(AH71*(1-AP71)+MAX(AK71-AE71,0))</f>
        <v>449.7116654596694</v>
      </c>
      <c r="AS71" s="73">
        <f t="shared" si="24"/>
        <v>0.76658953680875785</v>
      </c>
      <c r="AT71" s="73">
        <f t="shared" si="25"/>
        <v>0.51105969120583861</v>
      </c>
      <c r="AU71" s="73">
        <f t="shared" si="26"/>
        <v>0.38329476840437893</v>
      </c>
      <c r="AV71" s="73">
        <f t="shared" si="27"/>
        <v>191.14469692961296</v>
      </c>
      <c r="AW71" s="73">
        <f t="shared" si="28"/>
        <v>127.42979795307529</v>
      </c>
      <c r="AX71" s="2" t="str">
        <f t="shared" si="29"/>
        <v>r_guanqia_69</v>
      </c>
      <c r="AY71" s="2">
        <f>ROUND(($P71*R71/10/$H71/(1+VLOOKUP($I71,技能效果!$B$2:$D$101,3,FALSE))-1)*10000,0)</f>
        <v>366</v>
      </c>
      <c r="AZ71" s="2">
        <f>ROUND(($P71*S71/10/$H71/(1+VLOOKUP($I71,技能效果!$B$2:$D$101,3,FALSE))-1)*10000,0)</f>
        <v>366</v>
      </c>
      <c r="BA71" s="2">
        <f>ROUND(($P71*T71/10/$H71/(1+VLOOKUP($I71,技能效果!$B$2:$D$101,3,FALSE))-1)*10000,0)</f>
        <v>366</v>
      </c>
      <c r="BB71" s="2">
        <f>ROUND(($P71*U71/10/$H71/(1+VLOOKUP($I71,技能效果!$B$2:$D$101,3,FALSE))-1)*10000,0)</f>
        <v>366</v>
      </c>
      <c r="BC71" s="2">
        <f>ROUND(($P71*V71/10/$H71/(1+VLOOKUP($I71,技能效果!$B$2:$D$101,3,FALSE))-1)*10000,0)</f>
        <v>366</v>
      </c>
    </row>
    <row r="72" spans="2:55" x14ac:dyDescent="0.15">
      <c r="B72" s="83"/>
      <c r="C72" s="2">
        <v>70</v>
      </c>
      <c r="D72" s="2">
        <f t="shared" si="18"/>
        <v>45</v>
      </c>
      <c r="E72" s="2">
        <v>2</v>
      </c>
      <c r="F72" s="28">
        <f>INDEX([3]宠物属性!$AL$8:$AL$107,MATCH(D72,[3]宠物属性!$I$8:$I$107,0),1)</f>
        <v>73941.703625620881</v>
      </c>
      <c r="G72" s="68">
        <f>F72/INDEX(角色属性!$AI$8:$AI$107,MATCH(D72,角色属性!$I$8:$I$107,0),1)*E72</f>
        <v>2.3655228864223545</v>
      </c>
      <c r="H72" s="2">
        <f>INDEX(角色属性!$AL$8:$AL$107,MATCH(D72,角色属性!$I$8:$I$107,0),1)</f>
        <v>2243</v>
      </c>
      <c r="I72" s="2">
        <f>INDEX(角色属性!$Y$8:$Y$107,MATCH(D72,角色属性!$I$8:$I$107,0),1)</f>
        <v>45</v>
      </c>
      <c r="J72" s="28">
        <f>H72*10*(1+VLOOKUP(I72,技能效果!$B$2:$D$101,3,FALSE))</f>
        <v>26377.680000000004</v>
      </c>
      <c r="K72" s="28">
        <f>H72*10*(1+VLOOKUP(I72,技能效果!$B$2:$D$101,3,FALSE))*(1+G72)</f>
        <v>88774.685730725221</v>
      </c>
      <c r="L72" s="2">
        <f t="shared" si="19"/>
        <v>70</v>
      </c>
      <c r="M72" s="28">
        <f t="shared" si="20"/>
        <v>26377.680000000004</v>
      </c>
      <c r="N72" s="28">
        <f t="shared" si="21"/>
        <v>88774.685730725221</v>
      </c>
      <c r="O72" s="62">
        <f t="shared" si="17"/>
        <v>88775</v>
      </c>
      <c r="P72" s="62">
        <f t="shared" si="15"/>
        <v>26378</v>
      </c>
      <c r="Q72" s="64">
        <f t="shared" si="30"/>
        <v>6552</v>
      </c>
      <c r="R72" s="67">
        <v>1</v>
      </c>
      <c r="S72" s="67">
        <v>1</v>
      </c>
      <c r="T72" s="67">
        <v>1</v>
      </c>
      <c r="U72" s="67">
        <v>1</v>
      </c>
      <c r="V72" s="67">
        <v>1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64">
        <f>INDEX(角色属性!AM$8:AM$107,MATCH($D72,角色属性!$I$8:$I$107,0),1)</f>
        <v>106320</v>
      </c>
      <c r="AC72" s="64">
        <f>INDEX(角色属性!AN$8:AN$107,MATCH($D72,角色属性!$I$8:$I$107,0),1)</f>
        <v>10632</v>
      </c>
      <c r="AD72" s="64">
        <f>INDEX(角色属性!AO$8:AO$107,MATCH($D72,角色属性!$I$8:$I$107,0),1)</f>
        <v>5316</v>
      </c>
      <c r="AE72" s="64">
        <f>INDEX(角色属性!AP$8:AP$107,MATCH($D72,角色属性!$I$8:$I$107,0),1)</f>
        <v>4252.8</v>
      </c>
      <c r="AF72" s="64">
        <f>INDEX(角色属性!AQ$8:AQ$107,MATCH($D72,角色属性!$I$8:$I$107,0),1)</f>
        <v>4252.8</v>
      </c>
      <c r="AG72" s="64">
        <f>$P72/10/(1+VLOOKUP(I72,技能效果!$B$2:$D$101,3,FALSE))*怪物属性规划!A$18*INDEX(怪物属性等级系数!$A$2:$A$101,MATCH(D72,怪物属性等级系数!$D$2:$D$101,0),1)*R72+W72</f>
        <v>23255.79980297928</v>
      </c>
      <c r="AH72" s="64">
        <f>$P72/10/(1+VLOOKUP($I72,技能效果!$B$2:$D$101,3,FALSE))*怪物属性规划!B$18*S72+X72</f>
        <v>2243.0272108843537</v>
      </c>
      <c r="AI72" s="64">
        <f>$P72/10/(1+VLOOKUP($I72,技能效果!$B$2:$D$101,3,FALSE))*怪物属性规划!C$18*T72+Y72</f>
        <v>2243.0272108843537</v>
      </c>
      <c r="AJ72" s="64">
        <f>$P72/10/(1+VLOOKUP($I72,技能效果!$B$2:$D$101,3,FALSE))*怪物属性规划!D$18*U72+Z72</f>
        <v>1794.4217687074831</v>
      </c>
      <c r="AK72" s="64">
        <f>$P72/10/(1+VLOOKUP($I72,技能效果!$B$2:$D$101,3,FALSE))*怪物属性规划!E$18*V72+AA72</f>
        <v>1794.4217687074831</v>
      </c>
      <c r="AL72" s="67">
        <f>INDEX(角色属性!BB$8:BB$107,MATCH($D72,角色属性!$I$8:$I$107,0),1)</f>
        <v>1.4400000000000004</v>
      </c>
      <c r="AM72" s="64">
        <f>INDEX(角色属性!BC$8:BC$107,MATCH($D72,角色属性!$I$8:$I$107,0),1)</f>
        <v>3981</v>
      </c>
      <c r="AN72" s="64">
        <f>INDEX(角色属性!BD$8:BD$107,MATCH($D72,角色属性!$I$8:$I$107,0),1)</f>
        <v>1388</v>
      </c>
      <c r="AO72" s="69">
        <f t="shared" si="22"/>
        <v>0.56772905329328971</v>
      </c>
      <c r="AP72" s="69">
        <f t="shared" si="23"/>
        <v>0.89927144803002712</v>
      </c>
      <c r="AQ72" s="64">
        <f>AL72*角色属性!$BA$1*(AC72*(1-AO72)+MAX(AF72-AJ72,0))</f>
        <v>20316.334857633396</v>
      </c>
      <c r="AR72" s="64">
        <f>角色属性!$BA$1*(AH72*(1-AP72)+MAX(AK72-AE72,0))</f>
        <v>451.87376596325589</v>
      </c>
      <c r="AS72" s="73">
        <f t="shared" si="24"/>
        <v>0.63593600272731188</v>
      </c>
      <c r="AT72" s="73">
        <f t="shared" si="25"/>
        <v>0.42395733515154127</v>
      </c>
      <c r="AU72" s="73">
        <f t="shared" si="26"/>
        <v>0.31796800136365594</v>
      </c>
      <c r="AV72" s="73">
        <f t="shared" si="27"/>
        <v>235.28694960495983</v>
      </c>
      <c r="AW72" s="73">
        <f t="shared" si="28"/>
        <v>156.85796640330656</v>
      </c>
      <c r="AX72" s="2" t="str">
        <f t="shared" si="29"/>
        <v>r_guanqia_70</v>
      </c>
      <c r="AY72" s="2">
        <f>ROUND(($P72*R72/10/$H72/(1+VLOOKUP($I72,技能效果!$B$2:$D$101,3,FALSE))-1)*10000,0)</f>
        <v>0</v>
      </c>
      <c r="AZ72" s="2">
        <f>ROUND(($P72*S72/10/$H72/(1+VLOOKUP($I72,技能效果!$B$2:$D$101,3,FALSE))-1)*10000,0)</f>
        <v>0</v>
      </c>
      <c r="BA72" s="2">
        <f>ROUND(($P72*T72/10/$H72/(1+VLOOKUP($I72,技能效果!$B$2:$D$101,3,FALSE))-1)*10000,0)</f>
        <v>0</v>
      </c>
      <c r="BB72" s="2">
        <f>ROUND(($P72*U72/10/$H72/(1+VLOOKUP($I72,技能效果!$B$2:$D$101,3,FALSE))-1)*10000,0)</f>
        <v>0</v>
      </c>
      <c r="BC72" s="2">
        <f>ROUND(($P72*V72/10/$H72/(1+VLOOKUP($I72,技能效果!$B$2:$D$101,3,FALSE))-1)*10000,0)</f>
        <v>0</v>
      </c>
    </row>
    <row r="73" spans="2:55" x14ac:dyDescent="0.15">
      <c r="B73" s="83" t="s">
        <v>119</v>
      </c>
      <c r="C73" s="2">
        <v>71</v>
      </c>
      <c r="D73" s="2">
        <f t="shared" si="18"/>
        <v>45</v>
      </c>
      <c r="E73" s="2">
        <v>2</v>
      </c>
      <c r="F73" s="28">
        <f>INDEX([3]宠物属性!$AL$8:$AL$107,MATCH(D73,[3]宠物属性!$I$8:$I$107,0),1)</f>
        <v>73941.703625620881</v>
      </c>
      <c r="G73" s="68">
        <f>F73/INDEX(角色属性!$AI$8:$AI$107,MATCH(D73,角色属性!$I$8:$I$107,0),1)*E73</f>
        <v>2.3655228864223545</v>
      </c>
      <c r="H73" s="2">
        <f>INDEX(角色属性!$AL$8:$AL$107,MATCH(D73,角色属性!$I$8:$I$107,0),1)</f>
        <v>2243</v>
      </c>
      <c r="I73" s="2">
        <f>INDEX(角色属性!$Y$8:$Y$107,MATCH(D73,角色属性!$I$8:$I$107,0),1)</f>
        <v>45</v>
      </c>
      <c r="J73" s="28">
        <f>H73*10*(1+VLOOKUP(I73,技能效果!$B$2:$D$101,3,FALSE))</f>
        <v>26377.680000000004</v>
      </c>
      <c r="K73" s="28">
        <f>H73*10*(1+VLOOKUP(I73,技能效果!$B$2:$D$101,3,FALSE))*(1+G73)</f>
        <v>88774.685730725221</v>
      </c>
      <c r="L73" s="2">
        <f t="shared" si="19"/>
        <v>80</v>
      </c>
      <c r="M73" s="28">
        <f t="shared" si="20"/>
        <v>34815.560000000005</v>
      </c>
      <c r="N73" s="28">
        <f t="shared" si="21"/>
        <v>126567.98036090865</v>
      </c>
      <c r="O73" s="62">
        <f t="shared" si="17"/>
        <v>89908</v>
      </c>
      <c r="P73" s="62">
        <f t="shared" si="15"/>
        <v>26631</v>
      </c>
      <c r="Q73" s="64">
        <f t="shared" si="30"/>
        <v>1133</v>
      </c>
      <c r="R73" s="67">
        <v>1</v>
      </c>
      <c r="S73" s="67">
        <v>1</v>
      </c>
      <c r="T73" s="67">
        <v>1</v>
      </c>
      <c r="U73" s="67">
        <v>1</v>
      </c>
      <c r="V73" s="67">
        <v>1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64">
        <f>INDEX(角色属性!AM$8:AM$107,MATCH($D73,角色属性!$I$8:$I$107,0),1)</f>
        <v>106320</v>
      </c>
      <c r="AC73" s="64">
        <f>INDEX(角色属性!AN$8:AN$107,MATCH($D73,角色属性!$I$8:$I$107,0),1)</f>
        <v>10632</v>
      </c>
      <c r="AD73" s="64">
        <f>INDEX(角色属性!AO$8:AO$107,MATCH($D73,角色属性!$I$8:$I$107,0),1)</f>
        <v>5316</v>
      </c>
      <c r="AE73" s="64">
        <f>INDEX(角色属性!AP$8:AP$107,MATCH($D73,角色属性!$I$8:$I$107,0),1)</f>
        <v>4252.8</v>
      </c>
      <c r="AF73" s="64">
        <f>INDEX(角色属性!AQ$8:AQ$107,MATCH($D73,角色属性!$I$8:$I$107,0),1)</f>
        <v>4252.8</v>
      </c>
      <c r="AG73" s="64">
        <f>$P73/10/(1+VLOOKUP(I73,技能效果!$B$2:$D$101,3,FALSE))*怪物属性规划!A$18*INDEX(怪物属性等级系数!$A$2:$A$101,MATCH(D73,怪物属性等级系数!$D$2:$D$101,0),1)*R73+W73</f>
        <v>23478.853762724284</v>
      </c>
      <c r="AH73" s="64">
        <f>$P73/10/(1+VLOOKUP($I73,技能效果!$B$2:$D$101,3,FALSE))*怪物属性规划!B$18*S73+X73</f>
        <v>2264.5408163265301</v>
      </c>
      <c r="AI73" s="64">
        <f>$P73/10/(1+VLOOKUP($I73,技能效果!$B$2:$D$101,3,FALSE))*怪物属性规划!C$18*T73+Y73</f>
        <v>2264.5408163265301</v>
      </c>
      <c r="AJ73" s="64">
        <f>$P73/10/(1+VLOOKUP($I73,技能效果!$B$2:$D$101,3,FALSE))*怪物属性规划!D$18*U73+Z73</f>
        <v>1811.6326530612241</v>
      </c>
      <c r="AK73" s="64">
        <f>$P73/10/(1+VLOOKUP($I73,技能效果!$B$2:$D$101,3,FALSE))*怪物属性规划!E$18*V73+AA73</f>
        <v>1811.6326530612241</v>
      </c>
      <c r="AL73" s="67">
        <f>INDEX(角色属性!BB$8:BB$107,MATCH($D73,角色属性!$I$8:$I$107,0),1)</f>
        <v>1.4400000000000004</v>
      </c>
      <c r="AM73" s="64">
        <f>INDEX(角色属性!BC$8:BC$107,MATCH($D73,角色属性!$I$8:$I$107,0),1)</f>
        <v>3981</v>
      </c>
      <c r="AN73" s="64">
        <f>INDEX(角色属性!BD$8:BD$107,MATCH($D73,角色属性!$I$8:$I$107,0),1)</f>
        <v>1388</v>
      </c>
      <c r="AO73" s="69">
        <f t="shared" si="22"/>
        <v>0.57007013939550011</v>
      </c>
      <c r="AP73" s="69">
        <f t="shared" si="23"/>
        <v>0.89927144803002712</v>
      </c>
      <c r="AQ73" s="64">
        <f>AL73*角色属性!$BA$1*(AC73*(1-AO73)+MAX(AF73-AJ73,0))</f>
        <v>20195.083079671163</v>
      </c>
      <c r="AR73" s="64">
        <f>角色属性!$BA$1*(AH73*(1-AP73)+MAX(AK73-AE73,0))</f>
        <v>456.20783461094339</v>
      </c>
      <c r="AS73" s="73">
        <f t="shared" si="24"/>
        <v>0.64589026915606673</v>
      </c>
      <c r="AT73" s="73">
        <f t="shared" si="25"/>
        <v>0.43059351277071117</v>
      </c>
      <c r="AU73" s="73">
        <f t="shared" si="26"/>
        <v>0.32294513457803337</v>
      </c>
      <c r="AV73" s="73">
        <f t="shared" si="27"/>
        <v>233.05167499078638</v>
      </c>
      <c r="AW73" s="73">
        <f t="shared" si="28"/>
        <v>155.36778332719089</v>
      </c>
      <c r="AX73" s="2" t="str">
        <f t="shared" si="29"/>
        <v>r_guanqia_71</v>
      </c>
      <c r="AY73" s="2">
        <f>ROUND(($P73*R73/10/$H73/(1+VLOOKUP($I73,技能效果!$B$2:$D$101,3,FALSE))-1)*10000,0)</f>
        <v>96</v>
      </c>
      <c r="AZ73" s="2">
        <f>ROUND(($P73*S73/10/$H73/(1+VLOOKUP($I73,技能效果!$B$2:$D$101,3,FALSE))-1)*10000,0)</f>
        <v>96</v>
      </c>
      <c r="BA73" s="2">
        <f>ROUND(($P73*T73/10/$H73/(1+VLOOKUP($I73,技能效果!$B$2:$D$101,3,FALSE))-1)*10000,0)</f>
        <v>96</v>
      </c>
      <c r="BB73" s="2">
        <f>ROUND(($P73*U73/10/$H73/(1+VLOOKUP($I73,技能效果!$B$2:$D$101,3,FALSE))-1)*10000,0)</f>
        <v>96</v>
      </c>
      <c r="BC73" s="2">
        <f>ROUND(($P73*V73/10/$H73/(1+VLOOKUP($I73,技能效果!$B$2:$D$101,3,FALSE))-1)*10000,0)</f>
        <v>96</v>
      </c>
    </row>
    <row r="74" spans="2:55" x14ac:dyDescent="0.15">
      <c r="B74" s="83"/>
      <c r="C74" s="2">
        <v>72</v>
      </c>
      <c r="D74" s="2">
        <f t="shared" si="18"/>
        <v>45</v>
      </c>
      <c r="E74" s="2">
        <v>2</v>
      </c>
      <c r="F74" s="28">
        <f>INDEX([3]宠物属性!$AL$8:$AL$107,MATCH(D74,[3]宠物属性!$I$8:$I$107,0),1)</f>
        <v>73941.703625620881</v>
      </c>
      <c r="G74" s="68">
        <f>F74/INDEX(角色属性!$AI$8:$AI$107,MATCH(D74,角色属性!$I$8:$I$107,0),1)*E74</f>
        <v>2.3655228864223545</v>
      </c>
      <c r="H74" s="2">
        <f>INDEX(角色属性!$AL$8:$AL$107,MATCH(D74,角色属性!$I$8:$I$107,0),1)</f>
        <v>2243</v>
      </c>
      <c r="I74" s="2">
        <f>INDEX(角色属性!$Y$8:$Y$107,MATCH(D74,角色属性!$I$8:$I$107,0),1)</f>
        <v>45</v>
      </c>
      <c r="J74" s="28">
        <f>H74*10*(1+VLOOKUP(I74,技能效果!$B$2:$D$101,3,FALSE))</f>
        <v>26377.680000000004</v>
      </c>
      <c r="K74" s="28">
        <f>H74*10*(1+VLOOKUP(I74,技能效果!$B$2:$D$101,3,FALSE))*(1+G74)</f>
        <v>88774.685730725221</v>
      </c>
      <c r="L74" s="2">
        <f t="shared" si="19"/>
        <v>80</v>
      </c>
      <c r="M74" s="28">
        <f t="shared" si="20"/>
        <v>34815.560000000005</v>
      </c>
      <c r="N74" s="28">
        <f t="shared" si="21"/>
        <v>126567.98036090865</v>
      </c>
      <c r="O74" s="62">
        <f t="shared" si="17"/>
        <v>91798</v>
      </c>
      <c r="P74" s="62">
        <f t="shared" si="15"/>
        <v>27053</v>
      </c>
      <c r="Q74" s="64">
        <f t="shared" si="30"/>
        <v>1890</v>
      </c>
      <c r="R74" s="67">
        <v>1</v>
      </c>
      <c r="S74" s="67">
        <v>1</v>
      </c>
      <c r="T74" s="67">
        <v>1</v>
      </c>
      <c r="U74" s="67">
        <v>1</v>
      </c>
      <c r="V74" s="67">
        <v>1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64">
        <f>INDEX(角色属性!AM$8:AM$107,MATCH($D74,角色属性!$I$8:$I$107,0),1)</f>
        <v>106320</v>
      </c>
      <c r="AC74" s="64">
        <f>INDEX(角色属性!AN$8:AN$107,MATCH($D74,角色属性!$I$8:$I$107,0),1)</f>
        <v>10632</v>
      </c>
      <c r="AD74" s="64">
        <f>INDEX(角色属性!AO$8:AO$107,MATCH($D74,角色属性!$I$8:$I$107,0),1)</f>
        <v>5316</v>
      </c>
      <c r="AE74" s="64">
        <f>INDEX(角色属性!AP$8:AP$107,MATCH($D74,角色属性!$I$8:$I$107,0),1)</f>
        <v>4252.8</v>
      </c>
      <c r="AF74" s="64">
        <f>INDEX(角色属性!AQ$8:AQ$107,MATCH($D74,角色属性!$I$8:$I$107,0),1)</f>
        <v>4252.8</v>
      </c>
      <c r="AG74" s="64">
        <f>$P74/10/(1+VLOOKUP(I74,技能效果!$B$2:$D$101,3,FALSE))*怪物属性规划!A$18*INDEX(怪物属性等级系数!$A$2:$A$101,MATCH(D74,怪物属性等级系数!$D$2:$D$101,0),1)*R74+W74</f>
        <v>23850.904241034135</v>
      </c>
      <c r="AH74" s="64">
        <f>$P74/10/(1+VLOOKUP($I74,技能效果!$B$2:$D$101,3,FALSE))*怪物属性规划!B$18*S74+X74</f>
        <v>2300.425170068027</v>
      </c>
      <c r="AI74" s="64">
        <f>$P74/10/(1+VLOOKUP($I74,技能效果!$B$2:$D$101,3,FALSE))*怪物属性规划!C$18*T74+Y74</f>
        <v>2300.425170068027</v>
      </c>
      <c r="AJ74" s="64">
        <f>$P74/10/(1+VLOOKUP($I74,技能效果!$B$2:$D$101,3,FALSE))*怪物属性规划!D$18*U74+Z74</f>
        <v>1840.3401360544217</v>
      </c>
      <c r="AK74" s="64">
        <f>$P74/10/(1+VLOOKUP($I74,技能效果!$B$2:$D$101,3,FALSE))*怪物属性规划!E$18*V74+AA74</f>
        <v>1840.3401360544217</v>
      </c>
      <c r="AL74" s="67">
        <f>INDEX(角色属性!BB$8:BB$107,MATCH($D74,角色属性!$I$8:$I$107,0),1)</f>
        <v>1.4400000000000004</v>
      </c>
      <c r="AM74" s="64">
        <f>INDEX(角色属性!BC$8:BC$107,MATCH($D74,角色属性!$I$8:$I$107,0),1)</f>
        <v>3981</v>
      </c>
      <c r="AN74" s="64">
        <f>INDEX(角色属性!BD$8:BD$107,MATCH($D74,角色属性!$I$8:$I$107,0),1)</f>
        <v>1388</v>
      </c>
      <c r="AO74" s="69">
        <f t="shared" si="22"/>
        <v>0.57391911642336202</v>
      </c>
      <c r="AP74" s="69">
        <f t="shared" si="23"/>
        <v>0.89927144803002712</v>
      </c>
      <c r="AQ74" s="64">
        <f>AL74*角色属性!$BA$1*(AC74*(1-AO74)+MAX(AF74-AJ74,0))</f>
        <v>19994.549236221297</v>
      </c>
      <c r="AR74" s="64">
        <f>角色属性!$BA$1*(AH74*(1-AP74)+MAX(AK74-AE74,0))</f>
        <v>463.43699259246193</v>
      </c>
      <c r="AS74" s="73">
        <f t="shared" si="24"/>
        <v>0.66270573042607095</v>
      </c>
      <c r="AT74" s="73">
        <f t="shared" si="25"/>
        <v>0.4418038202840473</v>
      </c>
      <c r="AU74" s="73">
        <f t="shared" si="26"/>
        <v>0.33135286521303547</v>
      </c>
      <c r="AV74" s="73">
        <f t="shared" si="27"/>
        <v>229.41629973310282</v>
      </c>
      <c r="AW74" s="73">
        <f t="shared" si="28"/>
        <v>152.94419982206855</v>
      </c>
      <c r="AX74" s="2" t="str">
        <f t="shared" si="29"/>
        <v>r_guanqia_72</v>
      </c>
      <c r="AY74" s="2">
        <f>ROUND(($P74*R74/10/$H74/(1+VLOOKUP($I74,技能效果!$B$2:$D$101,3,FALSE))-1)*10000,0)</f>
        <v>256</v>
      </c>
      <c r="AZ74" s="2">
        <f>ROUND(($P74*S74/10/$H74/(1+VLOOKUP($I74,技能效果!$B$2:$D$101,3,FALSE))-1)*10000,0)</f>
        <v>256</v>
      </c>
      <c r="BA74" s="2">
        <f>ROUND(($P74*T74/10/$H74/(1+VLOOKUP($I74,技能效果!$B$2:$D$101,3,FALSE))-1)*10000,0)</f>
        <v>256</v>
      </c>
      <c r="BB74" s="2">
        <f>ROUND(($P74*U74/10/$H74/(1+VLOOKUP($I74,技能效果!$B$2:$D$101,3,FALSE))-1)*10000,0)</f>
        <v>256</v>
      </c>
      <c r="BC74" s="2">
        <f>ROUND(($P74*V74/10/$H74/(1+VLOOKUP($I74,技能效果!$B$2:$D$101,3,FALSE))-1)*10000,0)</f>
        <v>256</v>
      </c>
    </row>
    <row r="75" spans="2:55" x14ac:dyDescent="0.15">
      <c r="B75" s="83"/>
      <c r="C75" s="2">
        <v>73</v>
      </c>
      <c r="D75" s="2">
        <f t="shared" si="18"/>
        <v>46</v>
      </c>
      <c r="E75" s="2">
        <v>2</v>
      </c>
      <c r="F75" s="28">
        <f>INDEX([3]宠物属性!$AL$8:$AL$107,MATCH(D75,[3]宠物属性!$I$8:$I$107,0),1)</f>
        <v>74961.960654923838</v>
      </c>
      <c r="G75" s="68">
        <f>F75/INDEX(角色属性!$AI$8:$AI$107,MATCH(D75,角色属性!$I$8:$I$107,0),1)*E75</f>
        <v>2.3559089672087117</v>
      </c>
      <c r="H75" s="2">
        <f>INDEX(角色属性!$AL$8:$AL$107,MATCH(D75,角色属性!$I$8:$I$107,0),1)</f>
        <v>2367</v>
      </c>
      <c r="I75" s="2">
        <f>INDEX(角色属性!$Y$8:$Y$107,MATCH(D75,角色属性!$I$8:$I$107,0),1)</f>
        <v>46</v>
      </c>
      <c r="J75" s="28">
        <f>H75*10*(1+VLOOKUP(I75,技能效果!$B$2:$D$101,3,FALSE))</f>
        <v>27930.600000000002</v>
      </c>
      <c r="K75" s="28">
        <f>H75*10*(1+VLOOKUP(I75,技能效果!$B$2:$D$101,3,FALSE))*(1+G75)</f>
        <v>93732.550999519648</v>
      </c>
      <c r="L75" s="2">
        <f t="shared" si="19"/>
        <v>80</v>
      </c>
      <c r="M75" s="28">
        <f t="shared" si="20"/>
        <v>34815.560000000005</v>
      </c>
      <c r="N75" s="28">
        <f t="shared" si="21"/>
        <v>126567.98036090865</v>
      </c>
      <c r="O75" s="62">
        <f t="shared" si="17"/>
        <v>94444</v>
      </c>
      <c r="P75" s="62">
        <f t="shared" si="15"/>
        <v>27643</v>
      </c>
      <c r="Q75" s="64">
        <f t="shared" si="30"/>
        <v>2646</v>
      </c>
      <c r="R75" s="67">
        <v>1</v>
      </c>
      <c r="S75" s="67">
        <v>1</v>
      </c>
      <c r="T75" s="67">
        <v>1</v>
      </c>
      <c r="U75" s="67">
        <v>1</v>
      </c>
      <c r="V75" s="67">
        <v>1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64">
        <f>INDEX(角色属性!AM$8:AM$107,MATCH($D75,角色属性!$I$8:$I$107,0),1)</f>
        <v>107859.99999999999</v>
      </c>
      <c r="AC75" s="64">
        <f>INDEX(角色属性!AN$8:AN$107,MATCH($D75,角色属性!$I$8:$I$107,0),1)</f>
        <v>10786</v>
      </c>
      <c r="AD75" s="64">
        <f>INDEX(角色属性!AO$8:AO$107,MATCH($D75,角色属性!$I$8:$I$107,0),1)</f>
        <v>5393</v>
      </c>
      <c r="AE75" s="64">
        <f>INDEX(角色属性!AP$8:AP$107,MATCH($D75,角色属性!$I$8:$I$107,0),1)</f>
        <v>4314.3999999999996</v>
      </c>
      <c r="AF75" s="64">
        <f>INDEX(角色属性!AQ$8:AQ$107,MATCH($D75,角色属性!$I$8:$I$107,0),1)</f>
        <v>4314.3999999999996</v>
      </c>
      <c r="AG75" s="64">
        <f>$P75/10/(1+VLOOKUP(I75,技能效果!$B$2:$D$101,3,FALSE))*怪物属性规划!A$18*INDEX(怪物属性等级系数!$A$2:$A$101,MATCH(D75,怪物属性等级系数!$D$2:$D$101,0),1)*R75+W75</f>
        <v>24620.853339005203</v>
      </c>
      <c r="AH75" s="64">
        <f>$P75/10/(1+VLOOKUP($I75,技能效果!$B$2:$D$101,3,FALSE))*怪物属性规划!B$18*S75+X75</f>
        <v>2342.6271186440677</v>
      </c>
      <c r="AI75" s="64">
        <f>$P75/10/(1+VLOOKUP($I75,技能效果!$B$2:$D$101,3,FALSE))*怪物属性规划!C$18*T75+Y75</f>
        <v>2342.6271186440677</v>
      </c>
      <c r="AJ75" s="64">
        <f>$P75/10/(1+VLOOKUP($I75,技能效果!$B$2:$D$101,3,FALSE))*怪物属性规划!D$18*U75+Z75</f>
        <v>1874.1016949152543</v>
      </c>
      <c r="AK75" s="64">
        <f>$P75/10/(1+VLOOKUP($I75,技能效果!$B$2:$D$101,3,FALSE))*怪物属性规划!E$18*V75+AA75</f>
        <v>1874.1016949152543</v>
      </c>
      <c r="AL75" s="67">
        <f>INDEX(角色属性!BB$8:BB$107,MATCH($D75,角色属性!$I$8:$I$107,0),1)</f>
        <v>1.4500000000000004</v>
      </c>
      <c r="AM75" s="64">
        <f>INDEX(角色属性!BC$8:BC$107,MATCH($D75,角色属性!$I$8:$I$107,0),1)</f>
        <v>4253</v>
      </c>
      <c r="AN75" s="64">
        <f>INDEX(角色属性!BD$8:BD$107,MATCH($D75,角色属性!$I$8:$I$107,0),1)</f>
        <v>1411</v>
      </c>
      <c r="AO75" s="69">
        <f t="shared" si="22"/>
        <v>0.56216339264466586</v>
      </c>
      <c r="AP75" s="69">
        <f t="shared" si="23"/>
        <v>0.89908522704444371</v>
      </c>
      <c r="AQ75" s="64">
        <f>AL75*角色属性!$BA$1*(AC75*(1-AO75)+MAX(AF75-AJ75,0))</f>
        <v>20772.131460856202</v>
      </c>
      <c r="AR75" s="64">
        <f>角色属性!$BA$1*(AH75*(1-AP75)+MAX(AK75-AE75,0))</f>
        <v>472.8113675949902</v>
      </c>
      <c r="AS75" s="73">
        <f t="shared" si="24"/>
        <v>0.65849053000548885</v>
      </c>
      <c r="AT75" s="73">
        <f t="shared" si="25"/>
        <v>0.43899368667032584</v>
      </c>
      <c r="AU75" s="73">
        <f t="shared" si="26"/>
        <v>0.32924526500274442</v>
      </c>
      <c r="AV75" s="73">
        <f t="shared" si="27"/>
        <v>228.1248028122555</v>
      </c>
      <c r="AW75" s="73">
        <f t="shared" si="28"/>
        <v>152.08320187483702</v>
      </c>
      <c r="AX75" s="2" t="str">
        <f t="shared" si="29"/>
        <v>r_guanqia_73</v>
      </c>
      <c r="AY75" s="2">
        <f>ROUND(($P75*R75/10/$H75/(1+VLOOKUP($I75,技能效果!$B$2:$D$101,3,FALSE))-1)*10000,0)</f>
        <v>-103</v>
      </c>
      <c r="AZ75" s="2">
        <f>ROUND(($P75*S75/10/$H75/(1+VLOOKUP($I75,技能效果!$B$2:$D$101,3,FALSE))-1)*10000,0)</f>
        <v>-103</v>
      </c>
      <c r="BA75" s="2">
        <f>ROUND(($P75*T75/10/$H75/(1+VLOOKUP($I75,技能效果!$B$2:$D$101,3,FALSE))-1)*10000,0)</f>
        <v>-103</v>
      </c>
      <c r="BB75" s="2">
        <f>ROUND(($P75*U75/10/$H75/(1+VLOOKUP($I75,技能效果!$B$2:$D$101,3,FALSE))-1)*10000,0)</f>
        <v>-103</v>
      </c>
      <c r="BC75" s="2">
        <f>ROUND(($P75*V75/10/$H75/(1+VLOOKUP($I75,技能效果!$B$2:$D$101,3,FALSE))-1)*10000,0)</f>
        <v>-103</v>
      </c>
    </row>
    <row r="76" spans="2:55" x14ac:dyDescent="0.15">
      <c r="B76" s="83"/>
      <c r="C76" s="2">
        <v>74</v>
      </c>
      <c r="D76" s="2">
        <f t="shared" si="18"/>
        <v>46</v>
      </c>
      <c r="E76" s="2">
        <v>2</v>
      </c>
      <c r="F76" s="28">
        <f>INDEX([3]宠物属性!$AL$8:$AL$107,MATCH(D76,[3]宠物属性!$I$8:$I$107,0),1)</f>
        <v>74961.960654923838</v>
      </c>
      <c r="G76" s="68">
        <f>F76/INDEX(角色属性!$AI$8:$AI$107,MATCH(D76,角色属性!$I$8:$I$107,0),1)*E76</f>
        <v>2.3559089672087117</v>
      </c>
      <c r="H76" s="2">
        <f>INDEX(角色属性!$AL$8:$AL$107,MATCH(D76,角色属性!$I$8:$I$107,0),1)</f>
        <v>2367</v>
      </c>
      <c r="I76" s="2">
        <f>INDEX(角色属性!$Y$8:$Y$107,MATCH(D76,角色属性!$I$8:$I$107,0),1)</f>
        <v>46</v>
      </c>
      <c r="J76" s="28">
        <f>H76*10*(1+VLOOKUP(I76,技能效果!$B$2:$D$101,3,FALSE))</f>
        <v>27930.600000000002</v>
      </c>
      <c r="K76" s="28">
        <f>H76*10*(1+VLOOKUP(I76,技能效果!$B$2:$D$101,3,FALSE))*(1+G76)</f>
        <v>93732.550999519648</v>
      </c>
      <c r="L76" s="2">
        <f t="shared" si="19"/>
        <v>80</v>
      </c>
      <c r="M76" s="28">
        <f t="shared" si="20"/>
        <v>34815.560000000005</v>
      </c>
      <c r="N76" s="28">
        <f t="shared" si="21"/>
        <v>126567.98036090865</v>
      </c>
      <c r="O76" s="62">
        <f t="shared" si="17"/>
        <v>97845</v>
      </c>
      <c r="P76" s="62">
        <f t="shared" si="15"/>
        <v>28403</v>
      </c>
      <c r="Q76" s="64">
        <f t="shared" si="30"/>
        <v>3401</v>
      </c>
      <c r="R76" s="67">
        <v>1</v>
      </c>
      <c r="S76" s="67">
        <v>1</v>
      </c>
      <c r="T76" s="67">
        <v>1</v>
      </c>
      <c r="U76" s="67">
        <v>1</v>
      </c>
      <c r="V76" s="67">
        <v>1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64">
        <f>INDEX(角色属性!AM$8:AM$107,MATCH($D76,角色属性!$I$8:$I$107,0),1)</f>
        <v>107859.99999999999</v>
      </c>
      <c r="AC76" s="64">
        <f>INDEX(角色属性!AN$8:AN$107,MATCH($D76,角色属性!$I$8:$I$107,0),1)</f>
        <v>10786</v>
      </c>
      <c r="AD76" s="64">
        <f>INDEX(角色属性!AO$8:AO$107,MATCH($D76,角色属性!$I$8:$I$107,0),1)</f>
        <v>5393</v>
      </c>
      <c r="AE76" s="64">
        <f>INDEX(角色属性!AP$8:AP$107,MATCH($D76,角色属性!$I$8:$I$107,0),1)</f>
        <v>4314.3999999999996</v>
      </c>
      <c r="AF76" s="64">
        <f>INDEX(角色属性!AQ$8:AQ$107,MATCH($D76,角色属性!$I$8:$I$107,0),1)</f>
        <v>4314.3999999999996</v>
      </c>
      <c r="AG76" s="64">
        <f>$P76/10/(1+VLOOKUP(I76,技能效果!$B$2:$D$101,3,FALSE))*怪物属性规划!A$18*INDEX(怪物属性等级系数!$A$2:$A$101,MATCH(D76,怪物属性等级系数!$D$2:$D$101,0),1)*R76+W76</f>
        <v>25297.764258140025</v>
      </c>
      <c r="AH76" s="64">
        <f>$P76/10/(1+VLOOKUP($I76,技能效果!$B$2:$D$101,3,FALSE))*怪物属性规划!B$18*S76+X76</f>
        <v>2407.0338983050847</v>
      </c>
      <c r="AI76" s="64">
        <f>$P76/10/(1+VLOOKUP($I76,技能效果!$B$2:$D$101,3,FALSE))*怪物属性规划!C$18*T76+Y76</f>
        <v>2407.0338983050847</v>
      </c>
      <c r="AJ76" s="64">
        <f>$P76/10/(1+VLOOKUP($I76,技能效果!$B$2:$D$101,3,FALSE))*怪物属性规划!D$18*U76+Z76</f>
        <v>1925.6271186440679</v>
      </c>
      <c r="AK76" s="64">
        <f>$P76/10/(1+VLOOKUP($I76,技能效果!$B$2:$D$101,3,FALSE))*怪物属性规划!E$18*V76+AA76</f>
        <v>1925.6271186440679</v>
      </c>
      <c r="AL76" s="67">
        <f>INDEX(角色属性!BB$8:BB$107,MATCH($D76,角色属性!$I$8:$I$107,0),1)</f>
        <v>1.4500000000000004</v>
      </c>
      <c r="AM76" s="64">
        <f>INDEX(角色属性!BC$8:BC$107,MATCH($D76,角色属性!$I$8:$I$107,0),1)</f>
        <v>4253</v>
      </c>
      <c r="AN76" s="64">
        <f>INDEX(角色属性!BD$8:BD$107,MATCH($D76,角色属性!$I$8:$I$107,0),1)</f>
        <v>1411</v>
      </c>
      <c r="AO76" s="69">
        <f t="shared" si="22"/>
        <v>0.56882750074427424</v>
      </c>
      <c r="AP76" s="69">
        <f t="shared" si="23"/>
        <v>0.89908522704444371</v>
      </c>
      <c r="AQ76" s="64">
        <f>AL76*角色属性!$BA$1*(AC76*(1-AO76)+MAX(AF76-AJ76,0))</f>
        <v>20414.258429151756</v>
      </c>
      <c r="AR76" s="64">
        <f>角色属性!$BA$1*(AH76*(1-AP76)+MAX(AK76-AE76,0))</f>
        <v>485.81055868757034</v>
      </c>
      <c r="AS76" s="73">
        <f t="shared" si="24"/>
        <v>0.68845574408300636</v>
      </c>
      <c r="AT76" s="73">
        <f t="shared" si="25"/>
        <v>0.45897049605533757</v>
      </c>
      <c r="AU76" s="73">
        <f t="shared" si="26"/>
        <v>0.34422787204150318</v>
      </c>
      <c r="AV76" s="73">
        <f t="shared" si="27"/>
        <v>222.02069936764352</v>
      </c>
      <c r="AW76" s="73">
        <f t="shared" si="28"/>
        <v>148.013799578429</v>
      </c>
      <c r="AX76" s="2" t="str">
        <f t="shared" si="29"/>
        <v>r_guanqia_74</v>
      </c>
      <c r="AY76" s="2">
        <f>ROUND(($P76*R76/10/$H76/(1+VLOOKUP($I76,技能效果!$B$2:$D$101,3,FALSE))-1)*10000,0)</f>
        <v>169</v>
      </c>
      <c r="AZ76" s="2">
        <f>ROUND(($P76*S76/10/$H76/(1+VLOOKUP($I76,技能效果!$B$2:$D$101,3,FALSE))-1)*10000,0)</f>
        <v>169</v>
      </c>
      <c r="BA76" s="2">
        <f>ROUND(($P76*T76/10/$H76/(1+VLOOKUP($I76,技能效果!$B$2:$D$101,3,FALSE))-1)*10000,0)</f>
        <v>169</v>
      </c>
      <c r="BB76" s="2">
        <f>ROUND(($P76*U76/10/$H76/(1+VLOOKUP($I76,技能效果!$B$2:$D$101,3,FALSE))-1)*10000,0)</f>
        <v>169</v>
      </c>
      <c r="BC76" s="2">
        <f>ROUND(($P76*V76/10/$H76/(1+VLOOKUP($I76,技能效果!$B$2:$D$101,3,FALSE))-1)*10000,0)</f>
        <v>169</v>
      </c>
    </row>
    <row r="77" spans="2:55" x14ac:dyDescent="0.15">
      <c r="B77" s="83"/>
      <c r="C77" s="2">
        <v>75</v>
      </c>
      <c r="D77" s="2">
        <f t="shared" si="18"/>
        <v>47</v>
      </c>
      <c r="E77" s="2">
        <v>2</v>
      </c>
      <c r="F77" s="28">
        <f>INDEX([3]宠物属性!$AL$8:$AL$107,MATCH(D77,[3]宠物属性!$I$8:$I$107,0),1)</f>
        <v>78205.805168625127</v>
      </c>
      <c r="G77" s="68">
        <f>F77/INDEX(角色属性!$AI$8:$AI$107,MATCH(D77,角色属性!$I$8:$I$107,0),1)*E77</f>
        <v>2.4102244229643781</v>
      </c>
      <c r="H77" s="2">
        <f>INDEX(角色属性!$AL$8:$AL$107,MATCH(D77,角色属性!$I$8:$I$107,0),1)</f>
        <v>2496</v>
      </c>
      <c r="I77" s="2">
        <f>INDEX(角色属性!$Y$8:$Y$107,MATCH(D77,角色属性!$I$8:$I$107,0),1)</f>
        <v>47</v>
      </c>
      <c r="J77" s="28">
        <f>H77*10*(1+VLOOKUP(I77,技能效果!$B$2:$D$101,3,FALSE))</f>
        <v>29552.640000000003</v>
      </c>
      <c r="K77" s="28">
        <f>H77*10*(1+VLOOKUP(I77,技能效果!$B$2:$D$101,3,FALSE))*(1+G77)</f>
        <v>100781.13469107401</v>
      </c>
      <c r="L77" s="2">
        <f t="shared" si="19"/>
        <v>80</v>
      </c>
      <c r="M77" s="28">
        <f t="shared" si="20"/>
        <v>34815.560000000005</v>
      </c>
      <c r="N77" s="28">
        <f t="shared" si="21"/>
        <v>126567.98036090865</v>
      </c>
      <c r="O77" s="62">
        <f t="shared" si="17"/>
        <v>104648</v>
      </c>
      <c r="P77" s="62">
        <f t="shared" si="15"/>
        <v>29922</v>
      </c>
      <c r="Q77" s="64">
        <f t="shared" si="30"/>
        <v>6803</v>
      </c>
      <c r="R77" s="67">
        <v>1</v>
      </c>
      <c r="S77" s="67">
        <v>1</v>
      </c>
      <c r="T77" s="67">
        <v>1</v>
      </c>
      <c r="U77" s="67">
        <v>1</v>
      </c>
      <c r="V77" s="67">
        <v>1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64">
        <f>INDEX(角色属性!AM$8:AM$107,MATCH($D77,角色属性!$I$8:$I$107,0),1)</f>
        <v>109620</v>
      </c>
      <c r="AC77" s="64">
        <f>INDEX(角色属性!AN$8:AN$107,MATCH($D77,角色属性!$I$8:$I$107,0),1)</f>
        <v>10962</v>
      </c>
      <c r="AD77" s="64">
        <f>INDEX(角色属性!AO$8:AO$107,MATCH($D77,角色属性!$I$8:$I$107,0),1)</f>
        <v>5481</v>
      </c>
      <c r="AE77" s="64">
        <f>INDEX(角色属性!AP$8:AP$107,MATCH($D77,角色属性!$I$8:$I$107,0),1)</f>
        <v>4384.8</v>
      </c>
      <c r="AF77" s="64">
        <f>INDEX(角色属性!AQ$8:AQ$107,MATCH($D77,角色属性!$I$8:$I$107,0),1)</f>
        <v>4384.8</v>
      </c>
      <c r="AG77" s="64">
        <f>$P77/10/(1+VLOOKUP(I77,技能效果!$B$2:$D$101,3,FALSE))*怪物属性规划!A$18*INDEX(怪物属性等级系数!$A$2:$A$101,MATCH(D77,怪物属性等级系数!$D$2:$D$101,0),1)*R77+W77</f>
        <v>26934.901298151479</v>
      </c>
      <c r="AH77" s="64">
        <f>$P77/10/(1+VLOOKUP($I77,技能效果!$B$2:$D$101,3,FALSE))*怪物属性规划!B$18*S77+X77</f>
        <v>2527.1959459459454</v>
      </c>
      <c r="AI77" s="64">
        <f>$P77/10/(1+VLOOKUP($I77,技能效果!$B$2:$D$101,3,FALSE))*怪物属性规划!C$18*T77+Y77</f>
        <v>2527.1959459459454</v>
      </c>
      <c r="AJ77" s="64">
        <f>$P77/10/(1+VLOOKUP($I77,技能效果!$B$2:$D$101,3,FALSE))*怪物属性规划!D$18*U77+Z77</f>
        <v>2021.7567567567564</v>
      </c>
      <c r="AK77" s="64">
        <f>$P77/10/(1+VLOOKUP($I77,技能效果!$B$2:$D$101,3,FALSE))*怪物属性规划!E$18*V77+AA77</f>
        <v>2021.7567567567564</v>
      </c>
      <c r="AL77" s="67">
        <f>INDEX(角色属性!BB$8:BB$107,MATCH($D77,角色属性!$I$8:$I$107,0),1)</f>
        <v>1.4600000000000004</v>
      </c>
      <c r="AM77" s="64">
        <f>INDEX(角色属性!BC$8:BC$107,MATCH($D77,角色属性!$I$8:$I$107,0),1)</f>
        <v>4540</v>
      </c>
      <c r="AN77" s="64">
        <f>INDEX(角色属性!BD$8:BD$107,MATCH($D77,角色属性!$I$8:$I$107,0),1)</f>
        <v>1442</v>
      </c>
      <c r="AO77" s="69">
        <f t="shared" si="22"/>
        <v>0.56475470416773799</v>
      </c>
      <c r="AP77" s="69">
        <f t="shared" si="23"/>
        <v>0.89858086194905973</v>
      </c>
      <c r="AQ77" s="64">
        <f>AL77*角色属性!$BA$1*(AC77*(1-AO77)+MAX(AF77-AJ77,0))</f>
        <v>20831.870354376984</v>
      </c>
      <c r="AR77" s="64">
        <f>角色属性!$BA$1*(AH77*(1-AP77)+MAX(AK77-AE77,0))</f>
        <v>512.61206904733683</v>
      </c>
      <c r="AS77" s="73">
        <f t="shared" si="24"/>
        <v>0.71831447680762606</v>
      </c>
      <c r="AT77" s="73">
        <f t="shared" si="25"/>
        <v>0.47887631787175072</v>
      </c>
      <c r="AU77" s="73">
        <f t="shared" si="26"/>
        <v>0.35915723840381303</v>
      </c>
      <c r="AV77" s="73">
        <f t="shared" si="27"/>
        <v>213.84592095875374</v>
      </c>
      <c r="AW77" s="73">
        <f t="shared" si="28"/>
        <v>142.5639473058358</v>
      </c>
      <c r="AX77" s="2" t="str">
        <f t="shared" si="29"/>
        <v>r_guanqia_75</v>
      </c>
      <c r="AY77" s="2">
        <f>ROUND(($P77*R77/10/$H77/(1+VLOOKUP($I77,技能效果!$B$2:$D$101,3,FALSE))-1)*10000,0)</f>
        <v>125</v>
      </c>
      <c r="AZ77" s="2">
        <f>ROUND(($P77*S77/10/$H77/(1+VLOOKUP($I77,技能效果!$B$2:$D$101,3,FALSE))-1)*10000,0)</f>
        <v>125</v>
      </c>
      <c r="BA77" s="2">
        <f>ROUND(($P77*T77/10/$H77/(1+VLOOKUP($I77,技能效果!$B$2:$D$101,3,FALSE))-1)*10000,0)</f>
        <v>125</v>
      </c>
      <c r="BB77" s="2">
        <f>ROUND(($P77*U77/10/$H77/(1+VLOOKUP($I77,技能效果!$B$2:$D$101,3,FALSE))-1)*10000,0)</f>
        <v>125</v>
      </c>
      <c r="BC77" s="2">
        <f>ROUND(($P77*V77/10/$H77/(1+VLOOKUP($I77,技能效果!$B$2:$D$101,3,FALSE))-1)*10000,0)</f>
        <v>125</v>
      </c>
    </row>
    <row r="78" spans="2:55" x14ac:dyDescent="0.15">
      <c r="B78" s="83"/>
      <c r="C78" s="2">
        <v>76</v>
      </c>
      <c r="D78" s="2">
        <f t="shared" si="18"/>
        <v>47</v>
      </c>
      <c r="E78" s="2">
        <v>2</v>
      </c>
      <c r="F78" s="28">
        <f>INDEX([3]宠物属性!$AL$8:$AL$107,MATCH(D78,[3]宠物属性!$I$8:$I$107,0),1)</f>
        <v>78205.805168625127</v>
      </c>
      <c r="G78" s="68">
        <f>F78/INDEX(角色属性!$AI$8:$AI$107,MATCH(D78,角色属性!$I$8:$I$107,0),1)*E78</f>
        <v>2.4102244229643781</v>
      </c>
      <c r="H78" s="2">
        <f>INDEX(角色属性!$AL$8:$AL$107,MATCH(D78,角色属性!$I$8:$I$107,0),1)</f>
        <v>2496</v>
      </c>
      <c r="I78" s="2">
        <f>INDEX(角色属性!$Y$8:$Y$107,MATCH(D78,角色属性!$I$8:$I$107,0),1)</f>
        <v>47</v>
      </c>
      <c r="J78" s="28">
        <f>H78*10*(1+VLOOKUP(I78,技能效果!$B$2:$D$101,3,FALSE))</f>
        <v>29552.640000000003</v>
      </c>
      <c r="K78" s="28">
        <f>H78*10*(1+VLOOKUP(I78,技能效果!$B$2:$D$101,3,FALSE))*(1+G78)</f>
        <v>100781.13469107401</v>
      </c>
      <c r="L78" s="2">
        <f t="shared" si="19"/>
        <v>80</v>
      </c>
      <c r="M78" s="28">
        <f t="shared" si="20"/>
        <v>34815.560000000005</v>
      </c>
      <c r="N78" s="28">
        <f t="shared" si="21"/>
        <v>126567.98036090865</v>
      </c>
      <c r="O78" s="62">
        <f t="shared" ref="O78:O141" si="31">ROUND((N78-N68)*VLOOKUP(INT(RIGHT(C78,1)),$BF$4:$BH$13,3,FALSE)+N68,0)</f>
        <v>106160</v>
      </c>
      <c r="P78" s="62">
        <f t="shared" ref="P78:P141" si="32">ROUND((M78-M68)*VLOOKUP(INT(RIGHT(C78,1)),$BF$4:$BH$13,3,FALSE)+M68,0)</f>
        <v>30259</v>
      </c>
      <c r="Q78" s="64">
        <f t="shared" si="30"/>
        <v>1512</v>
      </c>
      <c r="R78" s="67">
        <v>1</v>
      </c>
      <c r="S78" s="67">
        <v>1</v>
      </c>
      <c r="T78" s="67">
        <v>1</v>
      </c>
      <c r="U78" s="67">
        <v>1</v>
      </c>
      <c r="V78" s="67">
        <v>1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64">
        <f>INDEX(角色属性!AM$8:AM$107,MATCH($D78,角色属性!$I$8:$I$107,0),1)</f>
        <v>109620</v>
      </c>
      <c r="AC78" s="64">
        <f>INDEX(角色属性!AN$8:AN$107,MATCH($D78,角色属性!$I$8:$I$107,0),1)</f>
        <v>10962</v>
      </c>
      <c r="AD78" s="64">
        <f>INDEX(角色属性!AO$8:AO$107,MATCH($D78,角色属性!$I$8:$I$107,0),1)</f>
        <v>5481</v>
      </c>
      <c r="AE78" s="64">
        <f>INDEX(角色属性!AP$8:AP$107,MATCH($D78,角色属性!$I$8:$I$107,0),1)</f>
        <v>4384.8</v>
      </c>
      <c r="AF78" s="64">
        <f>INDEX(角色属性!AQ$8:AQ$107,MATCH($D78,角色属性!$I$8:$I$107,0),1)</f>
        <v>4384.8</v>
      </c>
      <c r="AG78" s="64">
        <f>$P78/10/(1+VLOOKUP(I78,技能效果!$B$2:$D$101,3,FALSE))*怪物属性规划!A$18*INDEX(怪物属性等级系数!$A$2:$A$101,MATCH(D78,怪物属性等级系数!$D$2:$D$101,0),1)*R78+W78</f>
        <v>27238.258752114354</v>
      </c>
      <c r="AH78" s="64">
        <f>$P78/10/(1+VLOOKUP($I78,技能效果!$B$2:$D$101,3,FALSE))*怪物属性规划!B$18*S78+X78</f>
        <v>2555.6587837837833</v>
      </c>
      <c r="AI78" s="64">
        <f>$P78/10/(1+VLOOKUP($I78,技能效果!$B$2:$D$101,3,FALSE))*怪物属性规划!C$18*T78+Y78</f>
        <v>2555.6587837837833</v>
      </c>
      <c r="AJ78" s="64">
        <f>$P78/10/(1+VLOOKUP($I78,技能效果!$B$2:$D$101,3,FALSE))*怪物属性规划!D$18*U78+Z78</f>
        <v>2044.5270270270266</v>
      </c>
      <c r="AK78" s="64">
        <f>$P78/10/(1+VLOOKUP($I78,技能效果!$B$2:$D$101,3,FALSE))*怪物属性规划!E$18*V78+AA78</f>
        <v>2044.5270270270266</v>
      </c>
      <c r="AL78" s="67">
        <f>INDEX(角色属性!BB$8:BB$107,MATCH($D78,角色属性!$I$8:$I$107,0),1)</f>
        <v>1.4600000000000004</v>
      </c>
      <c r="AM78" s="64">
        <f>INDEX(角色属性!BC$8:BC$107,MATCH($D78,角色属性!$I$8:$I$107,0),1)</f>
        <v>4540</v>
      </c>
      <c r="AN78" s="64">
        <f>INDEX(角色属性!BD$8:BD$107,MATCH($D78,角色属性!$I$8:$I$107,0),1)</f>
        <v>1442</v>
      </c>
      <c r="AO78" s="69">
        <f t="shared" si="22"/>
        <v>0.5675056345081716</v>
      </c>
      <c r="AP78" s="69">
        <f t="shared" si="23"/>
        <v>0.89858086194905973</v>
      </c>
      <c r="AQ78" s="64">
        <f>AL78*角色属性!$BA$1*(AC78*(1-AO78)+MAX(AF78-AJ78,0))</f>
        <v>20677.326525883644</v>
      </c>
      <c r="AR78" s="64">
        <f>角色属性!$BA$1*(AH78*(1-AP78)+MAX(AK78-AE78,0))</f>
        <v>518.38542200733127</v>
      </c>
      <c r="AS78" s="73">
        <f t="shared" si="24"/>
        <v>0.73183377717880205</v>
      </c>
      <c r="AT78" s="73">
        <f t="shared" si="25"/>
        <v>0.48788918478586807</v>
      </c>
      <c r="AU78" s="73">
        <f t="shared" si="26"/>
        <v>0.36591688858940102</v>
      </c>
      <c r="AV78" s="73">
        <f t="shared" si="27"/>
        <v>211.4642799473819</v>
      </c>
      <c r="AW78" s="73">
        <f t="shared" si="28"/>
        <v>140.97618663158792</v>
      </c>
      <c r="AX78" s="2" t="str">
        <f t="shared" si="29"/>
        <v>r_guanqia_76</v>
      </c>
      <c r="AY78" s="2">
        <f>ROUND(($P78*R78/10/$H78/(1+VLOOKUP($I78,技能效果!$B$2:$D$101,3,FALSE))-1)*10000,0)</f>
        <v>239</v>
      </c>
      <c r="AZ78" s="2">
        <f>ROUND(($P78*S78/10/$H78/(1+VLOOKUP($I78,技能效果!$B$2:$D$101,3,FALSE))-1)*10000,0)</f>
        <v>239</v>
      </c>
      <c r="BA78" s="2">
        <f>ROUND(($P78*T78/10/$H78/(1+VLOOKUP($I78,技能效果!$B$2:$D$101,3,FALSE))-1)*10000,0)</f>
        <v>239</v>
      </c>
      <c r="BB78" s="2">
        <f>ROUND(($P78*U78/10/$H78/(1+VLOOKUP($I78,技能效果!$B$2:$D$101,3,FALSE))-1)*10000,0)</f>
        <v>239</v>
      </c>
      <c r="BC78" s="2">
        <f>ROUND(($P78*V78/10/$H78/(1+VLOOKUP($I78,技能效果!$B$2:$D$101,3,FALSE))-1)*10000,0)</f>
        <v>239</v>
      </c>
    </row>
    <row r="79" spans="2:55" x14ac:dyDescent="0.15">
      <c r="B79" s="83"/>
      <c r="C79" s="2">
        <v>77</v>
      </c>
      <c r="D79" s="2">
        <f t="shared" si="18"/>
        <v>47</v>
      </c>
      <c r="E79" s="2">
        <v>2</v>
      </c>
      <c r="F79" s="28">
        <f>INDEX([3]宠物属性!$AL$8:$AL$107,MATCH(D79,[3]宠物属性!$I$8:$I$107,0),1)</f>
        <v>78205.805168625127</v>
      </c>
      <c r="G79" s="68">
        <f>F79/INDEX(角色属性!$AI$8:$AI$107,MATCH(D79,角色属性!$I$8:$I$107,0),1)*E79</f>
        <v>2.4102244229643781</v>
      </c>
      <c r="H79" s="2">
        <f>INDEX(角色属性!$AL$8:$AL$107,MATCH(D79,角色属性!$I$8:$I$107,0),1)</f>
        <v>2496</v>
      </c>
      <c r="I79" s="2">
        <f>INDEX(角色属性!$Y$8:$Y$107,MATCH(D79,角色属性!$I$8:$I$107,0),1)</f>
        <v>47</v>
      </c>
      <c r="J79" s="28">
        <f>H79*10*(1+VLOOKUP(I79,技能效果!$B$2:$D$101,3,FALSE))</f>
        <v>29552.640000000003</v>
      </c>
      <c r="K79" s="28">
        <f>H79*10*(1+VLOOKUP(I79,技能效果!$B$2:$D$101,3,FALSE))*(1+G79)</f>
        <v>100781.13469107401</v>
      </c>
      <c r="L79" s="2">
        <f t="shared" si="19"/>
        <v>80</v>
      </c>
      <c r="M79" s="28">
        <f t="shared" si="20"/>
        <v>34815.560000000005</v>
      </c>
      <c r="N79" s="28">
        <f t="shared" si="21"/>
        <v>126567.98036090865</v>
      </c>
      <c r="O79" s="62">
        <f t="shared" si="31"/>
        <v>108427</v>
      </c>
      <c r="P79" s="62">
        <f t="shared" si="32"/>
        <v>30765</v>
      </c>
      <c r="Q79" s="64">
        <f t="shared" si="30"/>
        <v>2267</v>
      </c>
      <c r="R79" s="67">
        <v>1</v>
      </c>
      <c r="S79" s="67">
        <v>1</v>
      </c>
      <c r="T79" s="67">
        <v>1</v>
      </c>
      <c r="U79" s="67">
        <v>1</v>
      </c>
      <c r="V79" s="67">
        <v>1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64">
        <f>INDEX(角色属性!AM$8:AM$107,MATCH($D79,角色属性!$I$8:$I$107,0),1)</f>
        <v>109620</v>
      </c>
      <c r="AC79" s="64">
        <f>INDEX(角色属性!AN$8:AN$107,MATCH($D79,角色属性!$I$8:$I$107,0),1)</f>
        <v>10962</v>
      </c>
      <c r="AD79" s="64">
        <f>INDEX(角色属性!AO$8:AO$107,MATCH($D79,角色属性!$I$8:$I$107,0),1)</f>
        <v>5481</v>
      </c>
      <c r="AE79" s="64">
        <f>INDEX(角色属性!AP$8:AP$107,MATCH($D79,角色属性!$I$8:$I$107,0),1)</f>
        <v>4384.8</v>
      </c>
      <c r="AF79" s="64">
        <f>INDEX(角色属性!AQ$8:AQ$107,MATCH($D79,角色属性!$I$8:$I$107,0),1)</f>
        <v>4384.8</v>
      </c>
      <c r="AG79" s="64">
        <f>$P79/10/(1+VLOOKUP(I79,技能效果!$B$2:$D$101,3,FALSE))*怪物属性规划!A$18*INDEX(怪物属性等级系数!$A$2:$A$101,MATCH(D79,怪物属性等级系数!$D$2:$D$101,0),1)*R79+W79</f>
        <v>27693.745018301932</v>
      </c>
      <c r="AH79" s="64">
        <f>$P79/10/(1+VLOOKUP($I79,技能效果!$B$2:$D$101,3,FALSE))*怪物属性规划!B$18*S79+X79</f>
        <v>2598.39527027027</v>
      </c>
      <c r="AI79" s="64">
        <f>$P79/10/(1+VLOOKUP($I79,技能效果!$B$2:$D$101,3,FALSE))*怪物属性规划!C$18*T79+Y79</f>
        <v>2598.39527027027</v>
      </c>
      <c r="AJ79" s="64">
        <f>$P79/10/(1+VLOOKUP($I79,技能效果!$B$2:$D$101,3,FALSE))*怪物属性规划!D$18*U79+Z79</f>
        <v>2078.7162162162163</v>
      </c>
      <c r="AK79" s="64">
        <f>$P79/10/(1+VLOOKUP($I79,技能效果!$B$2:$D$101,3,FALSE))*怪物属性规划!E$18*V79+AA79</f>
        <v>2078.7162162162163</v>
      </c>
      <c r="AL79" s="67">
        <f>INDEX(角色属性!BB$8:BB$107,MATCH($D79,角色属性!$I$8:$I$107,0),1)</f>
        <v>1.4600000000000004</v>
      </c>
      <c r="AM79" s="64">
        <f>INDEX(角色属性!BC$8:BC$107,MATCH($D79,角色属性!$I$8:$I$107,0),1)</f>
        <v>4540</v>
      </c>
      <c r="AN79" s="64">
        <f>INDEX(角色属性!BD$8:BD$107,MATCH($D79,角色属性!$I$8:$I$107,0),1)</f>
        <v>1442</v>
      </c>
      <c r="AO79" s="69">
        <f t="shared" si="22"/>
        <v>0.57157142088943225</v>
      </c>
      <c r="AP79" s="69">
        <f t="shared" si="23"/>
        <v>0.89858086194905973</v>
      </c>
      <c r="AQ79" s="64">
        <f>AL79*角色属性!$BA$1*(AC79*(1-AO79)+MAX(AF79-AJ79,0))</f>
        <v>20447.352174541982</v>
      </c>
      <c r="AR79" s="64">
        <f>角色属性!$BA$1*(AH79*(1-AP79)+MAX(AK79-AE79,0))</f>
        <v>527.05401725290153</v>
      </c>
      <c r="AS79" s="73">
        <f t="shared" si="24"/>
        <v>0.75244040244057964</v>
      </c>
      <c r="AT79" s="73">
        <f t="shared" si="25"/>
        <v>0.50162693496038646</v>
      </c>
      <c r="AU79" s="73">
        <f t="shared" si="26"/>
        <v>0.37622020122028982</v>
      </c>
      <c r="AV79" s="73">
        <f t="shared" si="27"/>
        <v>207.98627163750459</v>
      </c>
      <c r="AW79" s="73">
        <f t="shared" si="28"/>
        <v>138.65751442500306</v>
      </c>
      <c r="AX79" s="2" t="str">
        <f t="shared" si="29"/>
        <v>r_guanqia_77</v>
      </c>
      <c r="AY79" s="2">
        <f>ROUND(($P79*R79/10/$H79/(1+VLOOKUP($I79,技能效果!$B$2:$D$101,3,FALSE))-1)*10000,0)</f>
        <v>410</v>
      </c>
      <c r="AZ79" s="2">
        <f>ROUND(($P79*S79/10/$H79/(1+VLOOKUP($I79,技能效果!$B$2:$D$101,3,FALSE))-1)*10000,0)</f>
        <v>410</v>
      </c>
      <c r="BA79" s="2">
        <f>ROUND(($P79*T79/10/$H79/(1+VLOOKUP($I79,技能效果!$B$2:$D$101,3,FALSE))-1)*10000,0)</f>
        <v>410</v>
      </c>
      <c r="BB79" s="2">
        <f>ROUND(($P79*U79/10/$H79/(1+VLOOKUP($I79,技能效果!$B$2:$D$101,3,FALSE))-1)*10000,0)</f>
        <v>410</v>
      </c>
      <c r="BC79" s="2">
        <f>ROUND(($P79*V79/10/$H79/(1+VLOOKUP($I79,技能效果!$B$2:$D$101,3,FALSE))-1)*10000,0)</f>
        <v>410</v>
      </c>
    </row>
    <row r="80" spans="2:55" x14ac:dyDescent="0.15">
      <c r="B80" s="83"/>
      <c r="C80" s="2">
        <v>78</v>
      </c>
      <c r="D80" s="2">
        <f t="shared" si="18"/>
        <v>48</v>
      </c>
      <c r="E80" s="2">
        <v>2</v>
      </c>
      <c r="F80" s="28">
        <f>INDEX([3]宠物属性!$AL$8:$AL$107,MATCH(D80,[3]宠物属性!$I$8:$I$107,0),1)</f>
        <v>79267.145331966109</v>
      </c>
      <c r="G80" s="68">
        <f>F80/INDEX(角色属性!$AI$8:$AI$107,MATCH(D80,角色属性!$I$8:$I$107,0),1)*E80</f>
        <v>2.4009782765875771</v>
      </c>
      <c r="H80" s="2">
        <f>INDEX(角色属性!$AL$8:$AL$107,MATCH(D80,角色属性!$I$8:$I$107,0),1)</f>
        <v>2629</v>
      </c>
      <c r="I80" s="2">
        <f>INDEX(角色属性!$Y$8:$Y$107,MATCH(D80,角色属性!$I$8:$I$107,0),1)</f>
        <v>48</v>
      </c>
      <c r="J80" s="28">
        <f>H80*10*(1+VLOOKUP(I80,技能效果!$B$2:$D$101,3,FALSE))</f>
        <v>31232.520000000004</v>
      </c>
      <c r="K80" s="28">
        <f>H80*10*(1+VLOOKUP(I80,技能效果!$B$2:$D$101,3,FALSE))*(1+G80)</f>
        <v>106221.12204308705</v>
      </c>
      <c r="L80" s="2">
        <f t="shared" si="19"/>
        <v>80</v>
      </c>
      <c r="M80" s="28">
        <f t="shared" si="20"/>
        <v>34815.560000000005</v>
      </c>
      <c r="N80" s="28">
        <f t="shared" si="21"/>
        <v>126567.98036090865</v>
      </c>
      <c r="O80" s="62">
        <f t="shared" si="31"/>
        <v>111451</v>
      </c>
      <c r="P80" s="62">
        <f t="shared" si="32"/>
        <v>31440</v>
      </c>
      <c r="Q80" s="64">
        <f t="shared" si="30"/>
        <v>3024</v>
      </c>
      <c r="R80" s="67">
        <v>1</v>
      </c>
      <c r="S80" s="67">
        <v>1</v>
      </c>
      <c r="T80" s="67">
        <v>1</v>
      </c>
      <c r="U80" s="67">
        <v>1</v>
      </c>
      <c r="V80" s="67">
        <v>1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64">
        <f>INDEX(角色属性!AM$8:AM$107,MATCH($D80,角色属性!$I$8:$I$107,0),1)</f>
        <v>111159.99999999999</v>
      </c>
      <c r="AC80" s="64">
        <f>INDEX(角色属性!AN$8:AN$107,MATCH($D80,角色属性!$I$8:$I$107,0),1)</f>
        <v>11116</v>
      </c>
      <c r="AD80" s="64">
        <f>INDEX(角色属性!AO$8:AO$107,MATCH($D80,角色属性!$I$8:$I$107,0),1)</f>
        <v>5558</v>
      </c>
      <c r="AE80" s="64">
        <f>INDEX(角色属性!AP$8:AP$107,MATCH($D80,角色属性!$I$8:$I$107,0),1)</f>
        <v>4446.3999999999996</v>
      </c>
      <c r="AF80" s="64">
        <f>INDEX(角色属性!AQ$8:AQ$107,MATCH($D80,角色属性!$I$8:$I$107,0),1)</f>
        <v>4446.3999999999996</v>
      </c>
      <c r="AG80" s="64">
        <f>$P80/10/(1+VLOOKUP(I80,技能效果!$B$2:$D$101,3,FALSE))*怪物属性规划!A$18*INDEX(怪物属性等级系数!$A$2:$A$101,MATCH(D80,怪物属性等级系数!$D$2:$D$101,0),1)*R80+W80</f>
        <v>28590.779385530463</v>
      </c>
      <c r="AH80" s="64">
        <f>$P80/10/(1+VLOOKUP($I80,技能效果!$B$2:$D$101,3,FALSE))*怪物属性规划!B$18*S80+X80</f>
        <v>2646.4646464646462</v>
      </c>
      <c r="AI80" s="64">
        <f>$P80/10/(1+VLOOKUP($I80,技能效果!$B$2:$D$101,3,FALSE))*怪物属性规划!C$18*T80+Y80</f>
        <v>2646.4646464646462</v>
      </c>
      <c r="AJ80" s="64">
        <f>$P80/10/(1+VLOOKUP($I80,技能效果!$B$2:$D$101,3,FALSE))*怪物属性规划!D$18*U80+Z80</f>
        <v>2117.1717171717169</v>
      </c>
      <c r="AK80" s="64">
        <f>$P80/10/(1+VLOOKUP($I80,技能效果!$B$2:$D$101,3,FALSE))*怪物属性规划!E$18*V80+AA80</f>
        <v>2117.1717171717169</v>
      </c>
      <c r="AL80" s="67">
        <f>INDEX(角色属性!BB$8:BB$107,MATCH($D80,角色属性!$I$8:$I$107,0),1)</f>
        <v>1.4700000000000004</v>
      </c>
      <c r="AM80" s="64">
        <f>INDEX(角色属性!BC$8:BC$107,MATCH($D80,角色属性!$I$8:$I$107,0),1)</f>
        <v>4841</v>
      </c>
      <c r="AN80" s="64">
        <f>INDEX(角色属性!BD$8:BD$107,MATCH($D80,角色属性!$I$8:$I$107,0),1)</f>
        <v>1465</v>
      </c>
      <c r="AO80" s="69">
        <f t="shared" si="22"/>
        <v>0.56030542599496524</v>
      </c>
      <c r="AP80" s="69">
        <f t="shared" si="23"/>
        <v>0.89841000180231589</v>
      </c>
      <c r="AQ80" s="64">
        <f>AL80*角色属性!$BA$1*(AC80*(1-AO80)+MAX(AF80-AJ80,0))</f>
        <v>21217.607112356658</v>
      </c>
      <c r="AR80" s="64">
        <f>角色属性!$BA$1*(AH80*(1-AP80)+MAX(AK80-AE80,0))</f>
        <v>537.70867732915622</v>
      </c>
      <c r="AS80" s="73">
        <f t="shared" si="24"/>
        <v>0.74861251983709087</v>
      </c>
      <c r="AT80" s="73">
        <f t="shared" si="25"/>
        <v>0.49907501322472725</v>
      </c>
      <c r="AU80" s="73">
        <f t="shared" si="26"/>
        <v>0.37430625991854544</v>
      </c>
      <c r="AV80" s="73">
        <f t="shared" si="27"/>
        <v>206.72904248475393</v>
      </c>
      <c r="AW80" s="73">
        <f t="shared" si="28"/>
        <v>137.81936165650262</v>
      </c>
      <c r="AX80" s="2" t="str">
        <f t="shared" si="29"/>
        <v>r_guanqia_78</v>
      </c>
      <c r="AY80" s="2">
        <f>ROUND(($P80*R80/10/$H80/(1+VLOOKUP($I80,技能效果!$B$2:$D$101,3,FALSE))-1)*10000,0)</f>
        <v>66</v>
      </c>
      <c r="AZ80" s="2">
        <f>ROUND(($P80*S80/10/$H80/(1+VLOOKUP($I80,技能效果!$B$2:$D$101,3,FALSE))-1)*10000,0)</f>
        <v>66</v>
      </c>
      <c r="BA80" s="2">
        <f>ROUND(($P80*T80/10/$H80/(1+VLOOKUP($I80,技能效果!$B$2:$D$101,3,FALSE))-1)*10000,0)</f>
        <v>66</v>
      </c>
      <c r="BB80" s="2">
        <f>ROUND(($P80*U80/10/$H80/(1+VLOOKUP($I80,技能效果!$B$2:$D$101,3,FALSE))-1)*10000,0)</f>
        <v>66</v>
      </c>
      <c r="BC80" s="2">
        <f>ROUND(($P80*V80/10/$H80/(1+VLOOKUP($I80,技能效果!$B$2:$D$101,3,FALSE))-1)*10000,0)</f>
        <v>66</v>
      </c>
    </row>
    <row r="81" spans="2:55" x14ac:dyDescent="0.15">
      <c r="B81" s="83"/>
      <c r="C81" s="2">
        <v>79</v>
      </c>
      <c r="D81" s="2">
        <f t="shared" si="18"/>
        <v>48</v>
      </c>
      <c r="E81" s="2">
        <v>2</v>
      </c>
      <c r="F81" s="28">
        <f>INDEX([3]宠物属性!$AL$8:$AL$107,MATCH(D81,[3]宠物属性!$I$8:$I$107,0),1)</f>
        <v>79267.145331966109</v>
      </c>
      <c r="G81" s="68">
        <f>F81/INDEX(角色属性!$AI$8:$AI$107,MATCH(D81,角色属性!$I$8:$I$107,0),1)*E81</f>
        <v>2.4009782765875771</v>
      </c>
      <c r="H81" s="2">
        <f>INDEX(角色属性!$AL$8:$AL$107,MATCH(D81,角色属性!$I$8:$I$107,0),1)</f>
        <v>2629</v>
      </c>
      <c r="I81" s="2">
        <f>INDEX(角色属性!$Y$8:$Y$107,MATCH(D81,角色属性!$I$8:$I$107,0),1)</f>
        <v>48</v>
      </c>
      <c r="J81" s="28">
        <f>H81*10*(1+VLOOKUP(I81,技能效果!$B$2:$D$101,3,FALSE))</f>
        <v>31232.520000000004</v>
      </c>
      <c r="K81" s="28">
        <f>H81*10*(1+VLOOKUP(I81,技能效果!$B$2:$D$101,3,FALSE))*(1+G81)</f>
        <v>106221.12204308705</v>
      </c>
      <c r="L81" s="2">
        <f t="shared" si="19"/>
        <v>80</v>
      </c>
      <c r="M81" s="28">
        <f t="shared" si="20"/>
        <v>34815.560000000005</v>
      </c>
      <c r="N81" s="28">
        <f t="shared" si="21"/>
        <v>126567.98036090865</v>
      </c>
      <c r="O81" s="62">
        <f t="shared" si="31"/>
        <v>115230</v>
      </c>
      <c r="P81" s="62">
        <f t="shared" si="32"/>
        <v>32284</v>
      </c>
      <c r="Q81" s="64">
        <f t="shared" si="30"/>
        <v>3779</v>
      </c>
      <c r="R81" s="67">
        <v>1</v>
      </c>
      <c r="S81" s="67">
        <v>1</v>
      </c>
      <c r="T81" s="67">
        <v>1</v>
      </c>
      <c r="U81" s="67">
        <v>1</v>
      </c>
      <c r="V81" s="67">
        <v>1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64">
        <f>INDEX(角色属性!AM$8:AM$107,MATCH($D81,角色属性!$I$8:$I$107,0),1)</f>
        <v>111159.99999999999</v>
      </c>
      <c r="AC81" s="64">
        <f>INDEX(角色属性!AN$8:AN$107,MATCH($D81,角色属性!$I$8:$I$107,0),1)</f>
        <v>11116</v>
      </c>
      <c r="AD81" s="64">
        <f>INDEX(角色属性!AO$8:AO$107,MATCH($D81,角色属性!$I$8:$I$107,0),1)</f>
        <v>5558</v>
      </c>
      <c r="AE81" s="64">
        <f>INDEX(角色属性!AP$8:AP$107,MATCH($D81,角色属性!$I$8:$I$107,0),1)</f>
        <v>4446.3999999999996</v>
      </c>
      <c r="AF81" s="64">
        <f>INDEX(角色属性!AQ$8:AQ$107,MATCH($D81,角色属性!$I$8:$I$107,0),1)</f>
        <v>4446.3999999999996</v>
      </c>
      <c r="AG81" s="64">
        <f>$P81/10/(1+VLOOKUP(I81,技能效果!$B$2:$D$101,3,FALSE))*怪物属性规划!A$18*INDEX(怪物属性等级系数!$A$2:$A$101,MATCH(D81,怪物属性等级系数!$D$2:$D$101,0),1)*R81+W81</f>
        <v>29358.29267437867</v>
      </c>
      <c r="AH81" s="64">
        <f>$P81/10/(1+VLOOKUP($I81,技能效果!$B$2:$D$101,3,FALSE))*怪物属性规划!B$18*S81+X81</f>
        <v>2717.5084175084171</v>
      </c>
      <c r="AI81" s="64">
        <f>$P81/10/(1+VLOOKUP($I81,技能效果!$B$2:$D$101,3,FALSE))*怪物属性规划!C$18*T81+Y81</f>
        <v>2717.5084175084171</v>
      </c>
      <c r="AJ81" s="64">
        <f>$P81/10/(1+VLOOKUP($I81,技能效果!$B$2:$D$101,3,FALSE))*怪物属性规划!D$18*U81+Z81</f>
        <v>2174.006734006734</v>
      </c>
      <c r="AK81" s="64">
        <f>$P81/10/(1+VLOOKUP($I81,技能效果!$B$2:$D$101,3,FALSE))*怪物属性规划!E$18*V81+AA81</f>
        <v>2174.006734006734</v>
      </c>
      <c r="AL81" s="67">
        <f>INDEX(角色属性!BB$8:BB$107,MATCH($D81,角色属性!$I$8:$I$107,0),1)</f>
        <v>1.4700000000000004</v>
      </c>
      <c r="AM81" s="64">
        <f>INDEX(角色属性!BC$8:BC$107,MATCH($D81,角色属性!$I$8:$I$107,0),1)</f>
        <v>4841</v>
      </c>
      <c r="AN81" s="64">
        <f>INDEX(角色属性!BD$8:BD$107,MATCH($D81,角色属性!$I$8:$I$107,0),1)</f>
        <v>1465</v>
      </c>
      <c r="AO81" s="69">
        <f t="shared" si="22"/>
        <v>0.56682099186927348</v>
      </c>
      <c r="AP81" s="69">
        <f t="shared" si="23"/>
        <v>0.89841000180231589</v>
      </c>
      <c r="AQ81" s="64">
        <f>AL81*角色属性!$BA$1*(AC81*(1-AO81)+MAX(AF81-AJ81,0))</f>
        <v>20837.576693900806</v>
      </c>
      <c r="AR81" s="64">
        <f>角色属性!$BA$1*(AH81*(1-AP81)+MAX(AK81-AE81,0))</f>
        <v>552.143350473743</v>
      </c>
      <c r="AS81" s="73">
        <f t="shared" si="24"/>
        <v>0.78272837751095359</v>
      </c>
      <c r="AT81" s="73">
        <f t="shared" si="25"/>
        <v>0.52181891834063576</v>
      </c>
      <c r="AU81" s="73">
        <f t="shared" si="26"/>
        <v>0.39136418875547679</v>
      </c>
      <c r="AV81" s="73">
        <f t="shared" si="27"/>
        <v>201.32452904598762</v>
      </c>
      <c r="AW81" s="73">
        <f t="shared" si="28"/>
        <v>134.21635269732505</v>
      </c>
      <c r="AX81" s="2" t="str">
        <f t="shared" si="29"/>
        <v>r_guanqia_79</v>
      </c>
      <c r="AY81" s="2">
        <f>ROUND(($P81*R81/10/$H81/(1+VLOOKUP($I81,技能效果!$B$2:$D$101,3,FALSE))-1)*10000,0)</f>
        <v>337</v>
      </c>
      <c r="AZ81" s="2">
        <f>ROUND(($P81*S81/10/$H81/(1+VLOOKUP($I81,技能效果!$B$2:$D$101,3,FALSE))-1)*10000,0)</f>
        <v>337</v>
      </c>
      <c r="BA81" s="2">
        <f>ROUND(($P81*T81/10/$H81/(1+VLOOKUP($I81,技能效果!$B$2:$D$101,3,FALSE))-1)*10000,0)</f>
        <v>337</v>
      </c>
      <c r="BB81" s="2">
        <f>ROUND(($P81*U81/10/$H81/(1+VLOOKUP($I81,技能效果!$B$2:$D$101,3,FALSE))-1)*10000,0)</f>
        <v>337</v>
      </c>
      <c r="BC81" s="2">
        <f>ROUND(($P81*V81/10/$H81/(1+VLOOKUP($I81,技能效果!$B$2:$D$101,3,FALSE))-1)*10000,0)</f>
        <v>337</v>
      </c>
    </row>
    <row r="82" spans="2:55" x14ac:dyDescent="0.15">
      <c r="B82" s="83"/>
      <c r="C82" s="2">
        <v>80</v>
      </c>
      <c r="D82" s="2">
        <f t="shared" si="18"/>
        <v>50</v>
      </c>
      <c r="E82" s="2">
        <v>2</v>
      </c>
      <c r="F82" s="28">
        <f>INDEX([3]宠物属性!$AL$8:$AL$107,MATCH(D82,[3]宠物属性!$I$8:$I$107,0),1)</f>
        <v>118118.23954053766</v>
      </c>
      <c r="G82" s="68">
        <f>F82/INDEX(角色属性!$AI$8:$AI$107,MATCH(D82,角色属性!$I$8:$I$107,0),1)*E82</f>
        <v>2.6353854529672547</v>
      </c>
      <c r="H82" s="2">
        <f>INDEX(角色属性!$AL$8:$AL$107,MATCH(D82,角色属性!$I$8:$I$107,0),1)</f>
        <v>2911</v>
      </c>
      <c r="I82" s="2">
        <f>INDEX(角色属性!$Y$8:$Y$107,MATCH(D82,角色属性!$I$8:$I$107,0),1)</f>
        <v>50</v>
      </c>
      <c r="J82" s="28">
        <f>H82*10*(1+VLOOKUP(I82,技能效果!$B$2:$D$101,3,FALSE))</f>
        <v>34815.560000000005</v>
      </c>
      <c r="K82" s="28">
        <f>H82*10*(1+VLOOKUP(I82,技能效果!$B$2:$D$101,3,FALSE))*(1+G82)</f>
        <v>126567.98036090865</v>
      </c>
      <c r="L82" s="2">
        <f t="shared" si="19"/>
        <v>80</v>
      </c>
      <c r="M82" s="28">
        <f t="shared" si="20"/>
        <v>34815.560000000005</v>
      </c>
      <c r="N82" s="28">
        <f t="shared" si="21"/>
        <v>126567.98036090865</v>
      </c>
      <c r="O82" s="62">
        <f t="shared" si="31"/>
        <v>126568</v>
      </c>
      <c r="P82" s="62">
        <f t="shared" si="32"/>
        <v>34816</v>
      </c>
      <c r="Q82" s="64">
        <f t="shared" si="30"/>
        <v>11338</v>
      </c>
      <c r="R82" s="67">
        <v>1</v>
      </c>
      <c r="S82" s="67">
        <v>1</v>
      </c>
      <c r="T82" s="67">
        <v>1</v>
      </c>
      <c r="U82" s="67">
        <v>1</v>
      </c>
      <c r="V82" s="67">
        <v>1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64">
        <f>INDEX(角色属性!AM$8:AM$107,MATCH($D82,角色属性!$I$8:$I$107,0),1)</f>
        <v>149900</v>
      </c>
      <c r="AC82" s="64">
        <f>INDEX(角色属性!AN$8:AN$107,MATCH($D82,角色属性!$I$8:$I$107,0),1)</f>
        <v>14990</v>
      </c>
      <c r="AD82" s="64">
        <f>INDEX(角色属性!AO$8:AO$107,MATCH($D82,角色属性!$I$8:$I$107,0),1)</f>
        <v>7495</v>
      </c>
      <c r="AE82" s="64">
        <f>INDEX(角色属性!AP$8:AP$107,MATCH($D82,角色属性!$I$8:$I$107,0),1)</f>
        <v>5996</v>
      </c>
      <c r="AF82" s="64">
        <f>INDEX(角色属性!AQ$8:AQ$107,MATCH($D82,角色属性!$I$8:$I$107,0),1)</f>
        <v>5996</v>
      </c>
      <c r="AG82" s="64">
        <f>$P82/10/(1+VLOOKUP(I82,技能效果!$B$2:$D$101,3,FALSE))*怪物属性规划!A$18*INDEX(怪物属性等级系数!$A$2:$A$101,MATCH(D82,怪物属性等级系数!$D$2:$D$101,0),1)*R82+W82</f>
        <v>32316.658500854955</v>
      </c>
      <c r="AH82" s="64">
        <f>$P82/10/(1+VLOOKUP($I82,技能效果!$B$2:$D$101,3,FALSE))*怪物属性规划!B$18*S82+X82</f>
        <v>2911.0367892976583</v>
      </c>
      <c r="AI82" s="64">
        <f>$P82/10/(1+VLOOKUP($I82,技能效果!$B$2:$D$101,3,FALSE))*怪物属性规划!C$18*T82+Y82</f>
        <v>2911.0367892976583</v>
      </c>
      <c r="AJ82" s="64">
        <f>$P82/10/(1+VLOOKUP($I82,技能效果!$B$2:$D$101,3,FALSE))*怪物属性规划!D$18*U82+Z82</f>
        <v>2328.8294314381269</v>
      </c>
      <c r="AK82" s="64">
        <f>$P82/10/(1+VLOOKUP($I82,技能效果!$B$2:$D$101,3,FALSE))*怪物属性规划!E$18*V82+AA82</f>
        <v>2328.8294314381269</v>
      </c>
      <c r="AL82" s="67">
        <f>INDEX(角色属性!BB$8:BB$107,MATCH($D82,角色属性!$I$8:$I$107,0),1)</f>
        <v>1.4900000000000004</v>
      </c>
      <c r="AM82" s="64">
        <f>INDEX(角色属性!BC$8:BC$107,MATCH($D82,角色属性!$I$8:$I$107,0),1)</f>
        <v>5492</v>
      </c>
      <c r="AN82" s="64">
        <f>INDEX(角色属性!BD$8:BD$107,MATCH($D82,角色属性!$I$8:$I$107,0),1)</f>
        <v>1639</v>
      </c>
      <c r="AO82" s="69">
        <f t="shared" si="22"/>
        <v>0.55268252783059402</v>
      </c>
      <c r="AP82" s="69">
        <f t="shared" si="23"/>
        <v>0.91423276842002166</v>
      </c>
      <c r="AQ82" s="64">
        <f>AL82*角色属性!$BA$1*(AC82*(1-AO82)+MAX(AF82-AJ82,0))</f>
        <v>30909.929239616191</v>
      </c>
      <c r="AR82" s="64">
        <f>角色属性!$BA$1*(AH82*(1-AP82)+MAX(AK82-AE82,0))</f>
        <v>499.34313289105773</v>
      </c>
      <c r="AS82" s="73">
        <f t="shared" si="24"/>
        <v>0.58083921926715387</v>
      </c>
      <c r="AT82" s="73">
        <f t="shared" si="25"/>
        <v>0.38722614617810264</v>
      </c>
      <c r="AU82" s="73">
        <f t="shared" si="26"/>
        <v>0.29041960963357694</v>
      </c>
      <c r="AV82" s="73">
        <f t="shared" si="27"/>
        <v>300.19437562327278</v>
      </c>
      <c r="AW82" s="73">
        <f t="shared" si="28"/>
        <v>200.12958374884855</v>
      </c>
      <c r="AX82" s="2" t="str">
        <f t="shared" si="29"/>
        <v>r_guanqia_80</v>
      </c>
      <c r="AY82" s="2">
        <f>ROUND(($P82*R82/10/$H82/(1+VLOOKUP($I82,技能效果!$B$2:$D$101,3,FALSE))-1)*10000,0)</f>
        <v>0</v>
      </c>
      <c r="AZ82" s="2">
        <f>ROUND(($P82*S82/10/$H82/(1+VLOOKUP($I82,技能效果!$B$2:$D$101,3,FALSE))-1)*10000,0)</f>
        <v>0</v>
      </c>
      <c r="BA82" s="2">
        <f>ROUND(($P82*T82/10/$H82/(1+VLOOKUP($I82,技能效果!$B$2:$D$101,3,FALSE))-1)*10000,0)</f>
        <v>0</v>
      </c>
      <c r="BB82" s="2">
        <f>ROUND(($P82*U82/10/$H82/(1+VLOOKUP($I82,技能效果!$B$2:$D$101,3,FALSE))-1)*10000,0)</f>
        <v>0</v>
      </c>
      <c r="BC82" s="2">
        <f>ROUND(($P82*V82/10/$H82/(1+VLOOKUP($I82,技能效果!$B$2:$D$101,3,FALSE))-1)*10000,0)</f>
        <v>0</v>
      </c>
    </row>
    <row r="83" spans="2:55" x14ac:dyDescent="0.15">
      <c r="B83" s="83" t="s">
        <v>120</v>
      </c>
      <c r="C83" s="2">
        <v>81</v>
      </c>
      <c r="D83" s="2">
        <f t="shared" si="18"/>
        <v>50</v>
      </c>
      <c r="E83" s="2">
        <v>2</v>
      </c>
      <c r="F83" s="28">
        <f>INDEX([3]宠物属性!$AL$8:$AL$107,MATCH(D83,[3]宠物属性!$I$8:$I$107,0),1)</f>
        <v>118118.23954053766</v>
      </c>
      <c r="G83" s="68">
        <f>F83/INDEX(角色属性!$AI$8:$AI$107,MATCH(D83,角色属性!$I$8:$I$107,0),1)*E83</f>
        <v>2.6353854529672547</v>
      </c>
      <c r="H83" s="2">
        <f>INDEX(角色属性!$AL$8:$AL$107,MATCH(D83,角色属性!$I$8:$I$107,0),1)</f>
        <v>2911</v>
      </c>
      <c r="I83" s="2">
        <f>INDEX(角色属性!$Y$8:$Y$107,MATCH(D83,角色属性!$I$8:$I$107,0),1)</f>
        <v>50</v>
      </c>
      <c r="J83" s="28">
        <f>H83*10*(1+VLOOKUP(I83,技能效果!$B$2:$D$101,3,FALSE))</f>
        <v>34815.560000000005</v>
      </c>
      <c r="K83" s="28">
        <f>H83*10*(1+VLOOKUP(I83,技能效果!$B$2:$D$101,3,FALSE))*(1+G83)</f>
        <v>126567.98036090865</v>
      </c>
      <c r="L83" s="2">
        <f t="shared" si="19"/>
        <v>90</v>
      </c>
      <c r="M83" s="28">
        <f t="shared" si="20"/>
        <v>45101.44000000001</v>
      </c>
      <c r="N83" s="28">
        <f t="shared" si="21"/>
        <v>162308.1465297754</v>
      </c>
      <c r="O83" s="62">
        <f t="shared" si="31"/>
        <v>127640</v>
      </c>
      <c r="P83" s="62">
        <f t="shared" si="32"/>
        <v>35124</v>
      </c>
      <c r="Q83" s="64">
        <f t="shared" si="30"/>
        <v>1072</v>
      </c>
      <c r="R83" s="67">
        <v>1</v>
      </c>
      <c r="S83" s="67">
        <v>1</v>
      </c>
      <c r="T83" s="67">
        <v>1</v>
      </c>
      <c r="U83" s="67">
        <v>1</v>
      </c>
      <c r="V83" s="67">
        <v>1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64">
        <f>INDEX(角色属性!AM$8:AM$107,MATCH($D83,角色属性!$I$8:$I$107,0),1)</f>
        <v>149900</v>
      </c>
      <c r="AC83" s="64">
        <f>INDEX(角色属性!AN$8:AN$107,MATCH($D83,角色属性!$I$8:$I$107,0),1)</f>
        <v>14990</v>
      </c>
      <c r="AD83" s="64">
        <f>INDEX(角色属性!AO$8:AO$107,MATCH($D83,角色属性!$I$8:$I$107,0),1)</f>
        <v>7495</v>
      </c>
      <c r="AE83" s="64">
        <f>INDEX(角色属性!AP$8:AP$107,MATCH($D83,角色属性!$I$8:$I$107,0),1)</f>
        <v>5996</v>
      </c>
      <c r="AF83" s="64">
        <f>INDEX(角色属性!AQ$8:AQ$107,MATCH($D83,角色属性!$I$8:$I$107,0),1)</f>
        <v>5996</v>
      </c>
      <c r="AG83" s="64">
        <f>$P83/10/(1+VLOOKUP(I83,技能效果!$B$2:$D$101,3,FALSE))*怪物属性规划!A$18*INDEX(怪物属性等级系数!$A$2:$A$101,MATCH(D83,怪物属性等级系数!$D$2:$D$101,0),1)*R83+W83</f>
        <v>32602.54805790526</v>
      </c>
      <c r="AH83" s="64">
        <f>$P83/10/(1+VLOOKUP($I83,技能效果!$B$2:$D$101,3,FALSE))*怪物属性规划!B$18*S83+X83</f>
        <v>2936.7892976588623</v>
      </c>
      <c r="AI83" s="64">
        <f>$P83/10/(1+VLOOKUP($I83,技能效果!$B$2:$D$101,3,FALSE))*怪物属性规划!C$18*T83+Y83</f>
        <v>2936.7892976588623</v>
      </c>
      <c r="AJ83" s="64">
        <f>$P83/10/(1+VLOOKUP($I83,技能效果!$B$2:$D$101,3,FALSE))*怪物属性规划!D$18*U83+Z83</f>
        <v>2349.4314381270901</v>
      </c>
      <c r="AK83" s="64">
        <f>$P83/10/(1+VLOOKUP($I83,技能效果!$B$2:$D$101,3,FALSE))*怪物属性规划!E$18*V83+AA83</f>
        <v>2349.4314381270901</v>
      </c>
      <c r="AL83" s="67">
        <f>INDEX(角色属性!BB$8:BB$107,MATCH($D83,角色属性!$I$8:$I$107,0),1)</f>
        <v>1.4900000000000004</v>
      </c>
      <c r="AM83" s="64">
        <f>INDEX(角色属性!BC$8:BC$107,MATCH($D83,角色属性!$I$8:$I$107,0),1)</f>
        <v>5492</v>
      </c>
      <c r="AN83" s="64">
        <f>INDEX(角色属性!BD$8:BD$107,MATCH($D83,角色属性!$I$8:$I$107,0),1)</f>
        <v>1639</v>
      </c>
      <c r="AO83" s="69">
        <f t="shared" si="22"/>
        <v>0.55485896038758942</v>
      </c>
      <c r="AP83" s="69">
        <f t="shared" si="23"/>
        <v>0.91423276842002166</v>
      </c>
      <c r="AQ83" s="64">
        <f>AL83*角色属性!$BA$1*(AC83*(1-AO83)+MAX(AF83-AJ83,0))</f>
        <v>30751.313582075585</v>
      </c>
      <c r="AR83" s="64">
        <f>角色属性!$BA$1*(AH83*(1-AP83)+MAX(AK83-AE83,0))</f>
        <v>503.76057558781918</v>
      </c>
      <c r="AS83" s="73">
        <f t="shared" si="24"/>
        <v>0.58900009752408544</v>
      </c>
      <c r="AT83" s="73">
        <f t="shared" si="25"/>
        <v>0.39266673168272365</v>
      </c>
      <c r="AU83" s="73">
        <f t="shared" si="26"/>
        <v>0.29450004876204272</v>
      </c>
      <c r="AV83" s="73">
        <f t="shared" si="27"/>
        <v>297.5619912794632</v>
      </c>
      <c r="AW83" s="73">
        <f t="shared" si="28"/>
        <v>198.37466085297544</v>
      </c>
      <c r="AX83" s="2" t="str">
        <f t="shared" si="29"/>
        <v>r_guanqia_81</v>
      </c>
      <c r="AY83" s="2">
        <f>ROUND(($P83*R83/10/$H83/(1+VLOOKUP($I83,技能效果!$B$2:$D$101,3,FALSE))-1)*10000,0)</f>
        <v>89</v>
      </c>
      <c r="AZ83" s="2">
        <f>ROUND(($P83*S83/10/$H83/(1+VLOOKUP($I83,技能效果!$B$2:$D$101,3,FALSE))-1)*10000,0)</f>
        <v>89</v>
      </c>
      <c r="BA83" s="2">
        <f>ROUND(($P83*T83/10/$H83/(1+VLOOKUP($I83,技能效果!$B$2:$D$101,3,FALSE))-1)*10000,0)</f>
        <v>89</v>
      </c>
      <c r="BB83" s="2">
        <f>ROUND(($P83*U83/10/$H83/(1+VLOOKUP($I83,技能效果!$B$2:$D$101,3,FALSE))-1)*10000,0)</f>
        <v>89</v>
      </c>
      <c r="BC83" s="2">
        <f>ROUND(($P83*V83/10/$H83/(1+VLOOKUP($I83,技能效果!$B$2:$D$101,3,FALSE))-1)*10000,0)</f>
        <v>89</v>
      </c>
    </row>
    <row r="84" spans="2:55" x14ac:dyDescent="0.15">
      <c r="B84" s="83"/>
      <c r="C84" s="2">
        <v>82</v>
      </c>
      <c r="D84" s="2">
        <f t="shared" si="18"/>
        <v>50</v>
      </c>
      <c r="E84" s="2">
        <v>2</v>
      </c>
      <c r="F84" s="28">
        <f>INDEX([3]宠物属性!$AL$8:$AL$107,MATCH(D84,[3]宠物属性!$I$8:$I$107,0),1)</f>
        <v>118118.23954053766</v>
      </c>
      <c r="G84" s="68">
        <f>F84/INDEX(角色属性!$AI$8:$AI$107,MATCH(D84,角色属性!$I$8:$I$107,0),1)*E84</f>
        <v>2.6353854529672547</v>
      </c>
      <c r="H84" s="2">
        <f>INDEX(角色属性!$AL$8:$AL$107,MATCH(D84,角色属性!$I$8:$I$107,0),1)</f>
        <v>2911</v>
      </c>
      <c r="I84" s="2">
        <f>INDEX(角色属性!$Y$8:$Y$107,MATCH(D84,角色属性!$I$8:$I$107,0),1)</f>
        <v>50</v>
      </c>
      <c r="J84" s="28">
        <f>H84*10*(1+VLOOKUP(I84,技能效果!$B$2:$D$101,3,FALSE))</f>
        <v>34815.560000000005</v>
      </c>
      <c r="K84" s="28">
        <f>H84*10*(1+VLOOKUP(I84,技能效果!$B$2:$D$101,3,FALSE))*(1+G84)</f>
        <v>126567.98036090865</v>
      </c>
      <c r="L84" s="2">
        <f t="shared" si="19"/>
        <v>90</v>
      </c>
      <c r="M84" s="28">
        <f t="shared" si="20"/>
        <v>45101.44000000001</v>
      </c>
      <c r="N84" s="28">
        <f t="shared" si="21"/>
        <v>162308.1465297754</v>
      </c>
      <c r="O84" s="62">
        <f t="shared" si="31"/>
        <v>129427</v>
      </c>
      <c r="P84" s="62">
        <f t="shared" si="32"/>
        <v>35638</v>
      </c>
      <c r="Q84" s="64">
        <f t="shared" si="30"/>
        <v>1787</v>
      </c>
      <c r="R84" s="67">
        <v>1</v>
      </c>
      <c r="S84" s="67">
        <v>1</v>
      </c>
      <c r="T84" s="67">
        <v>1</v>
      </c>
      <c r="U84" s="67">
        <v>1</v>
      </c>
      <c r="V84" s="67">
        <v>1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64">
        <f>INDEX(角色属性!AM$8:AM$107,MATCH($D84,角色属性!$I$8:$I$107,0),1)</f>
        <v>149900</v>
      </c>
      <c r="AC84" s="64">
        <f>INDEX(角色属性!AN$8:AN$107,MATCH($D84,角色属性!$I$8:$I$107,0),1)</f>
        <v>14990</v>
      </c>
      <c r="AD84" s="64">
        <f>INDEX(角色属性!AO$8:AO$107,MATCH($D84,角色属性!$I$8:$I$107,0),1)</f>
        <v>7495</v>
      </c>
      <c r="AE84" s="64">
        <f>INDEX(角色属性!AP$8:AP$107,MATCH($D84,角色属性!$I$8:$I$107,0),1)</f>
        <v>5996</v>
      </c>
      <c r="AF84" s="64">
        <f>INDEX(角色属性!AQ$8:AQ$107,MATCH($D84,角色属性!$I$8:$I$107,0),1)</f>
        <v>5996</v>
      </c>
      <c r="AG84" s="64">
        <f>$P84/10/(1+VLOOKUP(I84,技能效果!$B$2:$D$101,3,FALSE))*怪物属性规划!A$18*INDEX(怪物属性等级系数!$A$2:$A$101,MATCH(D84,怪物属性等级系数!$D$2:$D$101,0),1)*R84+W84</f>
        <v>33079.649461554145</v>
      </c>
      <c r="AH84" s="64">
        <f>$P84/10/(1+VLOOKUP($I84,技能效果!$B$2:$D$101,3,FALSE))*怪物属性规划!B$18*S84+X84</f>
        <v>2979.7658862876251</v>
      </c>
      <c r="AI84" s="64">
        <f>$P84/10/(1+VLOOKUP($I84,技能效果!$B$2:$D$101,3,FALSE))*怪物属性规划!C$18*T84+Y84</f>
        <v>2979.7658862876251</v>
      </c>
      <c r="AJ84" s="64">
        <f>$P84/10/(1+VLOOKUP($I84,技能效果!$B$2:$D$101,3,FALSE))*怪物属性规划!D$18*U84+Z84</f>
        <v>2383.8127090301</v>
      </c>
      <c r="AK84" s="64">
        <f>$P84/10/(1+VLOOKUP($I84,技能效果!$B$2:$D$101,3,FALSE))*怪物属性规划!E$18*V84+AA84</f>
        <v>2383.8127090301</v>
      </c>
      <c r="AL84" s="67">
        <f>INDEX(角色属性!BB$8:BB$107,MATCH($D84,角色属性!$I$8:$I$107,0),1)</f>
        <v>1.4900000000000004</v>
      </c>
      <c r="AM84" s="64">
        <f>INDEX(角色属性!BC$8:BC$107,MATCH($D84,角色属性!$I$8:$I$107,0),1)</f>
        <v>5492</v>
      </c>
      <c r="AN84" s="64">
        <f>INDEX(角色属性!BD$8:BD$107,MATCH($D84,角色属性!$I$8:$I$107,0),1)</f>
        <v>1639</v>
      </c>
      <c r="AO84" s="69">
        <f t="shared" si="22"/>
        <v>0.55844427502610661</v>
      </c>
      <c r="AP84" s="69">
        <f t="shared" si="23"/>
        <v>0.91423276842002166</v>
      </c>
      <c r="AQ84" s="64">
        <f>AL84*角色属性!$BA$1*(AC84*(1-AO84)+MAX(AF84-AJ84,0))</f>
        <v>30488.700672819126</v>
      </c>
      <c r="AR84" s="64">
        <f>角色属性!$BA$1*(AH84*(1-AP84)+MAX(AK84-AE84,0))</f>
        <v>511.1325416467003</v>
      </c>
      <c r="AS84" s="73">
        <f t="shared" si="24"/>
        <v>0.60276701298000801</v>
      </c>
      <c r="AT84" s="73">
        <f t="shared" si="25"/>
        <v>0.4018446753200054</v>
      </c>
      <c r="AU84" s="73">
        <f t="shared" si="26"/>
        <v>0.30138350649000401</v>
      </c>
      <c r="AV84" s="73">
        <f t="shared" si="27"/>
        <v>293.27031207418662</v>
      </c>
      <c r="AW84" s="73">
        <f t="shared" si="28"/>
        <v>195.51354138279109</v>
      </c>
      <c r="AX84" s="2" t="str">
        <f t="shared" si="29"/>
        <v>r_guanqia_82</v>
      </c>
      <c r="AY84" s="2">
        <f>ROUND(($P84*R84/10/$H84/(1+VLOOKUP($I84,技能效果!$B$2:$D$101,3,FALSE))-1)*10000,0)</f>
        <v>236</v>
      </c>
      <c r="AZ84" s="2">
        <f>ROUND(($P84*S84/10/$H84/(1+VLOOKUP($I84,技能效果!$B$2:$D$101,3,FALSE))-1)*10000,0)</f>
        <v>236</v>
      </c>
      <c r="BA84" s="2">
        <f>ROUND(($P84*T84/10/$H84/(1+VLOOKUP($I84,技能效果!$B$2:$D$101,3,FALSE))-1)*10000,0)</f>
        <v>236</v>
      </c>
      <c r="BB84" s="2">
        <f>ROUND(($P84*U84/10/$H84/(1+VLOOKUP($I84,技能效果!$B$2:$D$101,3,FALSE))-1)*10000,0)</f>
        <v>236</v>
      </c>
      <c r="BC84" s="2">
        <f>ROUND(($P84*V84/10/$H84/(1+VLOOKUP($I84,技能效果!$B$2:$D$101,3,FALSE))-1)*10000,0)</f>
        <v>236</v>
      </c>
    </row>
    <row r="85" spans="2:55" x14ac:dyDescent="0.15">
      <c r="B85" s="83"/>
      <c r="C85" s="2">
        <v>83</v>
      </c>
      <c r="D85" s="2">
        <f t="shared" si="18"/>
        <v>51</v>
      </c>
      <c r="E85" s="2">
        <v>2</v>
      </c>
      <c r="F85" s="28">
        <f>INDEX([3]宠物属性!$AL$8:$AL$107,MATCH(D85,[3]宠物属性!$I$8:$I$107,0),1)</f>
        <v>119616.17767974685</v>
      </c>
      <c r="G85" s="68">
        <f>F85/INDEX(角色属性!$AI$8:$AI$107,MATCH(D85,角色属性!$I$8:$I$107,0),1)*E85</f>
        <v>2.6056763316286942</v>
      </c>
      <c r="H85" s="2">
        <f>INDEX(角色属性!$AL$8:$AL$107,MATCH(D85,角色属性!$I$8:$I$107,0),1)</f>
        <v>3060</v>
      </c>
      <c r="I85" s="2">
        <f>INDEX(角色属性!$Y$8:$Y$107,MATCH(D85,角色属性!$I$8:$I$107,0),1)</f>
        <v>51</v>
      </c>
      <c r="J85" s="28">
        <f>H85*10*(1+VLOOKUP(I85,技能效果!$B$2:$D$101,3,FALSE))</f>
        <v>36720.000000000007</v>
      </c>
      <c r="K85" s="28">
        <f>H85*10*(1+VLOOKUP(I85,技能效果!$B$2:$D$101,3,FALSE))*(1+G85)</f>
        <v>132400.43489740568</v>
      </c>
      <c r="L85" s="2">
        <f t="shared" si="19"/>
        <v>90</v>
      </c>
      <c r="M85" s="28">
        <f t="shared" si="20"/>
        <v>45101.44000000001</v>
      </c>
      <c r="N85" s="28">
        <f t="shared" si="21"/>
        <v>162308.1465297754</v>
      </c>
      <c r="O85" s="62">
        <f t="shared" si="31"/>
        <v>131929</v>
      </c>
      <c r="P85" s="62">
        <f t="shared" si="32"/>
        <v>36358</v>
      </c>
      <c r="Q85" s="64">
        <f t="shared" si="30"/>
        <v>2502</v>
      </c>
      <c r="R85" s="67">
        <v>1</v>
      </c>
      <c r="S85" s="67">
        <v>1</v>
      </c>
      <c r="T85" s="67">
        <v>1</v>
      </c>
      <c r="U85" s="67">
        <v>1</v>
      </c>
      <c r="V85" s="67">
        <v>1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64">
        <f>INDEX(角色属性!AM$8:AM$107,MATCH($D85,角色属性!$I$8:$I$107,0),1)</f>
        <v>153020</v>
      </c>
      <c r="AC85" s="64">
        <f>INDEX(角色属性!AN$8:AN$107,MATCH($D85,角色属性!$I$8:$I$107,0),1)</f>
        <v>15302</v>
      </c>
      <c r="AD85" s="64">
        <f>INDEX(角色属性!AO$8:AO$107,MATCH($D85,角色属性!$I$8:$I$107,0),1)</f>
        <v>7651</v>
      </c>
      <c r="AE85" s="64">
        <f>INDEX(角色属性!AP$8:AP$107,MATCH($D85,角色属性!$I$8:$I$107,0),1)</f>
        <v>6120.8</v>
      </c>
      <c r="AF85" s="64">
        <f>INDEX(角色属性!AQ$8:AQ$107,MATCH($D85,角色属性!$I$8:$I$107,0),1)</f>
        <v>6120.8</v>
      </c>
      <c r="AG85" s="64">
        <f>$P85/10/(1+VLOOKUP(I85,技能效果!$B$2:$D$101,3,FALSE))*怪物属性规划!A$18*INDEX(怪物属性等级系数!$A$2:$A$101,MATCH(D85,怪物属性等级系数!$D$2:$D$101,0),1)*R85+W85</f>
        <v>34080.897024276914</v>
      </c>
      <c r="AH85" s="64">
        <f>$P85/10/(1+VLOOKUP($I85,技能效果!$B$2:$D$101,3,FALSE))*怪物属性规划!B$18*S85+X85</f>
        <v>3029.833333333333</v>
      </c>
      <c r="AI85" s="64">
        <f>$P85/10/(1+VLOOKUP($I85,技能效果!$B$2:$D$101,3,FALSE))*怪物属性规划!C$18*T85+Y85</f>
        <v>3029.833333333333</v>
      </c>
      <c r="AJ85" s="64">
        <f>$P85/10/(1+VLOOKUP($I85,技能效果!$B$2:$D$101,3,FALSE))*怪物属性规划!D$18*U85+Z85</f>
        <v>2423.8666666666663</v>
      </c>
      <c r="AK85" s="64">
        <f>$P85/10/(1+VLOOKUP($I85,技能效果!$B$2:$D$101,3,FALSE))*怪物属性规划!E$18*V85+AA85</f>
        <v>2423.8666666666663</v>
      </c>
      <c r="AL85" s="67">
        <f>INDEX(角色属性!BB$8:BB$107,MATCH($D85,角色属性!$I$8:$I$107,0),1)</f>
        <v>1.5000000000000004</v>
      </c>
      <c r="AM85" s="64">
        <f>INDEX(角色属性!BC$8:BC$107,MATCH($D85,角色属性!$I$8:$I$107,0),1)</f>
        <v>5843</v>
      </c>
      <c r="AN85" s="64">
        <f>INDEX(角色属性!BD$8:BD$107,MATCH($D85,角色属性!$I$8:$I$107,0),1)</f>
        <v>1670</v>
      </c>
      <c r="AO85" s="69">
        <f t="shared" si="22"/>
        <v>0.54724900133604737</v>
      </c>
      <c r="AP85" s="69">
        <f t="shared" si="23"/>
        <v>0.91437872799652942</v>
      </c>
      <c r="AQ85" s="64">
        <f>AL85*角色属性!$BA$1*(AC85*(1-AO85)+MAX(AF85-AJ85,0))</f>
        <v>31874.78734466742</v>
      </c>
      <c r="AR85" s="64">
        <f>角色属性!$BA$1*(AH85*(1-AP85)+MAX(AK85-AE85,0))</f>
        <v>518.83636791703054</v>
      </c>
      <c r="AS85" s="73">
        <f t="shared" si="24"/>
        <v>0.59400652545283339</v>
      </c>
      <c r="AT85" s="73">
        <f t="shared" si="25"/>
        <v>0.39600435030188896</v>
      </c>
      <c r="AU85" s="73">
        <f t="shared" si="26"/>
        <v>0.29700326272641669</v>
      </c>
      <c r="AV85" s="73">
        <f t="shared" si="27"/>
        <v>294.92920978983904</v>
      </c>
      <c r="AW85" s="73">
        <f t="shared" si="28"/>
        <v>196.61947319322601</v>
      </c>
      <c r="AX85" s="2" t="str">
        <f t="shared" si="29"/>
        <v>r_guanqia_83</v>
      </c>
      <c r="AY85" s="2">
        <f>ROUND(($P85*R85/10/$H85/(1+VLOOKUP($I85,技能效果!$B$2:$D$101,3,FALSE))-1)*10000,0)</f>
        <v>-99</v>
      </c>
      <c r="AZ85" s="2">
        <f>ROUND(($P85*S85/10/$H85/(1+VLOOKUP($I85,技能效果!$B$2:$D$101,3,FALSE))-1)*10000,0)</f>
        <v>-99</v>
      </c>
      <c r="BA85" s="2">
        <f>ROUND(($P85*T85/10/$H85/(1+VLOOKUP($I85,技能效果!$B$2:$D$101,3,FALSE))-1)*10000,0)</f>
        <v>-99</v>
      </c>
      <c r="BB85" s="2">
        <f>ROUND(($P85*U85/10/$H85/(1+VLOOKUP($I85,技能效果!$B$2:$D$101,3,FALSE))-1)*10000,0)</f>
        <v>-99</v>
      </c>
      <c r="BC85" s="2">
        <f>ROUND(($P85*V85/10/$H85/(1+VLOOKUP($I85,技能效果!$B$2:$D$101,3,FALSE))-1)*10000,0)</f>
        <v>-99</v>
      </c>
    </row>
    <row r="86" spans="2:55" x14ac:dyDescent="0.15">
      <c r="B86" s="83"/>
      <c r="C86" s="2">
        <v>84</v>
      </c>
      <c r="D86" s="2">
        <f t="shared" si="18"/>
        <v>51</v>
      </c>
      <c r="E86" s="2">
        <v>2</v>
      </c>
      <c r="F86" s="28">
        <f>INDEX([3]宠物属性!$AL$8:$AL$107,MATCH(D86,[3]宠物属性!$I$8:$I$107,0),1)</f>
        <v>119616.17767974685</v>
      </c>
      <c r="G86" s="68">
        <f>F86/INDEX(角色属性!$AI$8:$AI$107,MATCH(D86,角色属性!$I$8:$I$107,0),1)*E86</f>
        <v>2.6056763316286942</v>
      </c>
      <c r="H86" s="2">
        <f>INDEX(角色属性!$AL$8:$AL$107,MATCH(D86,角色属性!$I$8:$I$107,0),1)</f>
        <v>3060</v>
      </c>
      <c r="I86" s="2">
        <f>INDEX(角色属性!$Y$8:$Y$107,MATCH(D86,角色属性!$I$8:$I$107,0),1)</f>
        <v>51</v>
      </c>
      <c r="J86" s="28">
        <f>H86*10*(1+VLOOKUP(I86,技能效果!$B$2:$D$101,3,FALSE))</f>
        <v>36720.000000000007</v>
      </c>
      <c r="K86" s="28">
        <f>H86*10*(1+VLOOKUP(I86,技能效果!$B$2:$D$101,3,FALSE))*(1+G86)</f>
        <v>132400.43489740568</v>
      </c>
      <c r="L86" s="2">
        <f t="shared" si="19"/>
        <v>90</v>
      </c>
      <c r="M86" s="28">
        <f t="shared" si="20"/>
        <v>45101.44000000001</v>
      </c>
      <c r="N86" s="28">
        <f t="shared" si="21"/>
        <v>162308.1465297754</v>
      </c>
      <c r="O86" s="62">
        <f t="shared" si="31"/>
        <v>135146</v>
      </c>
      <c r="P86" s="62">
        <f t="shared" si="32"/>
        <v>37284</v>
      </c>
      <c r="Q86" s="64">
        <f t="shared" si="30"/>
        <v>3217</v>
      </c>
      <c r="R86" s="67">
        <v>1</v>
      </c>
      <c r="S86" s="67">
        <v>1</v>
      </c>
      <c r="T86" s="67">
        <v>1</v>
      </c>
      <c r="U86" s="67">
        <v>1</v>
      </c>
      <c r="V86" s="67">
        <v>1</v>
      </c>
      <c r="W86" s="28">
        <v>0</v>
      </c>
      <c r="X86" s="28">
        <v>0</v>
      </c>
      <c r="Y86" s="28">
        <v>0</v>
      </c>
      <c r="Z86" s="28">
        <v>0</v>
      </c>
      <c r="AA86" s="28">
        <v>0</v>
      </c>
      <c r="AB86" s="64">
        <f>INDEX(角色属性!AM$8:AM$107,MATCH($D86,角色属性!$I$8:$I$107,0),1)</f>
        <v>153020</v>
      </c>
      <c r="AC86" s="64">
        <f>INDEX(角色属性!AN$8:AN$107,MATCH($D86,角色属性!$I$8:$I$107,0),1)</f>
        <v>15302</v>
      </c>
      <c r="AD86" s="64">
        <f>INDEX(角色属性!AO$8:AO$107,MATCH($D86,角色属性!$I$8:$I$107,0),1)</f>
        <v>7651</v>
      </c>
      <c r="AE86" s="64">
        <f>INDEX(角色属性!AP$8:AP$107,MATCH($D86,角色属性!$I$8:$I$107,0),1)</f>
        <v>6120.8</v>
      </c>
      <c r="AF86" s="64">
        <f>INDEX(角色属性!AQ$8:AQ$107,MATCH($D86,角色属性!$I$8:$I$107,0),1)</f>
        <v>6120.8</v>
      </c>
      <c r="AG86" s="64">
        <f>$P86/10/(1+VLOOKUP(I86,技能效果!$B$2:$D$101,3,FALSE))*怪物属性规划!A$18*INDEX(怪物属性等级系数!$A$2:$A$101,MATCH(D86,怪物属性等级系数!$D$2:$D$101,0),1)*R86+W86</f>
        <v>34948.901607710555</v>
      </c>
      <c r="AH86" s="64">
        <f>$P86/10/(1+VLOOKUP($I86,技能效果!$B$2:$D$101,3,FALSE))*怪物属性规划!B$18*S86+X86</f>
        <v>3106.9999999999995</v>
      </c>
      <c r="AI86" s="64">
        <f>$P86/10/(1+VLOOKUP($I86,技能效果!$B$2:$D$101,3,FALSE))*怪物属性规划!C$18*T86+Y86</f>
        <v>3106.9999999999995</v>
      </c>
      <c r="AJ86" s="64">
        <f>$P86/10/(1+VLOOKUP($I86,技能效果!$B$2:$D$101,3,FALSE))*怪物属性规划!D$18*U86+Z86</f>
        <v>2485.6</v>
      </c>
      <c r="AK86" s="64">
        <f>$P86/10/(1+VLOOKUP($I86,技能效果!$B$2:$D$101,3,FALSE))*怪物属性规划!E$18*V86+AA86</f>
        <v>2485.6</v>
      </c>
      <c r="AL86" s="67">
        <f>INDEX(角色属性!BB$8:BB$107,MATCH($D86,角色属性!$I$8:$I$107,0),1)</f>
        <v>1.5000000000000004</v>
      </c>
      <c r="AM86" s="64">
        <f>INDEX(角色属性!BC$8:BC$107,MATCH($D86,角色属性!$I$8:$I$107,0),1)</f>
        <v>5843</v>
      </c>
      <c r="AN86" s="64">
        <f>INDEX(角色属性!BD$8:BD$107,MATCH($D86,角色属性!$I$8:$I$107,0),1)</f>
        <v>1670</v>
      </c>
      <c r="AO86" s="69">
        <f t="shared" si="22"/>
        <v>0.55347263552553272</v>
      </c>
      <c r="AP86" s="69">
        <f t="shared" si="23"/>
        <v>0.91437872799652942</v>
      </c>
      <c r="AQ86" s="64">
        <f>AL86*角色属性!$BA$1*(AC86*(1-AO86)+MAX(AF86-AJ86,0))</f>
        <v>31403.885193564907</v>
      </c>
      <c r="AR86" s="64">
        <f>角色属性!$BA$1*(AH86*(1-AP86)+MAX(AK86-AE86,0))</f>
        <v>532.05058422956608</v>
      </c>
      <c r="AS86" s="73">
        <f t="shared" si="24"/>
        <v>0.61826924691173901</v>
      </c>
      <c r="AT86" s="73">
        <f t="shared" si="25"/>
        <v>0.41217949794115932</v>
      </c>
      <c r="AU86" s="73">
        <f t="shared" si="26"/>
        <v>0.30913462345586951</v>
      </c>
      <c r="AV86" s="73">
        <f t="shared" si="27"/>
        <v>287.60423263434632</v>
      </c>
      <c r="AW86" s="73">
        <f t="shared" si="28"/>
        <v>191.73615508956422</v>
      </c>
      <c r="AX86" s="2" t="str">
        <f t="shared" si="29"/>
        <v>r_guanqia_84</v>
      </c>
      <c r="AY86" s="2">
        <f>ROUND(($P86*R86/10/$H86/(1+VLOOKUP($I86,技能效果!$B$2:$D$101,3,FALSE))-1)*10000,0)</f>
        <v>154</v>
      </c>
      <c r="AZ86" s="2">
        <f>ROUND(($P86*S86/10/$H86/(1+VLOOKUP($I86,技能效果!$B$2:$D$101,3,FALSE))-1)*10000,0)</f>
        <v>154</v>
      </c>
      <c r="BA86" s="2">
        <f>ROUND(($P86*T86/10/$H86/(1+VLOOKUP($I86,技能效果!$B$2:$D$101,3,FALSE))-1)*10000,0)</f>
        <v>154</v>
      </c>
      <c r="BB86" s="2">
        <f>ROUND(($P86*U86/10/$H86/(1+VLOOKUP($I86,技能效果!$B$2:$D$101,3,FALSE))-1)*10000,0)</f>
        <v>154</v>
      </c>
      <c r="BC86" s="2">
        <f>ROUND(($P86*V86/10/$H86/(1+VLOOKUP($I86,技能效果!$B$2:$D$101,3,FALSE))-1)*10000,0)</f>
        <v>154</v>
      </c>
    </row>
    <row r="87" spans="2:55" x14ac:dyDescent="0.15">
      <c r="B87" s="83"/>
      <c r="C87" s="2">
        <v>85</v>
      </c>
      <c r="D87" s="2">
        <f t="shared" ref="D87:D150" si="33">D77+5</f>
        <v>52</v>
      </c>
      <c r="E87" s="2">
        <v>2</v>
      </c>
      <c r="F87" s="28">
        <f>INDEX([3]宠物属性!$AL$8:$AL$107,MATCH(D87,[3]宠物属性!$I$8:$I$107,0),1)</f>
        <v>124557.12906998227</v>
      </c>
      <c r="G87" s="68">
        <f>F87/INDEX(角色属性!$AI$8:$AI$107,MATCH(D87,角色属性!$I$8:$I$107,0),1)*E87</f>
        <v>2.6735434812841685</v>
      </c>
      <c r="H87" s="2">
        <f>INDEX(角色属性!$AL$8:$AL$107,MATCH(D87,角色属性!$I$8:$I$107,0),1)</f>
        <v>3214</v>
      </c>
      <c r="I87" s="2">
        <f>INDEX(角色属性!$Y$8:$Y$107,MATCH(D87,角色属性!$I$8:$I$107,0),1)</f>
        <v>52</v>
      </c>
      <c r="J87" s="28">
        <f>H87*10*(1+VLOOKUP(I87,技能效果!$B$2:$D$101,3,FALSE))</f>
        <v>38696.560000000005</v>
      </c>
      <c r="K87" s="28">
        <f>H87*10*(1+VLOOKUP(I87,技能效果!$B$2:$D$101,3,FALSE))*(1+G87)</f>
        <v>142153.49573612172</v>
      </c>
      <c r="L87" s="2">
        <f t="shared" si="19"/>
        <v>90</v>
      </c>
      <c r="M87" s="28">
        <f t="shared" si="20"/>
        <v>45101.44000000001</v>
      </c>
      <c r="N87" s="28">
        <f t="shared" si="21"/>
        <v>162308.1465297754</v>
      </c>
      <c r="O87" s="62">
        <f t="shared" si="31"/>
        <v>141579</v>
      </c>
      <c r="P87" s="62">
        <f t="shared" si="32"/>
        <v>39136</v>
      </c>
      <c r="Q87" s="64">
        <f t="shared" si="30"/>
        <v>6433</v>
      </c>
      <c r="R87" s="67">
        <v>1</v>
      </c>
      <c r="S87" s="67">
        <v>1</v>
      </c>
      <c r="T87" s="67">
        <v>1</v>
      </c>
      <c r="U87" s="67">
        <v>1</v>
      </c>
      <c r="V87" s="67">
        <v>1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64">
        <f>INDEX(角色属性!AM$8:AM$107,MATCH($D87,角色属性!$I$8:$I$107,0),1)</f>
        <v>154780</v>
      </c>
      <c r="AC87" s="64">
        <f>INDEX(角色属性!AN$8:AN$107,MATCH($D87,角色属性!$I$8:$I$107,0),1)</f>
        <v>15478</v>
      </c>
      <c r="AD87" s="64">
        <f>INDEX(角色属性!AO$8:AO$107,MATCH($D87,角色属性!$I$8:$I$107,0),1)</f>
        <v>7739</v>
      </c>
      <c r="AE87" s="64">
        <f>INDEX(角色属性!AP$8:AP$107,MATCH($D87,角色属性!$I$8:$I$107,0),1)</f>
        <v>6191.2</v>
      </c>
      <c r="AF87" s="64">
        <f>INDEX(角色属性!AQ$8:AQ$107,MATCH($D87,角色属性!$I$8:$I$107,0),1)</f>
        <v>6191.2</v>
      </c>
      <c r="AG87" s="64">
        <f>$P87/10/(1+VLOOKUP(I87,技能效果!$B$2:$D$101,3,FALSE))*怪物属性规划!A$18*INDEX(怪物属性等级系数!$A$2:$A$101,MATCH(D87,怪物属性等级系数!$D$2:$D$101,0),1)*R87+W87</f>
        <v>37057.863616805327</v>
      </c>
      <c r="AH87" s="64">
        <f>$P87/10/(1+VLOOKUP($I87,技能效果!$B$2:$D$101,3,FALSE))*怪物属性规划!B$18*S87+X87</f>
        <v>3250.4983388704313</v>
      </c>
      <c r="AI87" s="64">
        <f>$P87/10/(1+VLOOKUP($I87,技能效果!$B$2:$D$101,3,FALSE))*怪物属性规划!C$18*T87+Y87</f>
        <v>3250.4983388704313</v>
      </c>
      <c r="AJ87" s="64">
        <f>$P87/10/(1+VLOOKUP($I87,技能效果!$B$2:$D$101,3,FALSE))*怪物属性规划!D$18*U87+Z87</f>
        <v>2600.3986710963454</v>
      </c>
      <c r="AK87" s="64">
        <f>$P87/10/(1+VLOOKUP($I87,技能效果!$B$2:$D$101,3,FALSE))*怪物属性规划!E$18*V87+AA87</f>
        <v>2600.3986710963454</v>
      </c>
      <c r="AL87" s="67">
        <f>INDEX(角色属性!BB$8:BB$107,MATCH($D87,角色属性!$I$8:$I$107,0),1)</f>
        <v>1.5100000000000005</v>
      </c>
      <c r="AM87" s="64">
        <f>INDEX(角色属性!BC$8:BC$107,MATCH($D87,角色属性!$I$8:$I$107,0),1)</f>
        <v>6212</v>
      </c>
      <c r="AN87" s="64">
        <f>INDEX(角色属性!BD$8:BD$107,MATCH($D87,角色属性!$I$8:$I$107,0),1)</f>
        <v>1695</v>
      </c>
      <c r="AO87" s="69">
        <f t="shared" si="22"/>
        <v>0.54949333535685851</v>
      </c>
      <c r="AP87" s="69">
        <f t="shared" si="23"/>
        <v>0.91411036060643813</v>
      </c>
      <c r="AQ87" s="64">
        <f>AL87*角色属性!$BA$1*(AC87*(1-AO87)+MAX(AF87-AJ87,0))</f>
        <v>31902.505322435605</v>
      </c>
      <c r="AR87" s="64">
        <f>角色属性!$BA$1*(AH87*(1-AP87)+MAX(AK87-AE87,0))</f>
        <v>558.36826034990645</v>
      </c>
      <c r="AS87" s="73">
        <f t="shared" si="24"/>
        <v>0.64533182586315196</v>
      </c>
      <c r="AT87" s="73">
        <f t="shared" si="25"/>
        <v>0.43022121724210133</v>
      </c>
      <c r="AU87" s="73">
        <f t="shared" si="26"/>
        <v>0.32266591293157598</v>
      </c>
      <c r="AV87" s="73">
        <f t="shared" si="27"/>
        <v>277.2005699303283</v>
      </c>
      <c r="AW87" s="73">
        <f t="shared" si="28"/>
        <v>184.80037995355221</v>
      </c>
      <c r="AX87" s="2" t="str">
        <f t="shared" si="29"/>
        <v>r_guanqia_85</v>
      </c>
      <c r="AY87" s="2">
        <f>ROUND(($P87*R87/10/$H87/(1+VLOOKUP($I87,技能效果!$B$2:$D$101,3,FALSE))-1)*10000,0)</f>
        <v>114</v>
      </c>
      <c r="AZ87" s="2">
        <f>ROUND(($P87*S87/10/$H87/(1+VLOOKUP($I87,技能效果!$B$2:$D$101,3,FALSE))-1)*10000,0)</f>
        <v>114</v>
      </c>
      <c r="BA87" s="2">
        <f>ROUND(($P87*T87/10/$H87/(1+VLOOKUP($I87,技能效果!$B$2:$D$101,3,FALSE))-1)*10000,0)</f>
        <v>114</v>
      </c>
      <c r="BB87" s="2">
        <f>ROUND(($P87*U87/10/$H87/(1+VLOOKUP($I87,技能效果!$B$2:$D$101,3,FALSE))-1)*10000,0)</f>
        <v>114</v>
      </c>
      <c r="BC87" s="2">
        <f>ROUND(($P87*V87/10/$H87/(1+VLOOKUP($I87,技能效果!$B$2:$D$101,3,FALSE))-1)*10000,0)</f>
        <v>114</v>
      </c>
    </row>
    <row r="88" spans="2:55" x14ac:dyDescent="0.15">
      <c r="B88" s="83"/>
      <c r="C88" s="2">
        <v>86</v>
      </c>
      <c r="D88" s="2">
        <f t="shared" si="33"/>
        <v>52</v>
      </c>
      <c r="E88" s="2">
        <v>2</v>
      </c>
      <c r="F88" s="28">
        <f>INDEX([3]宠物属性!$AL$8:$AL$107,MATCH(D88,[3]宠物属性!$I$8:$I$107,0),1)</f>
        <v>124557.12906998227</v>
      </c>
      <c r="G88" s="68">
        <f>F88/INDEX(角色属性!$AI$8:$AI$107,MATCH(D88,角色属性!$I$8:$I$107,0),1)*E88</f>
        <v>2.6735434812841685</v>
      </c>
      <c r="H88" s="2">
        <f>INDEX(角色属性!$AL$8:$AL$107,MATCH(D88,角色属性!$I$8:$I$107,0),1)</f>
        <v>3214</v>
      </c>
      <c r="I88" s="2">
        <f>INDEX(角色属性!$Y$8:$Y$107,MATCH(D88,角色属性!$I$8:$I$107,0),1)</f>
        <v>52</v>
      </c>
      <c r="J88" s="28">
        <f>H88*10*(1+VLOOKUP(I88,技能效果!$B$2:$D$101,3,FALSE))</f>
        <v>38696.560000000005</v>
      </c>
      <c r="K88" s="28">
        <f>H88*10*(1+VLOOKUP(I88,技能效果!$B$2:$D$101,3,FALSE))*(1+G88)</f>
        <v>142153.49573612172</v>
      </c>
      <c r="L88" s="2">
        <f t="shared" si="19"/>
        <v>90</v>
      </c>
      <c r="M88" s="28">
        <f t="shared" si="20"/>
        <v>45101.44000000001</v>
      </c>
      <c r="N88" s="28">
        <f t="shared" si="21"/>
        <v>162308.1465297754</v>
      </c>
      <c r="O88" s="62">
        <f t="shared" si="31"/>
        <v>143008</v>
      </c>
      <c r="P88" s="62">
        <f t="shared" si="32"/>
        <v>39547</v>
      </c>
      <c r="Q88" s="64">
        <f t="shared" si="30"/>
        <v>1429</v>
      </c>
      <c r="R88" s="67">
        <v>1</v>
      </c>
      <c r="S88" s="67">
        <v>1</v>
      </c>
      <c r="T88" s="67">
        <v>1</v>
      </c>
      <c r="U88" s="67">
        <v>1</v>
      </c>
      <c r="V88" s="67">
        <v>1</v>
      </c>
      <c r="W88" s="28">
        <v>0</v>
      </c>
      <c r="X88" s="28">
        <v>0</v>
      </c>
      <c r="Y88" s="28">
        <v>0</v>
      </c>
      <c r="Z88" s="28">
        <v>0</v>
      </c>
      <c r="AA88" s="28">
        <v>0</v>
      </c>
      <c r="AB88" s="64">
        <f>INDEX(角色属性!AM$8:AM$107,MATCH($D88,角色属性!$I$8:$I$107,0),1)</f>
        <v>154780</v>
      </c>
      <c r="AC88" s="64">
        <f>INDEX(角色属性!AN$8:AN$107,MATCH($D88,角色属性!$I$8:$I$107,0),1)</f>
        <v>15478</v>
      </c>
      <c r="AD88" s="64">
        <f>INDEX(角色属性!AO$8:AO$107,MATCH($D88,角色属性!$I$8:$I$107,0),1)</f>
        <v>7739</v>
      </c>
      <c r="AE88" s="64">
        <f>INDEX(角色属性!AP$8:AP$107,MATCH($D88,角色属性!$I$8:$I$107,0),1)</f>
        <v>6191.2</v>
      </c>
      <c r="AF88" s="64">
        <f>INDEX(角色属性!AQ$8:AQ$107,MATCH($D88,角色属性!$I$8:$I$107,0),1)</f>
        <v>6191.2</v>
      </c>
      <c r="AG88" s="64">
        <f>$P88/10/(1+VLOOKUP(I88,技能效果!$B$2:$D$101,3,FALSE))*怪物属性规划!A$18*INDEX(怪物属性等级系数!$A$2:$A$101,MATCH(D88,怪物属性等级系数!$D$2:$D$101,0),1)*R88+W88</f>
        <v>37447.039361554584</v>
      </c>
      <c r="AH88" s="64">
        <f>$P88/10/(1+VLOOKUP($I88,技能效果!$B$2:$D$101,3,FALSE))*怪物属性规划!B$18*S88+X88</f>
        <v>3284.6345514950158</v>
      </c>
      <c r="AI88" s="64">
        <f>$P88/10/(1+VLOOKUP($I88,技能效果!$B$2:$D$101,3,FALSE))*怪物属性规划!C$18*T88+Y88</f>
        <v>3284.6345514950158</v>
      </c>
      <c r="AJ88" s="64">
        <f>$P88/10/(1+VLOOKUP($I88,技能效果!$B$2:$D$101,3,FALSE))*怪物属性规划!D$18*U88+Z88</f>
        <v>2627.7076411960129</v>
      </c>
      <c r="AK88" s="64">
        <f>$P88/10/(1+VLOOKUP($I88,技能效果!$B$2:$D$101,3,FALSE))*怪物属性规划!E$18*V88+AA88</f>
        <v>2627.7076411960129</v>
      </c>
      <c r="AL88" s="67">
        <f>INDEX(角色属性!BB$8:BB$107,MATCH($D88,角色属性!$I$8:$I$107,0),1)</f>
        <v>1.5100000000000005</v>
      </c>
      <c r="AM88" s="64">
        <f>INDEX(角色属性!BC$8:BC$107,MATCH($D88,角色属性!$I$8:$I$107,0),1)</f>
        <v>6212</v>
      </c>
      <c r="AN88" s="64">
        <f>INDEX(角色属性!BD$8:BD$107,MATCH($D88,角色属性!$I$8:$I$107,0),1)</f>
        <v>1695</v>
      </c>
      <c r="AO88" s="69">
        <f t="shared" si="22"/>
        <v>0.55207815389831849</v>
      </c>
      <c r="AP88" s="69">
        <f t="shared" si="23"/>
        <v>0.91411036060643813</v>
      </c>
      <c r="AQ88" s="64">
        <f>AL88*角色属性!$BA$1*(AC88*(1-AO88)+MAX(AF88-AJ88,0))</f>
        <v>31699.208612152768</v>
      </c>
      <c r="AR88" s="64">
        <f>角色属性!$BA$1*(AH88*(1-AP88)+MAX(AK88-AE88,0))</f>
        <v>564.23215433508142</v>
      </c>
      <c r="AS88" s="73">
        <f t="shared" si="24"/>
        <v>0.65629117152292116</v>
      </c>
      <c r="AT88" s="73">
        <f t="shared" si="25"/>
        <v>0.43752744768194746</v>
      </c>
      <c r="AU88" s="73">
        <f t="shared" si="26"/>
        <v>0.32814558576146058</v>
      </c>
      <c r="AV88" s="73">
        <f t="shared" si="27"/>
        <v>274.31970831651785</v>
      </c>
      <c r="AW88" s="73">
        <f t="shared" si="28"/>
        <v>182.8798055443452</v>
      </c>
      <c r="AX88" s="2" t="str">
        <f t="shared" si="29"/>
        <v>r_guanqia_86</v>
      </c>
      <c r="AY88" s="2">
        <f>ROUND(($P88*R88/10/$H88/(1+VLOOKUP($I88,技能效果!$B$2:$D$101,3,FALSE))-1)*10000,0)</f>
        <v>220</v>
      </c>
      <c r="AZ88" s="2">
        <f>ROUND(($P88*S88/10/$H88/(1+VLOOKUP($I88,技能效果!$B$2:$D$101,3,FALSE))-1)*10000,0)</f>
        <v>220</v>
      </c>
      <c r="BA88" s="2">
        <f>ROUND(($P88*T88/10/$H88/(1+VLOOKUP($I88,技能效果!$B$2:$D$101,3,FALSE))-1)*10000,0)</f>
        <v>220</v>
      </c>
      <c r="BB88" s="2">
        <f>ROUND(($P88*U88/10/$H88/(1+VLOOKUP($I88,技能效果!$B$2:$D$101,3,FALSE))-1)*10000,0)</f>
        <v>220</v>
      </c>
      <c r="BC88" s="2">
        <f>ROUND(($P88*V88/10/$H88/(1+VLOOKUP($I88,技能效果!$B$2:$D$101,3,FALSE))-1)*10000,0)</f>
        <v>220</v>
      </c>
    </row>
    <row r="89" spans="2:55" x14ac:dyDescent="0.15">
      <c r="B89" s="83"/>
      <c r="C89" s="2">
        <v>87</v>
      </c>
      <c r="D89" s="2">
        <f t="shared" si="33"/>
        <v>52</v>
      </c>
      <c r="E89" s="2">
        <v>2</v>
      </c>
      <c r="F89" s="28">
        <f>INDEX([3]宠物属性!$AL$8:$AL$107,MATCH(D89,[3]宠物属性!$I$8:$I$107,0),1)</f>
        <v>124557.12906998227</v>
      </c>
      <c r="G89" s="68">
        <f>F89/INDEX(角色属性!$AI$8:$AI$107,MATCH(D89,角色属性!$I$8:$I$107,0),1)*E89</f>
        <v>2.6735434812841685</v>
      </c>
      <c r="H89" s="2">
        <f>INDEX(角色属性!$AL$8:$AL$107,MATCH(D89,角色属性!$I$8:$I$107,0),1)</f>
        <v>3214</v>
      </c>
      <c r="I89" s="2">
        <f>INDEX(角色属性!$Y$8:$Y$107,MATCH(D89,角色属性!$I$8:$I$107,0),1)</f>
        <v>52</v>
      </c>
      <c r="J89" s="28">
        <f>H89*10*(1+VLOOKUP(I89,技能效果!$B$2:$D$101,3,FALSE))</f>
        <v>38696.560000000005</v>
      </c>
      <c r="K89" s="28">
        <f>H89*10*(1+VLOOKUP(I89,技能效果!$B$2:$D$101,3,FALSE))*(1+G89)</f>
        <v>142153.49573612172</v>
      </c>
      <c r="L89" s="2">
        <f t="shared" si="19"/>
        <v>90</v>
      </c>
      <c r="M89" s="28">
        <f t="shared" si="20"/>
        <v>45101.44000000001</v>
      </c>
      <c r="N89" s="28">
        <f t="shared" si="21"/>
        <v>162308.1465297754</v>
      </c>
      <c r="O89" s="62">
        <f t="shared" si="31"/>
        <v>145153</v>
      </c>
      <c r="P89" s="62">
        <f t="shared" si="32"/>
        <v>40164</v>
      </c>
      <c r="Q89" s="64">
        <f t="shared" si="30"/>
        <v>2145</v>
      </c>
      <c r="R89" s="67">
        <v>1</v>
      </c>
      <c r="S89" s="67">
        <v>1</v>
      </c>
      <c r="T89" s="67">
        <v>1</v>
      </c>
      <c r="U89" s="67">
        <v>1</v>
      </c>
      <c r="V89" s="67">
        <v>1</v>
      </c>
      <c r="W89" s="28">
        <v>0</v>
      </c>
      <c r="X89" s="28">
        <v>0</v>
      </c>
      <c r="Y89" s="28">
        <v>0</v>
      </c>
      <c r="Z89" s="28">
        <v>0</v>
      </c>
      <c r="AA89" s="28">
        <v>0</v>
      </c>
      <c r="AB89" s="64">
        <f>INDEX(角色属性!AM$8:AM$107,MATCH($D89,角色属性!$I$8:$I$107,0),1)</f>
        <v>154780</v>
      </c>
      <c r="AC89" s="64">
        <f>INDEX(角色属性!AN$8:AN$107,MATCH($D89,角色属性!$I$8:$I$107,0),1)</f>
        <v>15478</v>
      </c>
      <c r="AD89" s="64">
        <f>INDEX(角色属性!AO$8:AO$107,MATCH($D89,角色属性!$I$8:$I$107,0),1)</f>
        <v>7739</v>
      </c>
      <c r="AE89" s="64">
        <f>INDEX(角色属性!AP$8:AP$107,MATCH($D89,角色属性!$I$8:$I$107,0),1)</f>
        <v>6191.2</v>
      </c>
      <c r="AF89" s="64">
        <f>INDEX(角色属性!AQ$8:AQ$107,MATCH($D89,角色属性!$I$8:$I$107,0),1)</f>
        <v>6191.2</v>
      </c>
      <c r="AG89" s="64">
        <f>$P89/10/(1+VLOOKUP(I89,技能效果!$B$2:$D$101,3,FALSE))*怪物属性规划!A$18*INDEX(怪物属性等级系数!$A$2:$A$101,MATCH(D89,怪物属性等级系数!$D$2:$D$101,0),1)*R89+W89</f>
        <v>38031.276428489611</v>
      </c>
      <c r="AH89" s="64">
        <f>$P89/10/(1+VLOOKUP($I89,技能效果!$B$2:$D$101,3,FALSE))*怪物属性规划!B$18*S89+X89</f>
        <v>3335.8803986710959</v>
      </c>
      <c r="AI89" s="64">
        <f>$P89/10/(1+VLOOKUP($I89,技能效果!$B$2:$D$101,3,FALSE))*怪物属性规划!C$18*T89+Y89</f>
        <v>3335.8803986710959</v>
      </c>
      <c r="AJ89" s="64">
        <f>$P89/10/(1+VLOOKUP($I89,技能效果!$B$2:$D$101,3,FALSE))*怪物属性规划!D$18*U89+Z89</f>
        <v>2668.7043189368769</v>
      </c>
      <c r="AK89" s="64">
        <f>$P89/10/(1+VLOOKUP($I89,技能效果!$B$2:$D$101,3,FALSE))*怪物属性规划!E$18*V89+AA89</f>
        <v>2668.7043189368769</v>
      </c>
      <c r="AL89" s="67">
        <f>INDEX(角色属性!BB$8:BB$107,MATCH($D89,角色属性!$I$8:$I$107,0),1)</f>
        <v>1.5100000000000005</v>
      </c>
      <c r="AM89" s="64">
        <f>INDEX(角色属性!BC$8:BC$107,MATCH($D89,角色属性!$I$8:$I$107,0),1)</f>
        <v>6212</v>
      </c>
      <c r="AN89" s="64">
        <f>INDEX(角色属性!BD$8:BD$107,MATCH($D89,角色属性!$I$8:$I$107,0),1)</f>
        <v>1695</v>
      </c>
      <c r="AO89" s="69">
        <f t="shared" si="22"/>
        <v>0.55590331485063593</v>
      </c>
      <c r="AP89" s="69">
        <f t="shared" si="23"/>
        <v>0.91411036060643813</v>
      </c>
      <c r="AQ89" s="64">
        <f>AL89*角色属性!$BA$1*(AC89*(1-AO89)+MAX(AF89-AJ89,0))</f>
        <v>31396.597004891049</v>
      </c>
      <c r="AR89" s="64">
        <f>角色属性!$BA$1*(AH89*(1-AP89)+MAX(AK89-AE89,0))</f>
        <v>573.03512900382361</v>
      </c>
      <c r="AS89" s="73">
        <f t="shared" si="24"/>
        <v>0.67295468045231133</v>
      </c>
      <c r="AT89" s="73">
        <f t="shared" si="25"/>
        <v>0.4486364536348742</v>
      </c>
      <c r="AU89" s="73">
        <f t="shared" si="26"/>
        <v>0.33647734022615566</v>
      </c>
      <c r="AV89" s="73">
        <f t="shared" si="27"/>
        <v>270.10560464080595</v>
      </c>
      <c r="AW89" s="73">
        <f t="shared" si="28"/>
        <v>180.07040309387062</v>
      </c>
      <c r="AX89" s="2" t="str">
        <f t="shared" si="29"/>
        <v>r_guanqia_87</v>
      </c>
      <c r="AY89" s="2">
        <f>ROUND(($P89*R89/10/$H89/(1+VLOOKUP($I89,技能效果!$B$2:$D$101,3,FALSE))-1)*10000,0)</f>
        <v>379</v>
      </c>
      <c r="AZ89" s="2">
        <f>ROUND(($P89*S89/10/$H89/(1+VLOOKUP($I89,技能效果!$B$2:$D$101,3,FALSE))-1)*10000,0)</f>
        <v>379</v>
      </c>
      <c r="BA89" s="2">
        <f>ROUND(($P89*T89/10/$H89/(1+VLOOKUP($I89,技能效果!$B$2:$D$101,3,FALSE))-1)*10000,0)</f>
        <v>379</v>
      </c>
      <c r="BB89" s="2">
        <f>ROUND(($P89*U89/10/$H89/(1+VLOOKUP($I89,技能效果!$B$2:$D$101,3,FALSE))-1)*10000,0)</f>
        <v>379</v>
      </c>
      <c r="BC89" s="2">
        <f>ROUND(($P89*V89/10/$H89/(1+VLOOKUP($I89,技能效果!$B$2:$D$101,3,FALSE))-1)*10000,0)</f>
        <v>379</v>
      </c>
    </row>
    <row r="90" spans="2:55" x14ac:dyDescent="0.15">
      <c r="B90" s="83"/>
      <c r="C90" s="2">
        <v>88</v>
      </c>
      <c r="D90" s="2">
        <f t="shared" si="33"/>
        <v>53</v>
      </c>
      <c r="E90" s="2">
        <v>2</v>
      </c>
      <c r="F90" s="28">
        <f>INDEX([3]宠物属性!$AL$8:$AL$107,MATCH(D90,[3]宠物属性!$I$8:$I$107,0),1)</f>
        <v>126113.42756443711</v>
      </c>
      <c r="G90" s="68">
        <f>F90/INDEX(角色属性!$AI$8:$AI$107,MATCH(D90,角色属性!$I$8:$I$107,0),1)*E90</f>
        <v>2.6662886668884553</v>
      </c>
      <c r="H90" s="2">
        <f>INDEX(角色属性!$AL$8:$AL$107,MATCH(D90,角色属性!$I$8:$I$107,0),1)</f>
        <v>3373</v>
      </c>
      <c r="I90" s="2">
        <f>INDEX(角色属性!$Y$8:$Y$107,MATCH(D90,角色属性!$I$8:$I$107,0),1)</f>
        <v>53</v>
      </c>
      <c r="J90" s="28">
        <f>H90*10*(1+VLOOKUP(I90,技能效果!$B$2:$D$101,3,FALSE))</f>
        <v>40745.840000000004</v>
      </c>
      <c r="K90" s="28">
        <f>H90*10*(1+VLOOKUP(I90,技能效果!$B$2:$D$101,3,FALSE))*(1+G90)</f>
        <v>149386.01141485031</v>
      </c>
      <c r="L90" s="2">
        <f t="shared" si="19"/>
        <v>90</v>
      </c>
      <c r="M90" s="28">
        <f t="shared" si="20"/>
        <v>45101.44000000001</v>
      </c>
      <c r="N90" s="28">
        <f t="shared" si="21"/>
        <v>162308.1465297754</v>
      </c>
      <c r="O90" s="62">
        <f t="shared" si="31"/>
        <v>148012</v>
      </c>
      <c r="P90" s="62">
        <f t="shared" si="32"/>
        <v>40987</v>
      </c>
      <c r="Q90" s="64">
        <f t="shared" si="30"/>
        <v>2859</v>
      </c>
      <c r="R90" s="67">
        <v>1</v>
      </c>
      <c r="S90" s="67">
        <v>1</v>
      </c>
      <c r="T90" s="67">
        <v>1</v>
      </c>
      <c r="U90" s="67">
        <v>1</v>
      </c>
      <c r="V90" s="67">
        <v>1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64">
        <f>INDEX(角色属性!AM$8:AM$107,MATCH($D90,角色属性!$I$8:$I$107,0),1)</f>
        <v>156620</v>
      </c>
      <c r="AC90" s="64">
        <f>INDEX(角色属性!AN$8:AN$107,MATCH($D90,角色属性!$I$8:$I$107,0),1)</f>
        <v>15662</v>
      </c>
      <c r="AD90" s="64">
        <f>INDEX(角色属性!AO$8:AO$107,MATCH($D90,角色属性!$I$8:$I$107,0),1)</f>
        <v>7831</v>
      </c>
      <c r="AE90" s="64">
        <f>INDEX(角色属性!AP$8:AP$107,MATCH($D90,角色属性!$I$8:$I$107,0),1)</f>
        <v>6264.8</v>
      </c>
      <c r="AF90" s="64">
        <f>INDEX(角色属性!AQ$8:AQ$107,MATCH($D90,角色属性!$I$8:$I$107,0),1)</f>
        <v>6264.8</v>
      </c>
      <c r="AG90" s="64">
        <f>$P90/10/(1+VLOOKUP(I90,技能效果!$B$2:$D$101,3,FALSE))*怪物属性规划!A$18*INDEX(怪物属性等级系数!$A$2:$A$101,MATCH(D90,怪物属性等级系数!$D$2:$D$101,0),1)*R90+W90</f>
        <v>39196.552843334881</v>
      </c>
      <c r="AH90" s="64">
        <f>$P90/10/(1+VLOOKUP($I90,技能效果!$B$2:$D$101,3,FALSE))*怪物属性规划!B$18*S90+X90</f>
        <v>3392.9635761589398</v>
      </c>
      <c r="AI90" s="64">
        <f>$P90/10/(1+VLOOKUP($I90,技能效果!$B$2:$D$101,3,FALSE))*怪物属性规划!C$18*T90+Y90</f>
        <v>3392.9635761589398</v>
      </c>
      <c r="AJ90" s="64">
        <f>$P90/10/(1+VLOOKUP($I90,技能效果!$B$2:$D$101,3,FALSE))*怪物属性规划!D$18*U90+Z90</f>
        <v>2714.3708609271521</v>
      </c>
      <c r="AK90" s="64">
        <f>$P90/10/(1+VLOOKUP($I90,技能效果!$B$2:$D$101,3,FALSE))*怪物属性规划!E$18*V90+AA90</f>
        <v>2714.3708609271521</v>
      </c>
      <c r="AL90" s="67">
        <f>INDEX(角色属性!BB$8:BB$107,MATCH($D90,角色属性!$I$8:$I$107,0),1)</f>
        <v>1.5200000000000005</v>
      </c>
      <c r="AM90" s="64">
        <f>INDEX(角色属性!BC$8:BC$107,MATCH($D90,角色属性!$I$8:$I$107,0),1)</f>
        <v>6599</v>
      </c>
      <c r="AN90" s="64">
        <f>INDEX(角色属性!BD$8:BD$107,MATCH($D90,角色属性!$I$8:$I$107,0),1)</f>
        <v>1721</v>
      </c>
      <c r="AO90" s="69">
        <f t="shared" si="22"/>
        <v>0.5451476930936644</v>
      </c>
      <c r="AP90" s="69">
        <f t="shared" si="23"/>
        <v>0.91384264472199572</v>
      </c>
      <c r="AQ90" s="64">
        <f>AL90*角色属性!$BA$1*(AC90*(1-AO90)+MAX(AF90-AJ90,0))</f>
        <v>32449.950948313231</v>
      </c>
      <c r="AR90" s="64">
        <f>角色属性!$BA$1*(AH90*(1-AP90)+MAX(AK90-AE90,0))</f>
        <v>584.65753655290735</v>
      </c>
      <c r="AS90" s="73">
        <f t="shared" si="24"/>
        <v>0.67105995708364929</v>
      </c>
      <c r="AT90" s="73">
        <f t="shared" si="25"/>
        <v>0.44737330472243286</v>
      </c>
      <c r="AU90" s="73">
        <f t="shared" si="26"/>
        <v>0.33552997854182465</v>
      </c>
      <c r="AV90" s="73">
        <f t="shared" si="27"/>
        <v>267.88331665647996</v>
      </c>
      <c r="AW90" s="73">
        <f t="shared" si="28"/>
        <v>178.58887777098667</v>
      </c>
      <c r="AX90" s="2" t="str">
        <f t="shared" si="29"/>
        <v>r_guanqia_88</v>
      </c>
      <c r="AY90" s="2">
        <f>ROUND(($P90*R90/10/$H90/(1+VLOOKUP($I90,技能效果!$B$2:$D$101,3,FALSE))-1)*10000,0)</f>
        <v>59</v>
      </c>
      <c r="AZ90" s="2">
        <f>ROUND(($P90*S90/10/$H90/(1+VLOOKUP($I90,技能效果!$B$2:$D$101,3,FALSE))-1)*10000,0)</f>
        <v>59</v>
      </c>
      <c r="BA90" s="2">
        <f>ROUND(($P90*T90/10/$H90/(1+VLOOKUP($I90,技能效果!$B$2:$D$101,3,FALSE))-1)*10000,0)</f>
        <v>59</v>
      </c>
      <c r="BB90" s="2">
        <f>ROUND(($P90*U90/10/$H90/(1+VLOOKUP($I90,技能效果!$B$2:$D$101,3,FALSE))-1)*10000,0)</f>
        <v>59</v>
      </c>
      <c r="BC90" s="2">
        <f>ROUND(($P90*V90/10/$H90/(1+VLOOKUP($I90,技能效果!$B$2:$D$101,3,FALSE))-1)*10000,0)</f>
        <v>59</v>
      </c>
    </row>
    <row r="91" spans="2:55" x14ac:dyDescent="0.15">
      <c r="B91" s="83"/>
      <c r="C91" s="2">
        <v>89</v>
      </c>
      <c r="D91" s="2">
        <f t="shared" si="33"/>
        <v>53</v>
      </c>
      <c r="E91" s="2">
        <v>2</v>
      </c>
      <c r="F91" s="28">
        <f>INDEX([3]宠物属性!$AL$8:$AL$107,MATCH(D91,[3]宠物属性!$I$8:$I$107,0),1)</f>
        <v>126113.42756443711</v>
      </c>
      <c r="G91" s="68">
        <f>F91/INDEX(角色属性!$AI$8:$AI$107,MATCH(D91,角色属性!$I$8:$I$107,0),1)*E91</f>
        <v>2.6662886668884553</v>
      </c>
      <c r="H91" s="2">
        <f>INDEX(角色属性!$AL$8:$AL$107,MATCH(D91,角色属性!$I$8:$I$107,0),1)</f>
        <v>3373</v>
      </c>
      <c r="I91" s="2">
        <f>INDEX(角色属性!$Y$8:$Y$107,MATCH(D91,角色属性!$I$8:$I$107,0),1)</f>
        <v>53</v>
      </c>
      <c r="J91" s="28">
        <f>H91*10*(1+VLOOKUP(I91,技能效果!$B$2:$D$101,3,FALSE))</f>
        <v>40745.840000000004</v>
      </c>
      <c r="K91" s="28">
        <f>H91*10*(1+VLOOKUP(I91,技能效果!$B$2:$D$101,3,FALSE))*(1+G91)</f>
        <v>149386.01141485031</v>
      </c>
      <c r="L91" s="2">
        <f t="shared" si="19"/>
        <v>90</v>
      </c>
      <c r="M91" s="28">
        <f t="shared" si="20"/>
        <v>45101.44000000001</v>
      </c>
      <c r="N91" s="28">
        <f t="shared" si="21"/>
        <v>162308.1465297754</v>
      </c>
      <c r="O91" s="62">
        <f t="shared" si="31"/>
        <v>151586</v>
      </c>
      <c r="P91" s="62">
        <f t="shared" si="32"/>
        <v>42016</v>
      </c>
      <c r="Q91" s="64">
        <f t="shared" si="30"/>
        <v>3574</v>
      </c>
      <c r="R91" s="67">
        <v>1</v>
      </c>
      <c r="S91" s="67">
        <v>1</v>
      </c>
      <c r="T91" s="67">
        <v>1</v>
      </c>
      <c r="U91" s="67">
        <v>1</v>
      </c>
      <c r="V91" s="67">
        <v>1</v>
      </c>
      <c r="W91" s="28">
        <v>0</v>
      </c>
      <c r="X91" s="28">
        <v>0</v>
      </c>
      <c r="Y91" s="28">
        <v>0</v>
      </c>
      <c r="Z91" s="28">
        <v>0</v>
      </c>
      <c r="AA91" s="28">
        <v>0</v>
      </c>
      <c r="AB91" s="64">
        <f>INDEX(角色属性!AM$8:AM$107,MATCH($D91,角色属性!$I$8:$I$107,0),1)</f>
        <v>156620</v>
      </c>
      <c r="AC91" s="64">
        <f>INDEX(角色属性!AN$8:AN$107,MATCH($D91,角色属性!$I$8:$I$107,0),1)</f>
        <v>15662</v>
      </c>
      <c r="AD91" s="64">
        <f>INDEX(角色属性!AO$8:AO$107,MATCH($D91,角色属性!$I$8:$I$107,0),1)</f>
        <v>7831</v>
      </c>
      <c r="AE91" s="64">
        <f>INDEX(角色属性!AP$8:AP$107,MATCH($D91,角色属性!$I$8:$I$107,0),1)</f>
        <v>6264.8</v>
      </c>
      <c r="AF91" s="64">
        <f>INDEX(角色属性!AQ$8:AQ$107,MATCH($D91,角色属性!$I$8:$I$107,0),1)</f>
        <v>6264.8</v>
      </c>
      <c r="AG91" s="64">
        <f>$P91/10/(1+VLOOKUP(I91,技能效果!$B$2:$D$101,3,FALSE))*怪物属性规划!A$18*INDEX(怪物属性等级系数!$A$2:$A$101,MATCH(D91,怪物属性等级系数!$D$2:$D$101,0),1)*R91+W91</f>
        <v>40180.602734173248</v>
      </c>
      <c r="AH91" s="64">
        <f>$P91/10/(1+VLOOKUP($I91,技能效果!$B$2:$D$101,3,FALSE))*怪物属性规划!B$18*S91+X91</f>
        <v>3478.1456953642382</v>
      </c>
      <c r="AI91" s="64">
        <f>$P91/10/(1+VLOOKUP($I91,技能效果!$B$2:$D$101,3,FALSE))*怪物属性规划!C$18*T91+Y91</f>
        <v>3478.1456953642382</v>
      </c>
      <c r="AJ91" s="64">
        <f>$P91/10/(1+VLOOKUP($I91,技能效果!$B$2:$D$101,3,FALSE))*怪物属性规划!D$18*U91+Z91</f>
        <v>2782.5165562913908</v>
      </c>
      <c r="AK91" s="64">
        <f>$P91/10/(1+VLOOKUP($I91,技能效果!$B$2:$D$101,3,FALSE))*怪物属性规划!E$18*V91+AA91</f>
        <v>2782.5165562913908</v>
      </c>
      <c r="AL91" s="67">
        <f>INDEX(角色属性!BB$8:BB$107,MATCH($D91,角色属性!$I$8:$I$107,0),1)</f>
        <v>1.5200000000000005</v>
      </c>
      <c r="AM91" s="64">
        <f>INDEX(角色属性!BC$8:BC$107,MATCH($D91,角色属性!$I$8:$I$107,0),1)</f>
        <v>6599</v>
      </c>
      <c r="AN91" s="64">
        <f>INDEX(角色属性!BD$8:BD$107,MATCH($D91,角色属性!$I$8:$I$107,0),1)</f>
        <v>1721</v>
      </c>
      <c r="AO91" s="69">
        <f t="shared" si="22"/>
        <v>0.55128885124598848</v>
      </c>
      <c r="AP91" s="69">
        <f t="shared" si="23"/>
        <v>0.91384264472199572</v>
      </c>
      <c r="AQ91" s="64">
        <f>AL91*角色属性!$BA$1*(AC91*(1-AO91)+MAX(AF91-AJ91,0))</f>
        <v>31950.392264701582</v>
      </c>
      <c r="AR91" s="64">
        <f>角色属性!$BA$1*(AH91*(1-AP91)+MAX(AK91-AE91,0))</f>
        <v>599.33566876831583</v>
      </c>
      <c r="AS91" s="73">
        <f t="shared" si="24"/>
        <v>0.69866300512380231</v>
      </c>
      <c r="AT91" s="73">
        <f t="shared" si="25"/>
        <v>0.46577533674920146</v>
      </c>
      <c r="AU91" s="73">
        <f t="shared" si="26"/>
        <v>0.34933150256190115</v>
      </c>
      <c r="AV91" s="73">
        <f t="shared" si="27"/>
        <v>261.32267469057365</v>
      </c>
      <c r="AW91" s="73">
        <f t="shared" si="28"/>
        <v>174.21511646038243</v>
      </c>
      <c r="AX91" s="2" t="str">
        <f t="shared" si="29"/>
        <v>r_guanqia_89</v>
      </c>
      <c r="AY91" s="2">
        <f>ROUND(($P91*R91/10/$H91/(1+VLOOKUP($I91,技能效果!$B$2:$D$101,3,FALSE))-1)*10000,0)</f>
        <v>312</v>
      </c>
      <c r="AZ91" s="2">
        <f>ROUND(($P91*S91/10/$H91/(1+VLOOKUP($I91,技能效果!$B$2:$D$101,3,FALSE))-1)*10000,0)</f>
        <v>312</v>
      </c>
      <c r="BA91" s="2">
        <f>ROUND(($P91*T91/10/$H91/(1+VLOOKUP($I91,技能效果!$B$2:$D$101,3,FALSE))-1)*10000,0)</f>
        <v>312</v>
      </c>
      <c r="BB91" s="2">
        <f>ROUND(($P91*U91/10/$H91/(1+VLOOKUP($I91,技能效果!$B$2:$D$101,3,FALSE))-1)*10000,0)</f>
        <v>312</v>
      </c>
      <c r="BC91" s="2">
        <f>ROUND(($P91*V91/10/$H91/(1+VLOOKUP($I91,技能效果!$B$2:$D$101,3,FALSE))-1)*10000,0)</f>
        <v>312</v>
      </c>
    </row>
    <row r="92" spans="2:55" x14ac:dyDescent="0.15">
      <c r="B92" s="83"/>
      <c r="C92" s="2">
        <v>90</v>
      </c>
      <c r="D92" s="2">
        <f t="shared" si="33"/>
        <v>55</v>
      </c>
      <c r="E92" s="2">
        <v>2</v>
      </c>
      <c r="F92" s="28">
        <f>INDEX([3]宠物属性!$AL$8:$AL$107,MATCH(D92,[3]宠物属性!$I$8:$I$107,0),1)</f>
        <v>150829.7682034559</v>
      </c>
      <c r="G92" s="68">
        <f>F92/INDEX(角色属性!$AI$8:$AI$107,MATCH(D92,角色属性!$I$8:$I$107,0),1)*E92</f>
        <v>2.5987353514605158</v>
      </c>
      <c r="H92" s="2">
        <f>INDEX(角色属性!$AL$8:$AL$107,MATCH(D92,角色属性!$I$8:$I$107,0),1)</f>
        <v>3709</v>
      </c>
      <c r="I92" s="2">
        <f>INDEX(角色属性!$Y$8:$Y$107,MATCH(D92,角色属性!$I$8:$I$107,0),1)</f>
        <v>55</v>
      </c>
      <c r="J92" s="28">
        <f>H92*10*(1+VLOOKUP(I92,技能效果!$B$2:$D$101,3,FALSE))</f>
        <v>45101.44000000001</v>
      </c>
      <c r="K92" s="28">
        <f>H92*10*(1+VLOOKUP(I92,技能效果!$B$2:$D$101,3,FALSE))*(1+G92)</f>
        <v>162308.1465297754</v>
      </c>
      <c r="L92" s="2">
        <f t="shared" si="19"/>
        <v>90</v>
      </c>
      <c r="M92" s="28">
        <f t="shared" si="20"/>
        <v>45101.44000000001</v>
      </c>
      <c r="N92" s="28">
        <f t="shared" si="21"/>
        <v>162308.1465297754</v>
      </c>
      <c r="O92" s="62">
        <f t="shared" si="31"/>
        <v>162308</v>
      </c>
      <c r="P92" s="62">
        <f t="shared" si="32"/>
        <v>45101</v>
      </c>
      <c r="Q92" s="64">
        <f t="shared" si="30"/>
        <v>10722</v>
      </c>
      <c r="R92" s="67">
        <v>1</v>
      </c>
      <c r="S92" s="67">
        <v>1</v>
      </c>
      <c r="T92" s="67">
        <v>1</v>
      </c>
      <c r="U92" s="67">
        <v>1</v>
      </c>
      <c r="V92" s="67">
        <v>1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64">
        <f>INDEX(角色属性!AM$8:AM$107,MATCH($D92,角色属性!$I$8:$I$107,0),1)</f>
        <v>190920</v>
      </c>
      <c r="AC92" s="64">
        <f>INDEX(角色属性!AN$8:AN$107,MATCH($D92,角色属性!$I$8:$I$107,0),1)</f>
        <v>19092</v>
      </c>
      <c r="AD92" s="64">
        <f>INDEX(角色属性!AO$8:AO$107,MATCH($D92,角色属性!$I$8:$I$107,0),1)</f>
        <v>9546</v>
      </c>
      <c r="AE92" s="64">
        <f>INDEX(角色属性!AP$8:AP$107,MATCH($D92,角色属性!$I$8:$I$107,0),1)</f>
        <v>7636.8</v>
      </c>
      <c r="AF92" s="64">
        <f>INDEX(角色属性!AQ$8:AQ$107,MATCH($D92,角色属性!$I$8:$I$107,0),1)</f>
        <v>7636.8</v>
      </c>
      <c r="AG92" s="64">
        <f>$P92/10/(1+VLOOKUP(I92,技能效果!$B$2:$D$101,3,FALSE))*怪物属性规划!A$18*INDEX(怪物属性等级系数!$A$2:$A$101,MATCH(D92,怪物属性等级系数!$D$2:$D$101,0),1)*R92+W92</f>
        <v>43972.638199453875</v>
      </c>
      <c r="AH92" s="64">
        <f>$P92/10/(1+VLOOKUP($I92,技能效果!$B$2:$D$101,3,FALSE))*怪物属性规划!B$18*S92+X92</f>
        <v>3708.9638157894733</v>
      </c>
      <c r="AI92" s="64">
        <f>$P92/10/(1+VLOOKUP($I92,技能效果!$B$2:$D$101,3,FALSE))*怪物属性规划!C$18*T92+Y92</f>
        <v>3708.9638157894733</v>
      </c>
      <c r="AJ92" s="64">
        <f>$P92/10/(1+VLOOKUP($I92,技能效果!$B$2:$D$101,3,FALSE))*怪物属性规划!D$18*U92+Z92</f>
        <v>2967.1710526315787</v>
      </c>
      <c r="AK92" s="64">
        <f>$P92/10/(1+VLOOKUP($I92,技能效果!$B$2:$D$101,3,FALSE))*怪物属性规划!E$18*V92+AA92</f>
        <v>2967.1710526315787</v>
      </c>
      <c r="AL92" s="67">
        <f>INDEX(角色属性!BB$8:BB$107,MATCH($D92,角色属性!$I$8:$I$107,0),1)</f>
        <v>1.5400000000000005</v>
      </c>
      <c r="AM92" s="64">
        <f>INDEX(角色属性!BC$8:BC$107,MATCH($D92,角色属性!$I$8:$I$107,0),1)</f>
        <v>7434</v>
      </c>
      <c r="AN92" s="64">
        <f>INDEX(角色属性!BD$8:BD$107,MATCH($D92,角色属性!$I$8:$I$107,0),1)</f>
        <v>1904</v>
      </c>
      <c r="AO92" s="69">
        <f t="shared" si="22"/>
        <v>0.53767516143239824</v>
      </c>
      <c r="AP92" s="69">
        <f t="shared" si="23"/>
        <v>0.92117818168343424</v>
      </c>
      <c r="AQ92" s="64">
        <f>AL92*角色属性!$BA$1*(AC92*(1-AO92)+MAX(AF92-AJ92,0))</f>
        <v>41568.711077127322</v>
      </c>
      <c r="AR92" s="64">
        <f>角色属性!$BA$1*(AH92*(1-AP92)+MAX(AK92-AE92,0))</f>
        <v>584.69454406174873</v>
      </c>
      <c r="AS92" s="73">
        <f t="shared" si="24"/>
        <v>0.58768344774545911</v>
      </c>
      <c r="AT92" s="73">
        <f t="shared" si="25"/>
        <v>0.39178896516363937</v>
      </c>
      <c r="AU92" s="73">
        <f t="shared" si="26"/>
        <v>0.29384172387272955</v>
      </c>
      <c r="AV92" s="73">
        <f t="shared" si="27"/>
        <v>326.52947071084219</v>
      </c>
      <c r="AW92" s="73">
        <f t="shared" si="28"/>
        <v>217.68631380722812</v>
      </c>
      <c r="AX92" s="2" t="str">
        <f t="shared" si="29"/>
        <v>r_guanqia_90</v>
      </c>
      <c r="AY92" s="2">
        <f>ROUND(($P92*R92/10/$H92/(1+VLOOKUP($I92,技能效果!$B$2:$D$101,3,FALSE))-1)*10000,0)</f>
        <v>0</v>
      </c>
      <c r="AZ92" s="2">
        <f>ROUND(($P92*S92/10/$H92/(1+VLOOKUP($I92,技能效果!$B$2:$D$101,3,FALSE))-1)*10000,0)</f>
        <v>0</v>
      </c>
      <c r="BA92" s="2">
        <f>ROUND(($P92*T92/10/$H92/(1+VLOOKUP($I92,技能效果!$B$2:$D$101,3,FALSE))-1)*10000,0)</f>
        <v>0</v>
      </c>
      <c r="BB92" s="2">
        <f>ROUND(($P92*U92/10/$H92/(1+VLOOKUP($I92,技能效果!$B$2:$D$101,3,FALSE))-1)*10000,0)</f>
        <v>0</v>
      </c>
      <c r="BC92" s="2">
        <f>ROUND(($P92*V92/10/$H92/(1+VLOOKUP($I92,技能效果!$B$2:$D$101,3,FALSE))-1)*10000,0)</f>
        <v>0</v>
      </c>
    </row>
    <row r="93" spans="2:55" x14ac:dyDescent="0.15">
      <c r="B93" s="83" t="s">
        <v>121</v>
      </c>
      <c r="C93" s="2">
        <v>91</v>
      </c>
      <c r="D93" s="2">
        <f t="shared" si="33"/>
        <v>55</v>
      </c>
      <c r="E93" s="2">
        <v>2</v>
      </c>
      <c r="F93" s="28">
        <f>INDEX([3]宠物属性!$AL$8:$AL$107,MATCH(D93,[3]宠物属性!$I$8:$I$107,0),1)</f>
        <v>150829.7682034559</v>
      </c>
      <c r="G93" s="68">
        <f>F93/INDEX(角色属性!$AI$8:$AI$107,MATCH(D93,角色属性!$I$8:$I$107,0),1)*E93</f>
        <v>2.5987353514605158</v>
      </c>
      <c r="H93" s="2">
        <f>INDEX(角色属性!$AL$8:$AL$107,MATCH(D93,角色属性!$I$8:$I$107,0),1)</f>
        <v>3709</v>
      </c>
      <c r="I93" s="2">
        <f>INDEX(角色属性!$Y$8:$Y$107,MATCH(D93,角色属性!$I$8:$I$107,0),1)</f>
        <v>55</v>
      </c>
      <c r="J93" s="28">
        <f>H93*10*(1+VLOOKUP(I93,技能效果!$B$2:$D$101,3,FALSE))</f>
        <v>45101.44000000001</v>
      </c>
      <c r="K93" s="28">
        <f>H93*10*(1+VLOOKUP(I93,技能效果!$B$2:$D$101,3,FALSE))*(1+G93)</f>
        <v>162308.1465297754</v>
      </c>
      <c r="L93" s="2">
        <f t="shared" si="19"/>
        <v>100</v>
      </c>
      <c r="M93" s="28">
        <f t="shared" si="20"/>
        <v>57449.280000000006</v>
      </c>
      <c r="N93" s="28">
        <f t="shared" si="21"/>
        <v>204455.48535872731</v>
      </c>
      <c r="O93" s="62">
        <f t="shared" si="31"/>
        <v>163573</v>
      </c>
      <c r="P93" s="62">
        <f t="shared" si="32"/>
        <v>45472</v>
      </c>
      <c r="Q93" s="64">
        <f t="shared" si="30"/>
        <v>1265</v>
      </c>
      <c r="R93" s="67">
        <v>1</v>
      </c>
      <c r="S93" s="67">
        <v>1</v>
      </c>
      <c r="T93" s="67">
        <v>1</v>
      </c>
      <c r="U93" s="67">
        <v>1</v>
      </c>
      <c r="V93" s="67">
        <v>1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64">
        <f>INDEX(角色属性!AM$8:AM$107,MATCH($D93,角色属性!$I$8:$I$107,0),1)</f>
        <v>190920</v>
      </c>
      <c r="AC93" s="64">
        <f>INDEX(角色属性!AN$8:AN$107,MATCH($D93,角色属性!$I$8:$I$107,0),1)</f>
        <v>19092</v>
      </c>
      <c r="AD93" s="64">
        <f>INDEX(角色属性!AO$8:AO$107,MATCH($D93,角色属性!$I$8:$I$107,0),1)</f>
        <v>9546</v>
      </c>
      <c r="AE93" s="64">
        <f>INDEX(角色属性!AP$8:AP$107,MATCH($D93,角色属性!$I$8:$I$107,0),1)</f>
        <v>7636.8</v>
      </c>
      <c r="AF93" s="64">
        <f>INDEX(角色属性!AQ$8:AQ$107,MATCH($D93,角色属性!$I$8:$I$107,0),1)</f>
        <v>7636.8</v>
      </c>
      <c r="AG93" s="64">
        <f>$P93/10/(1+VLOOKUP(I93,技能效果!$B$2:$D$101,3,FALSE))*怪物属性规划!A$18*INDEX(怪物属性等级系数!$A$2:$A$101,MATCH(D93,怪物属性等级系数!$D$2:$D$101,0),1)*R93+W93</f>
        <v>44334.356315947909</v>
      </c>
      <c r="AH93" s="64">
        <f>$P93/10/(1+VLOOKUP($I93,技能效果!$B$2:$D$101,3,FALSE))*怪物属性规划!B$18*S93+X93</f>
        <v>3739.4736842105258</v>
      </c>
      <c r="AI93" s="64">
        <f>$P93/10/(1+VLOOKUP($I93,技能效果!$B$2:$D$101,3,FALSE))*怪物属性规划!C$18*T93+Y93</f>
        <v>3739.4736842105258</v>
      </c>
      <c r="AJ93" s="64">
        <f>$P93/10/(1+VLOOKUP($I93,技能效果!$B$2:$D$101,3,FALSE))*怪物属性规划!D$18*U93+Z93</f>
        <v>2991.5789473684208</v>
      </c>
      <c r="AK93" s="64">
        <f>$P93/10/(1+VLOOKUP($I93,技能效果!$B$2:$D$101,3,FALSE))*怪物属性规划!E$18*V93+AA93</f>
        <v>2991.5789473684208</v>
      </c>
      <c r="AL93" s="67">
        <f>INDEX(角色属性!BB$8:BB$107,MATCH($D93,角色属性!$I$8:$I$107,0),1)</f>
        <v>1.5400000000000005</v>
      </c>
      <c r="AM93" s="64">
        <f>INDEX(角色属性!BC$8:BC$107,MATCH($D93,角色属性!$I$8:$I$107,0),1)</f>
        <v>7434</v>
      </c>
      <c r="AN93" s="64">
        <f>INDEX(角色属性!BD$8:BD$107,MATCH($D93,角色属性!$I$8:$I$107,0),1)</f>
        <v>1904</v>
      </c>
      <c r="AO93" s="69">
        <f t="shared" si="22"/>
        <v>0.5397109765301763</v>
      </c>
      <c r="AP93" s="69">
        <f t="shared" si="23"/>
        <v>0.92117818168343424</v>
      </c>
      <c r="AQ93" s="64">
        <f>AL93*角色属性!$BA$1*(AC93*(1-AO93)+MAX(AF93-AJ93,0))</f>
        <v>41373.821993249767</v>
      </c>
      <c r="AR93" s="64">
        <f>角色属性!$BA$1*(AH93*(1-AP93)+MAX(AK93-AE93,0))</f>
        <v>589.5042306728418</v>
      </c>
      <c r="AS93" s="73">
        <f t="shared" si="24"/>
        <v>0.59530874274372969</v>
      </c>
      <c r="AT93" s="73">
        <f t="shared" si="25"/>
        <v>0.39687249516248652</v>
      </c>
      <c r="AU93" s="73">
        <f t="shared" si="26"/>
        <v>0.29765437137186485</v>
      </c>
      <c r="AV93" s="73">
        <f t="shared" si="27"/>
        <v>323.86536018934055</v>
      </c>
      <c r="AW93" s="73">
        <f t="shared" si="28"/>
        <v>215.91024012622705</v>
      </c>
      <c r="AX93" s="2" t="str">
        <f t="shared" si="29"/>
        <v>r_guanqia_91</v>
      </c>
      <c r="AY93" s="2">
        <f>ROUND(($P93*R93/10/$H93/(1+VLOOKUP($I93,技能效果!$B$2:$D$101,3,FALSE))-1)*10000,0)</f>
        <v>82</v>
      </c>
      <c r="AZ93" s="2">
        <f>ROUND(($P93*S93/10/$H93/(1+VLOOKUP($I93,技能效果!$B$2:$D$101,3,FALSE))-1)*10000,0)</f>
        <v>82</v>
      </c>
      <c r="BA93" s="2">
        <f>ROUND(($P93*T93/10/$H93/(1+VLOOKUP($I93,技能效果!$B$2:$D$101,3,FALSE))-1)*10000,0)</f>
        <v>82</v>
      </c>
      <c r="BB93" s="2">
        <f>ROUND(($P93*U93/10/$H93/(1+VLOOKUP($I93,技能效果!$B$2:$D$101,3,FALSE))-1)*10000,0)</f>
        <v>82</v>
      </c>
      <c r="BC93" s="2">
        <f>ROUND(($P93*V93/10/$H93/(1+VLOOKUP($I93,技能效果!$B$2:$D$101,3,FALSE))-1)*10000,0)</f>
        <v>82</v>
      </c>
    </row>
    <row r="94" spans="2:55" x14ac:dyDescent="0.15">
      <c r="B94" s="83"/>
      <c r="C94" s="2">
        <v>92</v>
      </c>
      <c r="D94" s="2">
        <f t="shared" si="33"/>
        <v>55</v>
      </c>
      <c r="E94" s="2">
        <v>2</v>
      </c>
      <c r="F94" s="28">
        <f>INDEX([3]宠物属性!$AL$8:$AL$107,MATCH(D94,[3]宠物属性!$I$8:$I$107,0),1)</f>
        <v>150829.7682034559</v>
      </c>
      <c r="G94" s="68">
        <f>F94/INDEX(角色属性!$AI$8:$AI$107,MATCH(D94,角色属性!$I$8:$I$107,0),1)*E94</f>
        <v>2.5987353514605158</v>
      </c>
      <c r="H94" s="2">
        <f>INDEX(角色属性!$AL$8:$AL$107,MATCH(D94,角色属性!$I$8:$I$107,0),1)</f>
        <v>3709</v>
      </c>
      <c r="I94" s="2">
        <f>INDEX(角色属性!$Y$8:$Y$107,MATCH(D94,角色属性!$I$8:$I$107,0),1)</f>
        <v>55</v>
      </c>
      <c r="J94" s="28">
        <f>H94*10*(1+VLOOKUP(I94,技能效果!$B$2:$D$101,3,FALSE))</f>
        <v>45101.44000000001</v>
      </c>
      <c r="K94" s="28">
        <f>H94*10*(1+VLOOKUP(I94,技能效果!$B$2:$D$101,3,FALSE))*(1+G94)</f>
        <v>162308.1465297754</v>
      </c>
      <c r="L94" s="2">
        <f t="shared" si="19"/>
        <v>100</v>
      </c>
      <c r="M94" s="28">
        <f t="shared" si="20"/>
        <v>57449.280000000006</v>
      </c>
      <c r="N94" s="28">
        <f t="shared" si="21"/>
        <v>204455.48535872731</v>
      </c>
      <c r="O94" s="62">
        <f t="shared" si="31"/>
        <v>165680</v>
      </c>
      <c r="P94" s="62">
        <f t="shared" si="32"/>
        <v>46089</v>
      </c>
      <c r="Q94" s="64">
        <f t="shared" si="30"/>
        <v>2107</v>
      </c>
      <c r="R94" s="67">
        <v>1</v>
      </c>
      <c r="S94" s="67">
        <v>1</v>
      </c>
      <c r="T94" s="67">
        <v>1</v>
      </c>
      <c r="U94" s="67">
        <v>1</v>
      </c>
      <c r="V94" s="67">
        <v>1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64">
        <f>INDEX(角色属性!AM$8:AM$107,MATCH($D94,角色属性!$I$8:$I$107,0),1)</f>
        <v>190920</v>
      </c>
      <c r="AC94" s="64">
        <f>INDEX(角色属性!AN$8:AN$107,MATCH($D94,角色属性!$I$8:$I$107,0),1)</f>
        <v>19092</v>
      </c>
      <c r="AD94" s="64">
        <f>INDEX(角色属性!AO$8:AO$107,MATCH($D94,角色属性!$I$8:$I$107,0),1)</f>
        <v>9546</v>
      </c>
      <c r="AE94" s="64">
        <f>INDEX(角色属性!AP$8:AP$107,MATCH($D94,角色属性!$I$8:$I$107,0),1)</f>
        <v>7636.8</v>
      </c>
      <c r="AF94" s="64">
        <f>INDEX(角色属性!AQ$8:AQ$107,MATCH($D94,角色属性!$I$8:$I$107,0),1)</f>
        <v>7636.8</v>
      </c>
      <c r="AG94" s="64">
        <f>$P94/10/(1+VLOOKUP(I94,技能效果!$B$2:$D$101,3,FALSE))*怪物属性规划!A$18*INDEX(怪物属性等级系数!$A$2:$A$101,MATCH(D94,怪物属性等级系数!$D$2:$D$101,0),1)*R94+W94</f>
        <v>44935.919868176527</v>
      </c>
      <c r="AH94" s="64">
        <f>$P94/10/(1+VLOOKUP($I94,技能效果!$B$2:$D$101,3,FALSE))*怪物属性规划!B$18*S94+X94</f>
        <v>3790.2138157894728</v>
      </c>
      <c r="AI94" s="64">
        <f>$P94/10/(1+VLOOKUP($I94,技能效果!$B$2:$D$101,3,FALSE))*怪物属性规划!C$18*T94+Y94</f>
        <v>3790.2138157894728</v>
      </c>
      <c r="AJ94" s="64">
        <f>$P94/10/(1+VLOOKUP($I94,技能效果!$B$2:$D$101,3,FALSE))*怪物属性规划!D$18*U94+Z94</f>
        <v>3032.1710526315783</v>
      </c>
      <c r="AK94" s="64">
        <f>$P94/10/(1+VLOOKUP($I94,技能效果!$B$2:$D$101,3,FALSE))*怪物属性规划!E$18*V94+AA94</f>
        <v>3032.1710526315783</v>
      </c>
      <c r="AL94" s="67">
        <f>INDEX(角色属性!BB$8:BB$107,MATCH($D94,角色属性!$I$8:$I$107,0),1)</f>
        <v>1.5400000000000005</v>
      </c>
      <c r="AM94" s="64">
        <f>INDEX(角色属性!BC$8:BC$107,MATCH($D94,角色属性!$I$8:$I$107,0),1)</f>
        <v>7434</v>
      </c>
      <c r="AN94" s="64">
        <f>INDEX(角色属性!BD$8:BD$107,MATCH($D94,角色属性!$I$8:$I$107,0),1)</f>
        <v>1904</v>
      </c>
      <c r="AO94" s="69">
        <f t="shared" si="22"/>
        <v>0.54305727080069044</v>
      </c>
      <c r="AP94" s="69">
        <f t="shared" si="23"/>
        <v>0.92117818168343424</v>
      </c>
      <c r="AQ94" s="64">
        <f>AL94*角色属性!$BA$1*(AC94*(1-AO94)+MAX(AF94-AJ94,0))</f>
        <v>41052.024962384261</v>
      </c>
      <c r="AR94" s="64">
        <f>角色属性!$BA$1*(AH94*(1-AP94)+MAX(AK94-AE94,0))</f>
        <v>597.50308953819058</v>
      </c>
      <c r="AS94" s="73">
        <f t="shared" si="24"/>
        <v>0.60811616356658349</v>
      </c>
      <c r="AT94" s="73">
        <f t="shared" si="25"/>
        <v>0.40541077571105566</v>
      </c>
      <c r="AU94" s="73">
        <f t="shared" si="26"/>
        <v>0.30405808178329174</v>
      </c>
      <c r="AV94" s="73">
        <f t="shared" si="27"/>
        <v>319.52972853673748</v>
      </c>
      <c r="AW94" s="73">
        <f t="shared" si="28"/>
        <v>213.01981902449168</v>
      </c>
      <c r="AX94" s="2" t="str">
        <f t="shared" si="29"/>
        <v>r_guanqia_92</v>
      </c>
      <c r="AY94" s="2">
        <f>ROUND(($P94*R94/10/$H94/(1+VLOOKUP($I94,技能效果!$B$2:$D$101,3,FALSE))-1)*10000,0)</f>
        <v>219</v>
      </c>
      <c r="AZ94" s="2">
        <f>ROUND(($P94*S94/10/$H94/(1+VLOOKUP($I94,技能效果!$B$2:$D$101,3,FALSE))-1)*10000,0)</f>
        <v>219</v>
      </c>
      <c r="BA94" s="2">
        <f>ROUND(($P94*T94/10/$H94/(1+VLOOKUP($I94,技能效果!$B$2:$D$101,3,FALSE))-1)*10000,0)</f>
        <v>219</v>
      </c>
      <c r="BB94" s="2">
        <f>ROUND(($P94*U94/10/$H94/(1+VLOOKUP($I94,技能效果!$B$2:$D$101,3,FALSE))-1)*10000,0)</f>
        <v>219</v>
      </c>
      <c r="BC94" s="2">
        <f>ROUND(($P94*V94/10/$H94/(1+VLOOKUP($I94,技能效果!$B$2:$D$101,3,FALSE))-1)*10000,0)</f>
        <v>219</v>
      </c>
    </row>
    <row r="95" spans="2:55" x14ac:dyDescent="0.15">
      <c r="B95" s="83"/>
      <c r="C95" s="2">
        <v>93</v>
      </c>
      <c r="D95" s="2">
        <f t="shared" si="33"/>
        <v>56</v>
      </c>
      <c r="E95" s="2">
        <v>2</v>
      </c>
      <c r="F95" s="28">
        <f>INDEX([3]宠物属性!$AL$8:$AL$107,MATCH(D95,[3]宠物属性!$I$8:$I$107,0),1)</f>
        <v>152589.63785586561</v>
      </c>
      <c r="G95" s="68">
        <f>F95/INDEX(角色属性!$AI$8:$AI$107,MATCH(D95,角色属性!$I$8:$I$107,0),1)*E95</f>
        <v>2.5938090761582093</v>
      </c>
      <c r="H95" s="2">
        <f>INDEX(角色属性!$AL$8:$AL$107,MATCH(D95,角色属性!$I$8:$I$107,0),1)</f>
        <v>3885</v>
      </c>
      <c r="I95" s="2">
        <f>INDEX(角色属性!$Y$8:$Y$107,MATCH(D95,角色属性!$I$8:$I$107,0),1)</f>
        <v>56</v>
      </c>
      <c r="J95" s="28">
        <f>H95*10*(1+VLOOKUP(I95,技能效果!$B$2:$D$101,3,FALSE))</f>
        <v>47397.000000000007</v>
      </c>
      <c r="K95" s="28">
        <f>H95*10*(1+VLOOKUP(I95,技能效果!$B$2:$D$101,3,FALSE))*(1+G95)</f>
        <v>170335.76878267067</v>
      </c>
      <c r="L95" s="2">
        <f t="shared" si="19"/>
        <v>100</v>
      </c>
      <c r="M95" s="28">
        <f t="shared" si="20"/>
        <v>57449.280000000006</v>
      </c>
      <c r="N95" s="28">
        <f t="shared" si="21"/>
        <v>204455.48535872731</v>
      </c>
      <c r="O95" s="62">
        <f t="shared" si="31"/>
        <v>168630</v>
      </c>
      <c r="P95" s="62">
        <f t="shared" si="32"/>
        <v>46954</v>
      </c>
      <c r="Q95" s="64">
        <f t="shared" si="30"/>
        <v>2950</v>
      </c>
      <c r="R95" s="67">
        <v>1</v>
      </c>
      <c r="S95" s="67">
        <v>1</v>
      </c>
      <c r="T95" s="67">
        <v>1</v>
      </c>
      <c r="U95" s="67">
        <v>1</v>
      </c>
      <c r="V95" s="67">
        <v>1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64">
        <f>INDEX(角色属性!AM$8:AM$107,MATCH($D95,角色属性!$I$8:$I$107,0),1)</f>
        <v>192880</v>
      </c>
      <c r="AC95" s="64">
        <f>INDEX(角色属性!AN$8:AN$107,MATCH($D95,角色属性!$I$8:$I$107,0),1)</f>
        <v>19288</v>
      </c>
      <c r="AD95" s="64">
        <f>INDEX(角色属性!AO$8:AO$107,MATCH($D95,角色属性!$I$8:$I$107,0),1)</f>
        <v>9644</v>
      </c>
      <c r="AE95" s="64">
        <f>INDEX(角色属性!AP$8:AP$107,MATCH($D95,角色属性!$I$8:$I$107,0),1)</f>
        <v>7715.2</v>
      </c>
      <c r="AF95" s="64">
        <f>INDEX(角色属性!AQ$8:AQ$107,MATCH($D95,角色属性!$I$8:$I$107,0),1)</f>
        <v>7715.2</v>
      </c>
      <c r="AG95" s="64">
        <f>$P95/10/(1+VLOOKUP(I95,技能效果!$B$2:$D$101,3,FALSE))*怪物属性规划!A$18*INDEX(怪物属性等级系数!$A$2:$A$101,MATCH(D95,怪物属性等级系数!$D$2:$D$101,0),1)*R95+W95</f>
        <v>46236.616563571421</v>
      </c>
      <c r="AH95" s="64">
        <f>$P95/10/(1+VLOOKUP($I95,技能效果!$B$2:$D$101,3,FALSE))*怪物属性规划!B$18*S95+X95</f>
        <v>3848.6885245901631</v>
      </c>
      <c r="AI95" s="64">
        <f>$P95/10/(1+VLOOKUP($I95,技能效果!$B$2:$D$101,3,FALSE))*怪物属性规划!C$18*T95+Y95</f>
        <v>3848.6885245901631</v>
      </c>
      <c r="AJ95" s="64">
        <f>$P95/10/(1+VLOOKUP($I95,技能效果!$B$2:$D$101,3,FALSE))*怪物属性规划!D$18*U95+Z95</f>
        <v>3078.9508196721308</v>
      </c>
      <c r="AK95" s="64">
        <f>$P95/10/(1+VLOOKUP($I95,技能效果!$B$2:$D$101,3,FALSE))*怪物属性规划!E$18*V95+AA95</f>
        <v>3078.9508196721308</v>
      </c>
      <c r="AL95" s="67">
        <f>INDEX(角色属性!BB$8:BB$107,MATCH($D95,角色属性!$I$8:$I$107,0),1)</f>
        <v>1.5500000000000005</v>
      </c>
      <c r="AM95" s="64">
        <f>INDEX(角色属性!BC$8:BC$107,MATCH($D95,角色属性!$I$8:$I$107,0),1)</f>
        <v>7881</v>
      </c>
      <c r="AN95" s="64">
        <f>INDEX(角色属性!BD$8:BD$107,MATCH($D95,角色属性!$I$8:$I$107,0),1)</f>
        <v>1930</v>
      </c>
      <c r="AO95" s="69">
        <f t="shared" si="22"/>
        <v>0.53234875351628907</v>
      </c>
      <c r="AP95" s="69">
        <f t="shared" si="23"/>
        <v>0.92093464744455922</v>
      </c>
      <c r="AQ95" s="64">
        <f>AL95*角色属性!$BA$1*(AC95*(1-AO95)+MAX(AF95-AJ95,0))</f>
        <v>42334.549909767637</v>
      </c>
      <c r="AR95" s="64">
        <f>角色属性!$BA$1*(AH95*(1-AP95)+MAX(AK95-AE95,0))</f>
        <v>608.59583014560087</v>
      </c>
      <c r="AS95" s="73">
        <f t="shared" si="24"/>
        <v>0.60676230777777762</v>
      </c>
      <c r="AT95" s="73">
        <f t="shared" si="25"/>
        <v>0.4045082051851851</v>
      </c>
      <c r="AU95" s="73">
        <f t="shared" si="26"/>
        <v>0.30338115388888881</v>
      </c>
      <c r="AV95" s="73">
        <f t="shared" si="27"/>
        <v>316.92625950765267</v>
      </c>
      <c r="AW95" s="73">
        <f t="shared" si="28"/>
        <v>211.28417300510176</v>
      </c>
      <c r="AX95" s="2" t="str">
        <f t="shared" si="29"/>
        <v>r_guanqia_93</v>
      </c>
      <c r="AY95" s="2">
        <f>ROUND(($P95*R95/10/$H95/(1+VLOOKUP($I95,技能效果!$B$2:$D$101,3,FALSE))-1)*10000,0)</f>
        <v>-93</v>
      </c>
      <c r="AZ95" s="2">
        <f>ROUND(($P95*S95/10/$H95/(1+VLOOKUP($I95,技能效果!$B$2:$D$101,3,FALSE))-1)*10000,0)</f>
        <v>-93</v>
      </c>
      <c r="BA95" s="2">
        <f>ROUND(($P95*T95/10/$H95/(1+VLOOKUP($I95,技能效果!$B$2:$D$101,3,FALSE))-1)*10000,0)</f>
        <v>-93</v>
      </c>
      <c r="BB95" s="2">
        <f>ROUND(($P95*U95/10/$H95/(1+VLOOKUP($I95,技能效果!$B$2:$D$101,3,FALSE))-1)*10000,0)</f>
        <v>-93</v>
      </c>
      <c r="BC95" s="2">
        <f>ROUND(($P95*V95/10/$H95/(1+VLOOKUP($I95,技能效果!$B$2:$D$101,3,FALSE))-1)*10000,0)</f>
        <v>-93</v>
      </c>
    </row>
    <row r="96" spans="2:55" x14ac:dyDescent="0.15">
      <c r="B96" s="83"/>
      <c r="C96" s="2">
        <v>94</v>
      </c>
      <c r="D96" s="2">
        <f t="shared" si="33"/>
        <v>56</v>
      </c>
      <c r="E96" s="2">
        <v>2</v>
      </c>
      <c r="F96" s="28">
        <f>INDEX([3]宠物属性!$AL$8:$AL$107,MATCH(D96,[3]宠物属性!$I$8:$I$107,0),1)</f>
        <v>152589.63785586561</v>
      </c>
      <c r="G96" s="68">
        <f>F96/INDEX(角色属性!$AI$8:$AI$107,MATCH(D96,角色属性!$I$8:$I$107,0),1)*E96</f>
        <v>2.5938090761582093</v>
      </c>
      <c r="H96" s="2">
        <f>INDEX(角色属性!$AL$8:$AL$107,MATCH(D96,角色属性!$I$8:$I$107,0),1)</f>
        <v>3885</v>
      </c>
      <c r="I96" s="2">
        <f>INDEX(角色属性!$Y$8:$Y$107,MATCH(D96,角色属性!$I$8:$I$107,0),1)</f>
        <v>56</v>
      </c>
      <c r="J96" s="28">
        <f>H96*10*(1+VLOOKUP(I96,技能效果!$B$2:$D$101,3,FALSE))</f>
        <v>47397.000000000007</v>
      </c>
      <c r="K96" s="28">
        <f>H96*10*(1+VLOOKUP(I96,技能效果!$B$2:$D$101,3,FALSE))*(1+G96)</f>
        <v>170335.76878267067</v>
      </c>
      <c r="L96" s="2">
        <f t="shared" si="19"/>
        <v>100</v>
      </c>
      <c r="M96" s="28">
        <f t="shared" si="20"/>
        <v>57449.280000000006</v>
      </c>
      <c r="N96" s="28">
        <f t="shared" si="21"/>
        <v>204455.48535872731</v>
      </c>
      <c r="O96" s="62">
        <f t="shared" si="31"/>
        <v>172424</v>
      </c>
      <c r="P96" s="62">
        <f t="shared" si="32"/>
        <v>48065</v>
      </c>
      <c r="Q96" s="64">
        <f t="shared" si="30"/>
        <v>3794</v>
      </c>
      <c r="R96" s="67">
        <v>1</v>
      </c>
      <c r="S96" s="67">
        <v>1</v>
      </c>
      <c r="T96" s="67">
        <v>1</v>
      </c>
      <c r="U96" s="67">
        <v>1</v>
      </c>
      <c r="V96" s="67">
        <v>1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64">
        <f>INDEX(角色属性!AM$8:AM$107,MATCH($D96,角色属性!$I$8:$I$107,0),1)</f>
        <v>192880</v>
      </c>
      <c r="AC96" s="64">
        <f>INDEX(角色属性!AN$8:AN$107,MATCH($D96,角色属性!$I$8:$I$107,0),1)</f>
        <v>19288</v>
      </c>
      <c r="AD96" s="64">
        <f>INDEX(角色属性!AO$8:AO$107,MATCH($D96,角色属性!$I$8:$I$107,0),1)</f>
        <v>9644</v>
      </c>
      <c r="AE96" s="64">
        <f>INDEX(角色属性!AP$8:AP$107,MATCH($D96,角色属性!$I$8:$I$107,0),1)</f>
        <v>7715.2</v>
      </c>
      <c r="AF96" s="64">
        <f>INDEX(角色属性!AQ$8:AQ$107,MATCH($D96,角色属性!$I$8:$I$107,0),1)</f>
        <v>7715.2</v>
      </c>
      <c r="AG96" s="64">
        <f>$P96/10/(1+VLOOKUP(I96,技能效果!$B$2:$D$101,3,FALSE))*怪物属性规划!A$18*INDEX(怪物属性等级系数!$A$2:$A$101,MATCH(D96,怪物属性等级系数!$D$2:$D$101,0),1)*R96+W96</f>
        <v>47330.642227031996</v>
      </c>
      <c r="AH96" s="64">
        <f>$P96/10/(1+VLOOKUP($I96,技能效果!$B$2:$D$101,3,FALSE))*怪物属性规划!B$18*S96+X96</f>
        <v>3939.754098360655</v>
      </c>
      <c r="AI96" s="64">
        <f>$P96/10/(1+VLOOKUP($I96,技能效果!$B$2:$D$101,3,FALSE))*怪物属性规划!C$18*T96+Y96</f>
        <v>3939.754098360655</v>
      </c>
      <c r="AJ96" s="64">
        <f>$P96/10/(1+VLOOKUP($I96,技能效果!$B$2:$D$101,3,FALSE))*怪物属性规划!D$18*U96+Z96</f>
        <v>3151.8032786885242</v>
      </c>
      <c r="AK96" s="64">
        <f>$P96/10/(1+VLOOKUP($I96,技能效果!$B$2:$D$101,3,FALSE))*怪物属性规划!E$18*V96+AA96</f>
        <v>3151.8032786885242</v>
      </c>
      <c r="AL96" s="67">
        <f>INDEX(角色属性!BB$8:BB$107,MATCH($D96,角色属性!$I$8:$I$107,0),1)</f>
        <v>1.5500000000000005</v>
      </c>
      <c r="AM96" s="64">
        <f>INDEX(角色属性!BC$8:BC$107,MATCH($D96,角色属性!$I$8:$I$107,0),1)</f>
        <v>7881</v>
      </c>
      <c r="AN96" s="64">
        <f>INDEX(角色属性!BD$8:BD$107,MATCH($D96,角色属性!$I$8:$I$107,0),1)</f>
        <v>1930</v>
      </c>
      <c r="AO96" s="69">
        <f t="shared" si="22"/>
        <v>0.53816608123923171</v>
      </c>
      <c r="AP96" s="69">
        <f t="shared" si="23"/>
        <v>0.92093464744455922</v>
      </c>
      <c r="AQ96" s="64">
        <f>AL96*角色属性!$BA$1*(AC96*(1-AO96)+MAX(AF96-AJ96,0))</f>
        <v>41760.872973744459</v>
      </c>
      <c r="AR96" s="64">
        <f>角色属性!$BA$1*(AH96*(1-AP96)+MAX(AK96-AE96,0))</f>
        <v>622.99609353725577</v>
      </c>
      <c r="AS96" s="73">
        <f t="shared" si="24"/>
        <v>0.62965161800549152</v>
      </c>
      <c r="AT96" s="73">
        <f t="shared" si="25"/>
        <v>0.41976774533699435</v>
      </c>
      <c r="AU96" s="73">
        <f t="shared" si="26"/>
        <v>0.31482580900274576</v>
      </c>
      <c r="AV96" s="73">
        <f t="shared" si="27"/>
        <v>309.60065721257303</v>
      </c>
      <c r="AW96" s="73">
        <f t="shared" si="28"/>
        <v>206.40043814171534</v>
      </c>
      <c r="AX96" s="2" t="str">
        <f t="shared" si="29"/>
        <v>r_guanqia_94</v>
      </c>
      <c r="AY96" s="2">
        <f>ROUND(($P96*R96/10/$H96/(1+VLOOKUP($I96,技能效果!$B$2:$D$101,3,FALSE))-1)*10000,0)</f>
        <v>141</v>
      </c>
      <c r="AZ96" s="2">
        <f>ROUND(($P96*S96/10/$H96/(1+VLOOKUP($I96,技能效果!$B$2:$D$101,3,FALSE))-1)*10000,0)</f>
        <v>141</v>
      </c>
      <c r="BA96" s="2">
        <f>ROUND(($P96*T96/10/$H96/(1+VLOOKUP($I96,技能效果!$B$2:$D$101,3,FALSE))-1)*10000,0)</f>
        <v>141</v>
      </c>
      <c r="BB96" s="2">
        <f>ROUND(($P96*U96/10/$H96/(1+VLOOKUP($I96,技能效果!$B$2:$D$101,3,FALSE))-1)*10000,0)</f>
        <v>141</v>
      </c>
      <c r="BC96" s="2">
        <f>ROUND(($P96*V96/10/$H96/(1+VLOOKUP($I96,技能效果!$B$2:$D$101,3,FALSE))-1)*10000,0)</f>
        <v>141</v>
      </c>
    </row>
    <row r="97" spans="2:55" x14ac:dyDescent="0.15">
      <c r="B97" s="83"/>
      <c r="C97" s="2">
        <v>95</v>
      </c>
      <c r="D97" s="2">
        <f t="shared" si="33"/>
        <v>57</v>
      </c>
      <c r="E97" s="2">
        <v>2</v>
      </c>
      <c r="F97" s="28">
        <f>INDEX([3]宠物属性!$AL$8:$AL$107,MATCH(D97,[3]宠物属性!$I$8:$I$107,0),1)</f>
        <v>154358.17515627533</v>
      </c>
      <c r="G97" s="68">
        <f>F97/INDEX(角色属性!$AI$8:$AI$107,MATCH(D97,角色属性!$I$8:$I$107,0),1)*E97</f>
        <v>2.5852730673578335</v>
      </c>
      <c r="H97" s="2">
        <f>INDEX(角色属性!$AL$8:$AL$107,MATCH(D97,角色属性!$I$8:$I$107,0),1)</f>
        <v>4067</v>
      </c>
      <c r="I97" s="2">
        <f>INDEX(角色属性!$Y$8:$Y$107,MATCH(D97,角色属性!$I$8:$I$107,0),1)</f>
        <v>57</v>
      </c>
      <c r="J97" s="28">
        <f>H97*10*(1+VLOOKUP(I97,技能效果!$B$2:$D$101,3,FALSE))</f>
        <v>49780.080000000009</v>
      </c>
      <c r="K97" s="28">
        <f>H97*10*(1+VLOOKUP(I97,技能效果!$B$2:$D$101,3,FALSE))*(1+G97)</f>
        <v>178475.18011491836</v>
      </c>
      <c r="L97" s="2">
        <f t="shared" si="19"/>
        <v>100</v>
      </c>
      <c r="M97" s="28">
        <f t="shared" si="20"/>
        <v>57449.280000000006</v>
      </c>
      <c r="N97" s="28">
        <f t="shared" si="21"/>
        <v>204455.48535872731</v>
      </c>
      <c r="O97" s="62">
        <f t="shared" si="31"/>
        <v>180010</v>
      </c>
      <c r="P97" s="62">
        <f t="shared" si="32"/>
        <v>50288</v>
      </c>
      <c r="Q97" s="64">
        <f t="shared" si="30"/>
        <v>7586</v>
      </c>
      <c r="R97" s="67">
        <v>1</v>
      </c>
      <c r="S97" s="67">
        <v>1</v>
      </c>
      <c r="T97" s="67">
        <v>1</v>
      </c>
      <c r="U97" s="67">
        <v>1</v>
      </c>
      <c r="V97" s="67">
        <v>1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64">
        <f>INDEX(角色属性!AM$8:AM$107,MATCH($D97,角色属性!$I$8:$I$107,0),1)</f>
        <v>195120</v>
      </c>
      <c r="AC97" s="64">
        <f>INDEX(角色属性!AN$8:AN$107,MATCH($D97,角色属性!$I$8:$I$107,0),1)</f>
        <v>19512</v>
      </c>
      <c r="AD97" s="64">
        <f>INDEX(角色属性!AO$8:AO$107,MATCH($D97,角色属性!$I$8:$I$107,0),1)</f>
        <v>9756</v>
      </c>
      <c r="AE97" s="64">
        <f>INDEX(角色属性!AP$8:AP$107,MATCH($D97,角色属性!$I$8:$I$107,0),1)</f>
        <v>7804.8</v>
      </c>
      <c r="AF97" s="64">
        <f>INDEX(角色属性!AQ$8:AQ$107,MATCH($D97,角色属性!$I$8:$I$107,0),1)</f>
        <v>7804.8</v>
      </c>
      <c r="AG97" s="64">
        <f>$P97/10/(1+VLOOKUP(I97,技能效果!$B$2:$D$101,3,FALSE))*怪物属性规划!A$18*INDEX(怪物属性等级系数!$A$2:$A$101,MATCH(D97,怪物属性等级系数!$D$2:$D$101,0),1)*R97+W97</f>
        <v>49995.735594845624</v>
      </c>
      <c r="AH97" s="64">
        <f>$P97/10/(1+VLOOKUP($I97,技能效果!$B$2:$D$101,3,FALSE))*怪物属性规划!B$18*S97+X97</f>
        <v>4108.496732026143</v>
      </c>
      <c r="AI97" s="64">
        <f>$P97/10/(1+VLOOKUP($I97,技能效果!$B$2:$D$101,3,FALSE))*怪物属性规划!C$18*T97+Y97</f>
        <v>4108.496732026143</v>
      </c>
      <c r="AJ97" s="64">
        <f>$P97/10/(1+VLOOKUP($I97,技能效果!$B$2:$D$101,3,FALSE))*怪物属性规划!D$18*U97+Z97</f>
        <v>3286.7973856209146</v>
      </c>
      <c r="AK97" s="64">
        <f>$P97/10/(1+VLOOKUP($I97,技能效果!$B$2:$D$101,3,FALSE))*怪物属性规划!E$18*V97+AA97</f>
        <v>3286.7973856209146</v>
      </c>
      <c r="AL97" s="67">
        <f>INDEX(角色属性!BB$8:BB$107,MATCH($D97,角色属性!$I$8:$I$107,0),1)</f>
        <v>1.5600000000000005</v>
      </c>
      <c r="AM97" s="64">
        <f>INDEX(角色属性!BC$8:BC$107,MATCH($D97,角色属性!$I$8:$I$107,0),1)</f>
        <v>8351</v>
      </c>
      <c r="AN97" s="64">
        <f>INDEX(角色属性!BD$8:BD$107,MATCH($D97,角色属性!$I$8:$I$107,0),1)</f>
        <v>1964</v>
      </c>
      <c r="AO97" s="69">
        <f t="shared" si="22"/>
        <v>0.53419012829611001</v>
      </c>
      <c r="AP97" s="69">
        <f t="shared" si="23"/>
        <v>0.92050275528100234</v>
      </c>
      <c r="AQ97" s="64">
        <f>AL97*角色属性!$BA$1*(AC97*(1-AO97)+MAX(AF97-AJ97,0))</f>
        <v>42453.480672924023</v>
      </c>
      <c r="AR97" s="64">
        <f>角色属性!$BA$1*(AH97*(1-AP97)+MAX(AK97-AE97,0))</f>
        <v>653.22834026616886</v>
      </c>
      <c r="AS97" s="73">
        <f t="shared" si="24"/>
        <v>0.6542551570222066</v>
      </c>
      <c r="AT97" s="73">
        <f t="shared" si="25"/>
        <v>0.4361701046814711</v>
      </c>
      <c r="AU97" s="73">
        <f t="shared" si="26"/>
        <v>0.3271275785111033</v>
      </c>
      <c r="AV97" s="73">
        <f t="shared" si="27"/>
        <v>298.7010635829044</v>
      </c>
      <c r="AW97" s="73">
        <f t="shared" si="28"/>
        <v>199.13404238860292</v>
      </c>
      <c r="AX97" s="2" t="str">
        <f t="shared" si="29"/>
        <v>r_guanqia_95</v>
      </c>
      <c r="AY97" s="2">
        <f>ROUND(($P97*R97/10/$H97/(1+VLOOKUP($I97,技能效果!$B$2:$D$101,3,FALSE))-1)*10000,0)</f>
        <v>102</v>
      </c>
      <c r="AZ97" s="2">
        <f>ROUND(($P97*S97/10/$H97/(1+VLOOKUP($I97,技能效果!$B$2:$D$101,3,FALSE))-1)*10000,0)</f>
        <v>102</v>
      </c>
      <c r="BA97" s="2">
        <f>ROUND(($P97*T97/10/$H97/(1+VLOOKUP($I97,技能效果!$B$2:$D$101,3,FALSE))-1)*10000,0)</f>
        <v>102</v>
      </c>
      <c r="BB97" s="2">
        <f>ROUND(($P97*U97/10/$H97/(1+VLOOKUP($I97,技能效果!$B$2:$D$101,3,FALSE))-1)*10000,0)</f>
        <v>102</v>
      </c>
      <c r="BC97" s="2">
        <f>ROUND(($P97*V97/10/$H97/(1+VLOOKUP($I97,技能效果!$B$2:$D$101,3,FALSE))-1)*10000,0)</f>
        <v>102</v>
      </c>
    </row>
    <row r="98" spans="2:55" x14ac:dyDescent="0.15">
      <c r="B98" s="83"/>
      <c r="C98" s="2">
        <v>96</v>
      </c>
      <c r="D98" s="2">
        <f t="shared" si="33"/>
        <v>57</v>
      </c>
      <c r="E98" s="2">
        <v>2</v>
      </c>
      <c r="F98" s="28">
        <f>INDEX([3]宠物属性!$AL$8:$AL$107,MATCH(D98,[3]宠物属性!$I$8:$I$107,0),1)</f>
        <v>154358.17515627533</v>
      </c>
      <c r="G98" s="68">
        <f>F98/INDEX(角色属性!$AI$8:$AI$107,MATCH(D98,角色属性!$I$8:$I$107,0),1)*E98</f>
        <v>2.5852730673578335</v>
      </c>
      <c r="H98" s="2">
        <f>INDEX(角色属性!$AL$8:$AL$107,MATCH(D98,角色属性!$I$8:$I$107,0),1)</f>
        <v>4067</v>
      </c>
      <c r="I98" s="2">
        <f>INDEX(角色属性!$Y$8:$Y$107,MATCH(D98,角色属性!$I$8:$I$107,0),1)</f>
        <v>57</v>
      </c>
      <c r="J98" s="28">
        <f>H98*10*(1+VLOOKUP(I98,技能效果!$B$2:$D$101,3,FALSE))</f>
        <v>49780.080000000009</v>
      </c>
      <c r="K98" s="28">
        <f>H98*10*(1+VLOOKUP(I98,技能效果!$B$2:$D$101,3,FALSE))*(1+G98)</f>
        <v>178475.18011491836</v>
      </c>
      <c r="L98" s="2">
        <f t="shared" si="19"/>
        <v>100</v>
      </c>
      <c r="M98" s="28">
        <f t="shared" si="20"/>
        <v>57449.280000000006</v>
      </c>
      <c r="N98" s="28">
        <f t="shared" si="21"/>
        <v>204455.48535872731</v>
      </c>
      <c r="O98" s="62">
        <f t="shared" si="31"/>
        <v>181696</v>
      </c>
      <c r="P98" s="62">
        <f t="shared" si="32"/>
        <v>50781</v>
      </c>
      <c r="Q98" s="64">
        <f t="shared" si="30"/>
        <v>1686</v>
      </c>
      <c r="R98" s="67">
        <v>1</v>
      </c>
      <c r="S98" s="67">
        <v>1</v>
      </c>
      <c r="T98" s="67">
        <v>1</v>
      </c>
      <c r="U98" s="67">
        <v>1</v>
      </c>
      <c r="V98" s="67">
        <v>1</v>
      </c>
      <c r="W98" s="28">
        <v>0</v>
      </c>
      <c r="X98" s="28">
        <v>0</v>
      </c>
      <c r="Y98" s="28">
        <v>0</v>
      </c>
      <c r="Z98" s="28">
        <v>0</v>
      </c>
      <c r="AA98" s="28">
        <v>0</v>
      </c>
      <c r="AB98" s="64">
        <f>INDEX(角色属性!AM$8:AM$107,MATCH($D98,角色属性!$I$8:$I$107,0),1)</f>
        <v>195120</v>
      </c>
      <c r="AC98" s="64">
        <f>INDEX(角色属性!AN$8:AN$107,MATCH($D98,角色属性!$I$8:$I$107,0),1)</f>
        <v>19512</v>
      </c>
      <c r="AD98" s="64">
        <f>INDEX(角色属性!AO$8:AO$107,MATCH($D98,角色属性!$I$8:$I$107,0),1)</f>
        <v>9756</v>
      </c>
      <c r="AE98" s="64">
        <f>INDEX(角色属性!AP$8:AP$107,MATCH($D98,角色属性!$I$8:$I$107,0),1)</f>
        <v>7804.8</v>
      </c>
      <c r="AF98" s="64">
        <f>INDEX(角色属性!AQ$8:AQ$107,MATCH($D98,角色属性!$I$8:$I$107,0),1)</f>
        <v>7804.8</v>
      </c>
      <c r="AG98" s="64">
        <f>$P98/10/(1+VLOOKUP(I98,技能效果!$B$2:$D$101,3,FALSE))*怪物属性规划!A$18*INDEX(怪物属性等级系数!$A$2:$A$101,MATCH(D98,怪物属性等级系数!$D$2:$D$101,0),1)*R98+W98</f>
        <v>50485.870371497302</v>
      </c>
      <c r="AH98" s="64">
        <f>$P98/10/(1+VLOOKUP($I98,技能效果!$B$2:$D$101,3,FALSE))*怪物属性规划!B$18*S98+X98</f>
        <v>4148.7745098039213</v>
      </c>
      <c r="AI98" s="64">
        <f>$P98/10/(1+VLOOKUP($I98,技能效果!$B$2:$D$101,3,FALSE))*怪物属性规划!C$18*T98+Y98</f>
        <v>4148.7745098039213</v>
      </c>
      <c r="AJ98" s="64">
        <f>$P98/10/(1+VLOOKUP($I98,技能效果!$B$2:$D$101,3,FALSE))*怪物属性规划!D$18*U98+Z98</f>
        <v>3319.0196078431372</v>
      </c>
      <c r="AK98" s="64">
        <f>$P98/10/(1+VLOOKUP($I98,技能效果!$B$2:$D$101,3,FALSE))*怪物属性规划!E$18*V98+AA98</f>
        <v>3319.0196078431372</v>
      </c>
      <c r="AL98" s="67">
        <f>INDEX(角色属性!BB$8:BB$107,MATCH($D98,角色属性!$I$8:$I$107,0),1)</f>
        <v>1.5600000000000005</v>
      </c>
      <c r="AM98" s="64">
        <f>INDEX(角色属性!BC$8:BC$107,MATCH($D98,角色属性!$I$8:$I$107,0),1)</f>
        <v>8351</v>
      </c>
      <c r="AN98" s="64">
        <f>INDEX(角色属性!BD$8:BD$107,MATCH($D98,角色属性!$I$8:$I$107,0),1)</f>
        <v>1964</v>
      </c>
      <c r="AO98" s="69">
        <f t="shared" si="22"/>
        <v>0.53661684264507792</v>
      </c>
      <c r="AP98" s="69">
        <f t="shared" si="23"/>
        <v>0.92050275528100234</v>
      </c>
      <c r="AQ98" s="64">
        <f>AL98*角色属性!$BA$1*(AC98*(1-AO98)+MAX(AF98-AJ98,0))</f>
        <v>42205.215182414257</v>
      </c>
      <c r="AR98" s="64">
        <f>角色属性!$BA$1*(AH98*(1-AP98)+MAX(AK98-AE98,0))</f>
        <v>659.63228497964383</v>
      </c>
      <c r="AS98" s="73">
        <f t="shared" si="24"/>
        <v>0.66455544985894655</v>
      </c>
      <c r="AT98" s="73">
        <f t="shared" si="25"/>
        <v>0.44303696657263103</v>
      </c>
      <c r="AU98" s="73">
        <f t="shared" si="26"/>
        <v>0.33227772492947327</v>
      </c>
      <c r="AV98" s="73">
        <f t="shared" si="27"/>
        <v>295.80116747321028</v>
      </c>
      <c r="AW98" s="73">
        <f t="shared" si="28"/>
        <v>197.20077831547351</v>
      </c>
      <c r="AX98" s="2" t="str">
        <f t="shared" si="29"/>
        <v>r_guanqia_96</v>
      </c>
      <c r="AY98" s="2">
        <f>ROUND(($P98*R98/10/$H98/(1+VLOOKUP($I98,技能效果!$B$2:$D$101,3,FALSE))-1)*10000,0)</f>
        <v>201</v>
      </c>
      <c r="AZ98" s="2">
        <f>ROUND(($P98*S98/10/$H98/(1+VLOOKUP($I98,技能效果!$B$2:$D$101,3,FALSE))-1)*10000,0)</f>
        <v>201</v>
      </c>
      <c r="BA98" s="2">
        <f>ROUND(($P98*T98/10/$H98/(1+VLOOKUP($I98,技能效果!$B$2:$D$101,3,FALSE))-1)*10000,0)</f>
        <v>201</v>
      </c>
      <c r="BB98" s="2">
        <f>ROUND(($P98*U98/10/$H98/(1+VLOOKUP($I98,技能效果!$B$2:$D$101,3,FALSE))-1)*10000,0)</f>
        <v>201</v>
      </c>
      <c r="BC98" s="2">
        <f>ROUND(($P98*V98/10/$H98/(1+VLOOKUP($I98,技能效果!$B$2:$D$101,3,FALSE))-1)*10000,0)</f>
        <v>201</v>
      </c>
    </row>
    <row r="99" spans="2:55" x14ac:dyDescent="0.15">
      <c r="B99" s="83"/>
      <c r="C99" s="2">
        <v>97</v>
      </c>
      <c r="D99" s="2">
        <f t="shared" si="33"/>
        <v>57</v>
      </c>
      <c r="E99" s="2">
        <v>2</v>
      </c>
      <c r="F99" s="28">
        <f>INDEX([3]宠物属性!$AL$8:$AL$107,MATCH(D99,[3]宠物属性!$I$8:$I$107,0),1)</f>
        <v>154358.17515627533</v>
      </c>
      <c r="G99" s="68">
        <f>F99/INDEX(角色属性!$AI$8:$AI$107,MATCH(D99,角色属性!$I$8:$I$107,0),1)*E99</f>
        <v>2.5852730673578335</v>
      </c>
      <c r="H99" s="2">
        <f>INDEX(角色属性!$AL$8:$AL$107,MATCH(D99,角色属性!$I$8:$I$107,0),1)</f>
        <v>4067</v>
      </c>
      <c r="I99" s="2">
        <f>INDEX(角色属性!$Y$8:$Y$107,MATCH(D99,角色属性!$I$8:$I$107,0),1)</f>
        <v>57</v>
      </c>
      <c r="J99" s="28">
        <f>H99*10*(1+VLOOKUP(I99,技能效果!$B$2:$D$101,3,FALSE))</f>
        <v>49780.080000000009</v>
      </c>
      <c r="K99" s="28">
        <f>H99*10*(1+VLOOKUP(I99,技能效果!$B$2:$D$101,3,FALSE))*(1+G99)</f>
        <v>178475.18011491836</v>
      </c>
      <c r="L99" s="2">
        <f t="shared" si="19"/>
        <v>100</v>
      </c>
      <c r="M99" s="28">
        <f t="shared" si="20"/>
        <v>57449.280000000006</v>
      </c>
      <c r="N99" s="28">
        <f t="shared" si="21"/>
        <v>204455.48535872731</v>
      </c>
      <c r="O99" s="62">
        <f t="shared" si="31"/>
        <v>184225</v>
      </c>
      <c r="P99" s="62">
        <f t="shared" si="32"/>
        <v>51522</v>
      </c>
      <c r="Q99" s="64">
        <f t="shared" si="30"/>
        <v>2529</v>
      </c>
      <c r="R99" s="67">
        <v>1</v>
      </c>
      <c r="S99" s="67">
        <v>1</v>
      </c>
      <c r="T99" s="67">
        <v>1</v>
      </c>
      <c r="U99" s="67">
        <v>1</v>
      </c>
      <c r="V99" s="67">
        <v>1</v>
      </c>
      <c r="W99" s="28">
        <v>0</v>
      </c>
      <c r="X99" s="28">
        <v>0</v>
      </c>
      <c r="Y99" s="28">
        <v>0</v>
      </c>
      <c r="Z99" s="28">
        <v>0</v>
      </c>
      <c r="AA99" s="28">
        <v>0</v>
      </c>
      <c r="AB99" s="64">
        <f>INDEX(角色属性!AM$8:AM$107,MATCH($D99,角色属性!$I$8:$I$107,0),1)</f>
        <v>195120</v>
      </c>
      <c r="AC99" s="64">
        <f>INDEX(角色属性!AN$8:AN$107,MATCH($D99,角色属性!$I$8:$I$107,0),1)</f>
        <v>19512</v>
      </c>
      <c r="AD99" s="64">
        <f>INDEX(角色属性!AO$8:AO$107,MATCH($D99,角色属性!$I$8:$I$107,0),1)</f>
        <v>9756</v>
      </c>
      <c r="AE99" s="64">
        <f>INDEX(角色属性!AP$8:AP$107,MATCH($D99,角色属性!$I$8:$I$107,0),1)</f>
        <v>7804.8</v>
      </c>
      <c r="AF99" s="64">
        <f>INDEX(角色属性!AQ$8:AQ$107,MATCH($D99,角色属性!$I$8:$I$107,0),1)</f>
        <v>7804.8</v>
      </c>
      <c r="AG99" s="64">
        <f>$P99/10/(1+VLOOKUP(I99,技能效果!$B$2:$D$101,3,FALSE))*怪物属性规划!A$18*INDEX(怪物属性等级系数!$A$2:$A$101,MATCH(D99,怪物属性等级系数!$D$2:$D$101,0),1)*R99+W99</f>
        <v>51222.563818756687</v>
      </c>
      <c r="AH99" s="64">
        <f>$P99/10/(1+VLOOKUP($I99,技能效果!$B$2:$D$101,3,FALSE))*怪物属性规划!B$18*S99+X99</f>
        <v>4209.3137254901949</v>
      </c>
      <c r="AI99" s="64">
        <f>$P99/10/(1+VLOOKUP($I99,技能效果!$B$2:$D$101,3,FALSE))*怪物属性规划!C$18*T99+Y99</f>
        <v>4209.3137254901949</v>
      </c>
      <c r="AJ99" s="64">
        <f>$P99/10/(1+VLOOKUP($I99,技能效果!$B$2:$D$101,3,FALSE))*怪物属性规划!D$18*U99+Z99</f>
        <v>3367.450980392156</v>
      </c>
      <c r="AK99" s="64">
        <f>$P99/10/(1+VLOOKUP($I99,技能效果!$B$2:$D$101,3,FALSE))*怪物属性规划!E$18*V99+AA99</f>
        <v>3367.450980392156</v>
      </c>
      <c r="AL99" s="67">
        <f>INDEX(角色属性!BB$8:BB$107,MATCH($D99,角色属性!$I$8:$I$107,0),1)</f>
        <v>1.5600000000000005</v>
      </c>
      <c r="AM99" s="64">
        <f>INDEX(角色属性!BC$8:BC$107,MATCH($D99,角色属性!$I$8:$I$107,0),1)</f>
        <v>8351</v>
      </c>
      <c r="AN99" s="64">
        <f>INDEX(角色属性!BD$8:BD$107,MATCH($D99,角色属性!$I$8:$I$107,0),1)</f>
        <v>1964</v>
      </c>
      <c r="AO99" s="69">
        <f t="shared" si="22"/>
        <v>0.54021710433973968</v>
      </c>
      <c r="AP99" s="69">
        <f t="shared" si="23"/>
        <v>0.92050275528100234</v>
      </c>
      <c r="AQ99" s="64">
        <f>AL99*角色属性!$BA$1*(AC99*(1-AO99)+MAX(AF99-AJ99,0))</f>
        <v>41834.934584760245</v>
      </c>
      <c r="AR99" s="64">
        <f>角色属性!$BA$1*(AH99*(1-AP99)+MAX(AK99-AE99,0))</f>
        <v>669.25768666865952</v>
      </c>
      <c r="AS99" s="73">
        <f t="shared" si="24"/>
        <v>0.68022049470768542</v>
      </c>
      <c r="AT99" s="73">
        <f t="shared" si="25"/>
        <v>0.45348032980512359</v>
      </c>
      <c r="AU99" s="73">
        <f t="shared" si="26"/>
        <v>0.34011024735384271</v>
      </c>
      <c r="AV99" s="73">
        <f t="shared" si="27"/>
        <v>291.54689424822595</v>
      </c>
      <c r="AW99" s="73">
        <f t="shared" si="28"/>
        <v>194.36459616548396</v>
      </c>
      <c r="AX99" s="2" t="str">
        <f t="shared" si="29"/>
        <v>r_guanqia_97</v>
      </c>
      <c r="AY99" s="2">
        <f>ROUND(($P99*R99/10/$H99/(1+VLOOKUP($I99,技能效果!$B$2:$D$101,3,FALSE))-1)*10000,0)</f>
        <v>350</v>
      </c>
      <c r="AZ99" s="2">
        <f>ROUND(($P99*S99/10/$H99/(1+VLOOKUP($I99,技能效果!$B$2:$D$101,3,FALSE))-1)*10000,0)</f>
        <v>350</v>
      </c>
      <c r="BA99" s="2">
        <f>ROUND(($P99*T99/10/$H99/(1+VLOOKUP($I99,技能效果!$B$2:$D$101,3,FALSE))-1)*10000,0)</f>
        <v>350</v>
      </c>
      <c r="BB99" s="2">
        <f>ROUND(($P99*U99/10/$H99/(1+VLOOKUP($I99,技能效果!$B$2:$D$101,3,FALSE))-1)*10000,0)</f>
        <v>350</v>
      </c>
      <c r="BC99" s="2">
        <f>ROUND(($P99*V99/10/$H99/(1+VLOOKUP($I99,技能效果!$B$2:$D$101,3,FALSE))-1)*10000,0)</f>
        <v>350</v>
      </c>
    </row>
    <row r="100" spans="2:55" x14ac:dyDescent="0.15">
      <c r="B100" s="83"/>
      <c r="C100" s="2">
        <v>98</v>
      </c>
      <c r="D100" s="2">
        <f t="shared" si="33"/>
        <v>58</v>
      </c>
      <c r="E100" s="2">
        <v>2</v>
      </c>
      <c r="F100" s="28">
        <f>INDEX([3]宠物属性!$AL$8:$AL$107,MATCH(D100,[3]宠物属性!$I$8:$I$107,0),1)</f>
        <v>156135.38010468509</v>
      </c>
      <c r="G100" s="68">
        <f>F100/INDEX(角色属性!$AI$8:$AI$107,MATCH(D100,角色属性!$I$8:$I$107,0),1)*E100</f>
        <v>2.5805982342970406</v>
      </c>
      <c r="H100" s="2">
        <f>INDEX(角色属性!$AL$8:$AL$107,MATCH(D100,角色属性!$I$8:$I$107,0),1)</f>
        <v>4255</v>
      </c>
      <c r="I100" s="2">
        <f>INDEX(角色属性!$Y$8:$Y$107,MATCH(D100,角色属性!$I$8:$I$107,0),1)</f>
        <v>58</v>
      </c>
      <c r="J100" s="28">
        <f>H100*10*(1+VLOOKUP(I100,技能效果!$B$2:$D$101,3,FALSE))</f>
        <v>52251.400000000009</v>
      </c>
      <c r="K100" s="28">
        <f>H100*10*(1+VLOOKUP(I100,技能效果!$B$2:$D$101,3,FALSE))*(1+G100)</f>
        <v>187091.27057954841</v>
      </c>
      <c r="L100" s="2">
        <f t="shared" si="19"/>
        <v>100</v>
      </c>
      <c r="M100" s="28">
        <f t="shared" si="20"/>
        <v>57449.280000000006</v>
      </c>
      <c r="N100" s="28">
        <f t="shared" si="21"/>
        <v>204455.48535872731</v>
      </c>
      <c r="O100" s="62">
        <f t="shared" si="31"/>
        <v>187597</v>
      </c>
      <c r="P100" s="62">
        <f t="shared" si="32"/>
        <v>52510</v>
      </c>
      <c r="Q100" s="64">
        <f t="shared" si="30"/>
        <v>3372</v>
      </c>
      <c r="R100" s="67">
        <v>1</v>
      </c>
      <c r="S100" s="67">
        <v>1</v>
      </c>
      <c r="T100" s="67">
        <v>1</v>
      </c>
      <c r="U100" s="67">
        <v>1</v>
      </c>
      <c r="V100" s="67">
        <v>1</v>
      </c>
      <c r="W100" s="28">
        <v>0</v>
      </c>
      <c r="X100" s="28">
        <v>0</v>
      </c>
      <c r="Y100" s="28">
        <v>0</v>
      </c>
      <c r="Z100" s="28">
        <v>0</v>
      </c>
      <c r="AA100" s="28">
        <v>0</v>
      </c>
      <c r="AB100" s="64">
        <f>INDEX(角色属性!AM$8:AM$107,MATCH($D100,角色属性!$I$8:$I$107,0),1)</f>
        <v>197080</v>
      </c>
      <c r="AC100" s="64">
        <f>INDEX(角色属性!AN$8:AN$107,MATCH($D100,角色属性!$I$8:$I$107,0),1)</f>
        <v>19708</v>
      </c>
      <c r="AD100" s="64">
        <f>INDEX(角色属性!AO$8:AO$107,MATCH($D100,角色属性!$I$8:$I$107,0),1)</f>
        <v>9854</v>
      </c>
      <c r="AE100" s="64">
        <f>INDEX(角色属性!AP$8:AP$107,MATCH($D100,角色属性!$I$8:$I$107,0),1)</f>
        <v>7883.2</v>
      </c>
      <c r="AF100" s="64">
        <f>INDEX(角色属性!AQ$8:AQ$107,MATCH($D100,角色属性!$I$8:$I$107,0),1)</f>
        <v>7883.2</v>
      </c>
      <c r="AG100" s="64">
        <f>$P100/10/(1+VLOOKUP(I100,技能效果!$B$2:$D$101,3,FALSE))*怪物属性规划!A$18*INDEX(怪物属性等级系数!$A$2:$A$101,MATCH(D100,怪物属性等级系数!$D$2:$D$101,0),1)*R100+W100</f>
        <v>52700.685941370903</v>
      </c>
      <c r="AH100" s="64">
        <f>$P100/10/(1+VLOOKUP($I100,技能效果!$B$2:$D$101,3,FALSE))*怪物属性规划!B$18*S100+X100</f>
        <v>4276.0586319218237</v>
      </c>
      <c r="AI100" s="64">
        <f>$P100/10/(1+VLOOKUP($I100,技能效果!$B$2:$D$101,3,FALSE))*怪物属性规划!C$18*T100+Y100</f>
        <v>4276.0586319218237</v>
      </c>
      <c r="AJ100" s="64">
        <f>$P100/10/(1+VLOOKUP($I100,技能效果!$B$2:$D$101,3,FALSE))*怪物属性规划!D$18*U100+Z100</f>
        <v>3420.846905537459</v>
      </c>
      <c r="AK100" s="64">
        <f>$P100/10/(1+VLOOKUP($I100,技能效果!$B$2:$D$101,3,FALSE))*怪物属性规划!E$18*V100+AA100</f>
        <v>3420.846905537459</v>
      </c>
      <c r="AL100" s="67">
        <f>INDEX(角色属性!BB$8:BB$107,MATCH($D100,角色属性!$I$8:$I$107,0),1)</f>
        <v>1.5700000000000005</v>
      </c>
      <c r="AM100" s="64">
        <f>INDEX(角色属性!BC$8:BC$107,MATCH($D100,角色属性!$I$8:$I$107,0),1)</f>
        <v>8843</v>
      </c>
      <c r="AN100" s="64">
        <f>INDEX(角色属性!BD$8:BD$107,MATCH($D100,角色属性!$I$8:$I$107,0),1)</f>
        <v>1989</v>
      </c>
      <c r="AO100" s="69">
        <f t="shared" si="22"/>
        <v>0.52989028682864958</v>
      </c>
      <c r="AP100" s="69">
        <f t="shared" si="23"/>
        <v>0.92030833971761838</v>
      </c>
      <c r="AQ100" s="64">
        <f>AL100*角色属性!$BA$1*(AC100*(1-AO100)+MAX(AF100-AJ100,0))</f>
        <v>43103.64450996065</v>
      </c>
      <c r="AR100" s="64">
        <f>角色属性!$BA$1*(AH100*(1-AP100)+MAX(AK100-AE100,0))</f>
        <v>681.53242368531892</v>
      </c>
      <c r="AS100" s="73">
        <f t="shared" si="24"/>
        <v>0.67925019309101331</v>
      </c>
      <c r="AT100" s="73">
        <f t="shared" si="25"/>
        <v>0.4528334620606756</v>
      </c>
      <c r="AU100" s="73">
        <f t="shared" si="26"/>
        <v>0.33962509654550666</v>
      </c>
      <c r="AV100" s="73">
        <f t="shared" si="27"/>
        <v>289.17186204334854</v>
      </c>
      <c r="AW100" s="73">
        <f t="shared" si="28"/>
        <v>192.78124136223235</v>
      </c>
      <c r="AX100" s="2" t="str">
        <f t="shared" si="29"/>
        <v>r_guanqia_98</v>
      </c>
      <c r="AY100" s="2">
        <f>ROUND(($P100*R100/10/$H100/(1+VLOOKUP($I100,技能效果!$B$2:$D$101,3,FALSE))-1)*10000,0)</f>
        <v>49</v>
      </c>
      <c r="AZ100" s="2">
        <f>ROUND(($P100*S100/10/$H100/(1+VLOOKUP($I100,技能效果!$B$2:$D$101,3,FALSE))-1)*10000,0)</f>
        <v>49</v>
      </c>
      <c r="BA100" s="2">
        <f>ROUND(($P100*T100/10/$H100/(1+VLOOKUP($I100,技能效果!$B$2:$D$101,3,FALSE))-1)*10000,0)</f>
        <v>49</v>
      </c>
      <c r="BB100" s="2">
        <f>ROUND(($P100*U100/10/$H100/(1+VLOOKUP($I100,技能效果!$B$2:$D$101,3,FALSE))-1)*10000,0)</f>
        <v>49</v>
      </c>
      <c r="BC100" s="2">
        <f>ROUND(($P100*V100/10/$H100/(1+VLOOKUP($I100,技能效果!$B$2:$D$101,3,FALSE))-1)*10000,0)</f>
        <v>49</v>
      </c>
    </row>
    <row r="101" spans="2:55" x14ac:dyDescent="0.15">
      <c r="B101" s="83"/>
      <c r="C101" s="2">
        <v>99</v>
      </c>
      <c r="D101" s="2">
        <f t="shared" si="33"/>
        <v>58</v>
      </c>
      <c r="E101" s="2">
        <v>2</v>
      </c>
      <c r="F101" s="28">
        <f>INDEX([3]宠物属性!$AL$8:$AL$107,MATCH(D101,[3]宠物属性!$I$8:$I$107,0),1)</f>
        <v>156135.38010468509</v>
      </c>
      <c r="G101" s="68">
        <f>F101/INDEX(角色属性!$AI$8:$AI$107,MATCH(D101,角色属性!$I$8:$I$107,0),1)*E101</f>
        <v>2.5805982342970406</v>
      </c>
      <c r="H101" s="2">
        <f>INDEX(角色属性!$AL$8:$AL$107,MATCH(D101,角色属性!$I$8:$I$107,0),1)</f>
        <v>4255</v>
      </c>
      <c r="I101" s="2">
        <f>INDEX(角色属性!$Y$8:$Y$107,MATCH(D101,角色属性!$I$8:$I$107,0),1)</f>
        <v>58</v>
      </c>
      <c r="J101" s="28">
        <f>H101*10*(1+VLOOKUP(I101,技能效果!$B$2:$D$101,3,FALSE))</f>
        <v>52251.400000000009</v>
      </c>
      <c r="K101" s="28">
        <f>H101*10*(1+VLOOKUP(I101,技能效果!$B$2:$D$101,3,FALSE))*(1+G101)</f>
        <v>187091.27057954841</v>
      </c>
      <c r="L101" s="2">
        <f t="shared" si="19"/>
        <v>100</v>
      </c>
      <c r="M101" s="28">
        <f t="shared" si="20"/>
        <v>57449.280000000006</v>
      </c>
      <c r="N101" s="28">
        <f t="shared" si="21"/>
        <v>204455.48535872731</v>
      </c>
      <c r="O101" s="62">
        <f t="shared" si="31"/>
        <v>191811</v>
      </c>
      <c r="P101" s="62">
        <f t="shared" si="32"/>
        <v>53745</v>
      </c>
      <c r="Q101" s="64">
        <f t="shared" si="30"/>
        <v>4214</v>
      </c>
      <c r="R101" s="67">
        <v>1</v>
      </c>
      <c r="S101" s="67">
        <v>1</v>
      </c>
      <c r="T101" s="67">
        <v>1</v>
      </c>
      <c r="U101" s="67">
        <v>1</v>
      </c>
      <c r="V101" s="67">
        <v>1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64">
        <f>INDEX(角色属性!AM$8:AM$107,MATCH($D101,角色属性!$I$8:$I$107,0),1)</f>
        <v>197080</v>
      </c>
      <c r="AC101" s="64">
        <f>INDEX(角色属性!AN$8:AN$107,MATCH($D101,角色属性!$I$8:$I$107,0),1)</f>
        <v>19708</v>
      </c>
      <c r="AD101" s="64">
        <f>INDEX(角色属性!AO$8:AO$107,MATCH($D101,角色属性!$I$8:$I$107,0),1)</f>
        <v>9854</v>
      </c>
      <c r="AE101" s="64">
        <f>INDEX(角色属性!AP$8:AP$107,MATCH($D101,角色属性!$I$8:$I$107,0),1)</f>
        <v>7883.2</v>
      </c>
      <c r="AF101" s="64">
        <f>INDEX(角色属性!AQ$8:AQ$107,MATCH($D101,角色属性!$I$8:$I$107,0),1)</f>
        <v>7883.2</v>
      </c>
      <c r="AG101" s="64">
        <f>$P101/10/(1+VLOOKUP(I101,技能效果!$B$2:$D$101,3,FALSE))*怪物属性规划!A$18*INDEX(怪物属性等级系数!$A$2:$A$101,MATCH(D101,怪物属性等级系数!$D$2:$D$101,0),1)*R101+W101</f>
        <v>53940.170746885909</v>
      </c>
      <c r="AH101" s="64">
        <f>$P101/10/(1+VLOOKUP($I101,技能效果!$B$2:$D$101,3,FALSE))*怪物属性规划!B$18*S101+X101</f>
        <v>4376.6286644951133</v>
      </c>
      <c r="AI101" s="64">
        <f>$P101/10/(1+VLOOKUP($I101,技能效果!$B$2:$D$101,3,FALSE))*怪物属性规划!C$18*T101+Y101</f>
        <v>4376.6286644951133</v>
      </c>
      <c r="AJ101" s="64">
        <f>$P101/10/(1+VLOOKUP($I101,技能效果!$B$2:$D$101,3,FALSE))*怪物属性规划!D$18*U101+Z101</f>
        <v>3501.3029315960907</v>
      </c>
      <c r="AK101" s="64">
        <f>$P101/10/(1+VLOOKUP($I101,技能效果!$B$2:$D$101,3,FALSE))*怪物属性规划!E$18*V101+AA101</f>
        <v>3501.3029315960907</v>
      </c>
      <c r="AL101" s="67">
        <f>INDEX(角色属性!BB$8:BB$107,MATCH($D101,角色属性!$I$8:$I$107,0),1)</f>
        <v>1.5700000000000005</v>
      </c>
      <c r="AM101" s="64">
        <f>INDEX(角色属性!BC$8:BC$107,MATCH($D101,角色属性!$I$8:$I$107,0),1)</f>
        <v>8843</v>
      </c>
      <c r="AN101" s="64">
        <f>INDEX(角色属性!BD$8:BD$107,MATCH($D101,角色属性!$I$8:$I$107,0),1)</f>
        <v>1989</v>
      </c>
      <c r="AO101" s="69">
        <f t="shared" si="22"/>
        <v>0.53567698866199387</v>
      </c>
      <c r="AP101" s="69">
        <f t="shared" si="23"/>
        <v>0.92030833971761838</v>
      </c>
      <c r="AQ101" s="64">
        <f>AL101*角色属性!$BA$1*(AC101*(1-AO101)+MAX(AF101-AJ101,0))</f>
        <v>42492.913424179482</v>
      </c>
      <c r="AR101" s="64">
        <f>角色属性!$BA$1*(AH101*(1-AP101)+MAX(AK101-AE101,0))</f>
        <v>697.56160942615622</v>
      </c>
      <c r="AS101" s="73">
        <f t="shared" si="24"/>
        <v>0.705217861315104</v>
      </c>
      <c r="AT101" s="73">
        <f t="shared" si="25"/>
        <v>0.47014524087673604</v>
      </c>
      <c r="AU101" s="73">
        <f t="shared" si="26"/>
        <v>0.352608930657552</v>
      </c>
      <c r="AV101" s="73">
        <f t="shared" si="27"/>
        <v>282.52701601816415</v>
      </c>
      <c r="AW101" s="73">
        <f t="shared" si="28"/>
        <v>188.35134401210945</v>
      </c>
      <c r="AX101" s="2" t="str">
        <f t="shared" si="29"/>
        <v>r_guanqia_99</v>
      </c>
      <c r="AY101" s="2">
        <f>ROUND(($P101*R101/10/$H101/(1+VLOOKUP($I101,技能效果!$B$2:$D$101,3,FALSE))-1)*10000,0)</f>
        <v>286</v>
      </c>
      <c r="AZ101" s="2">
        <f>ROUND(($P101*S101/10/$H101/(1+VLOOKUP($I101,技能效果!$B$2:$D$101,3,FALSE))-1)*10000,0)</f>
        <v>286</v>
      </c>
      <c r="BA101" s="2">
        <f>ROUND(($P101*T101/10/$H101/(1+VLOOKUP($I101,技能效果!$B$2:$D$101,3,FALSE))-1)*10000,0)</f>
        <v>286</v>
      </c>
      <c r="BB101" s="2">
        <f>ROUND(($P101*U101/10/$H101/(1+VLOOKUP($I101,技能效果!$B$2:$D$101,3,FALSE))-1)*10000,0)</f>
        <v>286</v>
      </c>
      <c r="BC101" s="2">
        <f>ROUND(($P101*V101/10/$H101/(1+VLOOKUP($I101,技能效果!$B$2:$D$101,3,FALSE))-1)*10000,0)</f>
        <v>286</v>
      </c>
    </row>
    <row r="102" spans="2:55" x14ac:dyDescent="0.15">
      <c r="B102" s="83"/>
      <c r="C102" s="2">
        <v>100</v>
      </c>
      <c r="D102" s="2">
        <f t="shared" si="33"/>
        <v>60</v>
      </c>
      <c r="E102" s="2">
        <v>2</v>
      </c>
      <c r="F102" s="28">
        <f>INDEX([3]宠物属性!$AL$8:$AL$107,MATCH(D102,[3]宠物属性!$I$8:$I$107,0),1)</f>
        <v>197800.51813973335</v>
      </c>
      <c r="G102" s="68">
        <f>F102/INDEX(角色属性!$AI$8:$AI$107,MATCH(D102,角色属性!$I$8:$I$107,0),1)*E102</f>
        <v>2.5588868190989911</v>
      </c>
      <c r="H102" s="2">
        <f>INDEX(角色属性!$AL$8:$AL$107,MATCH(D102,角色属性!$I$8:$I$107,0),1)</f>
        <v>4648</v>
      </c>
      <c r="I102" s="2">
        <f>INDEX(角色属性!$Y$8:$Y$107,MATCH(D102,角色属性!$I$8:$I$107,0),1)</f>
        <v>60</v>
      </c>
      <c r="J102" s="28">
        <f>H102*10*(1+VLOOKUP(I102,技能效果!$B$2:$D$101,3,FALSE))</f>
        <v>57449.280000000006</v>
      </c>
      <c r="K102" s="28">
        <f>H102*10*(1+VLOOKUP(I102,技能效果!$B$2:$D$101,3,FALSE))*(1+G102)</f>
        <v>204455.48535872731</v>
      </c>
      <c r="L102" s="2">
        <f t="shared" si="19"/>
        <v>100</v>
      </c>
      <c r="M102" s="28">
        <f t="shared" si="20"/>
        <v>57449.280000000006</v>
      </c>
      <c r="N102" s="28">
        <f t="shared" si="21"/>
        <v>204455.48535872731</v>
      </c>
      <c r="O102" s="62">
        <f t="shared" si="31"/>
        <v>204455</v>
      </c>
      <c r="P102" s="62">
        <f t="shared" si="32"/>
        <v>57449</v>
      </c>
      <c r="Q102" s="64">
        <f t="shared" si="30"/>
        <v>12644</v>
      </c>
      <c r="R102" s="67">
        <v>1</v>
      </c>
      <c r="S102" s="67">
        <v>1</v>
      </c>
      <c r="T102" s="67">
        <v>1</v>
      </c>
      <c r="U102" s="67">
        <v>1</v>
      </c>
      <c r="V102" s="67">
        <v>1</v>
      </c>
      <c r="W102" s="28">
        <v>0</v>
      </c>
      <c r="X102" s="28">
        <v>0</v>
      </c>
      <c r="Y102" s="28">
        <v>0</v>
      </c>
      <c r="Z102" s="28">
        <v>0</v>
      </c>
      <c r="AA102" s="28">
        <v>0</v>
      </c>
      <c r="AB102" s="64">
        <f>INDEX(角色属性!AM$8:AM$107,MATCH($D102,角色属性!$I$8:$I$107,0),1)</f>
        <v>250160</v>
      </c>
      <c r="AC102" s="64">
        <f>INDEX(角色属性!AN$8:AN$107,MATCH($D102,角色属性!$I$8:$I$107,0),1)</f>
        <v>25016</v>
      </c>
      <c r="AD102" s="64">
        <f>INDEX(角色属性!AO$8:AO$107,MATCH($D102,角色属性!$I$8:$I$107,0),1)</f>
        <v>12508</v>
      </c>
      <c r="AE102" s="64">
        <f>INDEX(角色属性!AP$8:AP$107,MATCH($D102,角色属性!$I$8:$I$107,0),1)</f>
        <v>10006.4</v>
      </c>
      <c r="AF102" s="64">
        <f>INDEX(角色属性!AQ$8:AQ$107,MATCH($D102,角色属性!$I$8:$I$107,0),1)</f>
        <v>10006.4</v>
      </c>
      <c r="AG102" s="64">
        <f>$P102/10/(1+VLOOKUP(I102,技能效果!$B$2:$D$101,3,FALSE))*怪物属性规划!A$18*INDEX(怪物属性等级系数!$A$2:$A$101,MATCH(D102,怪物属性等级系数!$D$2:$D$101,0),1)*R102+W102</f>
        <v>58750.092048028913</v>
      </c>
      <c r="AH102" s="64">
        <f>$P102/10/(1+VLOOKUP($I102,技能效果!$B$2:$D$101,3,FALSE))*怪物属性规划!B$18*S102+X102</f>
        <v>4647.977346278316</v>
      </c>
      <c r="AI102" s="64">
        <f>$P102/10/(1+VLOOKUP($I102,技能效果!$B$2:$D$101,3,FALSE))*怪物属性规划!C$18*T102+Y102</f>
        <v>4647.977346278316</v>
      </c>
      <c r="AJ102" s="64">
        <f>$P102/10/(1+VLOOKUP($I102,技能效果!$B$2:$D$101,3,FALSE))*怪物属性规划!D$18*U102+Z102</f>
        <v>3718.381877022653</v>
      </c>
      <c r="AK102" s="64">
        <f>$P102/10/(1+VLOOKUP($I102,技能效果!$B$2:$D$101,3,FALSE))*怪物属性规划!E$18*V102+AA102</f>
        <v>3718.381877022653</v>
      </c>
      <c r="AL102" s="67">
        <f>INDEX(角色属性!BB$8:BB$107,MATCH($D102,角色属性!$I$8:$I$107,0),1)</f>
        <v>1.5900000000000005</v>
      </c>
      <c r="AM102" s="64">
        <f>INDEX(角色属性!BC$8:BC$107,MATCH($D102,角色属性!$I$8:$I$107,0),1)</f>
        <v>9895</v>
      </c>
      <c r="AN102" s="64">
        <f>INDEX(角色属性!BD$8:BD$107,MATCH($D102,角色属性!$I$8:$I$107,0),1)</f>
        <v>2170</v>
      </c>
      <c r="AO102" s="69">
        <f t="shared" si="22"/>
        <v>0.52265969933117618</v>
      </c>
      <c r="AP102" s="69">
        <f t="shared" si="23"/>
        <v>0.93072886011014266</v>
      </c>
      <c r="AQ102" s="64">
        <f>AL102*角色属性!$BA$1*(AC102*(1-AO102)+MAX(AF102-AJ102,0))</f>
        <v>57968.738608737505</v>
      </c>
      <c r="AR102" s="64">
        <f>角色属性!$BA$1*(AH102*(1-AP102)+MAX(AK102-AE102,0))</f>
        <v>643.94137791786625</v>
      </c>
      <c r="AS102" s="73">
        <f t="shared" si="24"/>
        <v>0.56304381999719988</v>
      </c>
      <c r="AT102" s="73">
        <f t="shared" si="25"/>
        <v>0.3753625466647999</v>
      </c>
      <c r="AU102" s="73">
        <f t="shared" si="26"/>
        <v>0.28152190999859994</v>
      </c>
      <c r="AV102" s="73">
        <f t="shared" si="27"/>
        <v>388.48256779036728</v>
      </c>
      <c r="AW102" s="73">
        <f t="shared" si="28"/>
        <v>258.9883785269115</v>
      </c>
      <c r="AX102" s="2" t="str">
        <f t="shared" si="29"/>
        <v>r_guanqia_100</v>
      </c>
      <c r="AY102" s="2">
        <f>ROUND(($P102*R102/10/$H102/(1+VLOOKUP($I102,技能效果!$B$2:$D$101,3,FALSE))-1)*10000,0)</f>
        <v>0</v>
      </c>
      <c r="AZ102" s="2">
        <f>ROUND(($P102*S102/10/$H102/(1+VLOOKUP($I102,技能效果!$B$2:$D$101,3,FALSE))-1)*10000,0)</f>
        <v>0</v>
      </c>
      <c r="BA102" s="2">
        <f>ROUND(($P102*T102/10/$H102/(1+VLOOKUP($I102,技能效果!$B$2:$D$101,3,FALSE))-1)*10000,0)</f>
        <v>0</v>
      </c>
      <c r="BB102" s="2">
        <f>ROUND(($P102*U102/10/$H102/(1+VLOOKUP($I102,技能效果!$B$2:$D$101,3,FALSE))-1)*10000,0)</f>
        <v>0</v>
      </c>
      <c r="BC102" s="2">
        <f>ROUND(($P102*V102/10/$H102/(1+VLOOKUP($I102,技能效果!$B$2:$D$101,3,FALSE))-1)*10000,0)</f>
        <v>0</v>
      </c>
    </row>
    <row r="103" spans="2:55" x14ac:dyDescent="0.15">
      <c r="B103" s="83" t="s">
        <v>122</v>
      </c>
      <c r="C103" s="2">
        <v>101</v>
      </c>
      <c r="D103" s="2">
        <f t="shared" si="33"/>
        <v>60</v>
      </c>
      <c r="E103" s="2">
        <v>2</v>
      </c>
      <c r="F103" s="28">
        <f>INDEX([3]宠物属性!$AL$8:$AL$107,MATCH(D103,[3]宠物属性!$I$8:$I$107,0),1)</f>
        <v>197800.51813973335</v>
      </c>
      <c r="G103" s="68">
        <f>F103/INDEX(角色属性!$AI$8:$AI$107,MATCH(D103,角色属性!$I$8:$I$107,0),1)*E103</f>
        <v>2.5588868190989911</v>
      </c>
      <c r="H103" s="2">
        <f>INDEX(角色属性!$AL$8:$AL$107,MATCH(D103,角色属性!$I$8:$I$107,0),1)</f>
        <v>4648</v>
      </c>
      <c r="I103" s="2">
        <f>INDEX(角色属性!$Y$8:$Y$107,MATCH(D103,角色属性!$I$8:$I$107,0),1)</f>
        <v>60</v>
      </c>
      <c r="J103" s="28">
        <f>H103*10*(1+VLOOKUP(I103,技能效果!$B$2:$D$101,3,FALSE))</f>
        <v>57449.280000000006</v>
      </c>
      <c r="K103" s="28">
        <f>H103*10*(1+VLOOKUP(I103,技能效果!$B$2:$D$101,3,FALSE))*(1+G103)</f>
        <v>204455.48535872731</v>
      </c>
      <c r="L103" s="2">
        <f t="shared" si="19"/>
        <v>110</v>
      </c>
      <c r="M103" s="28">
        <f t="shared" si="20"/>
        <v>72119.520000000019</v>
      </c>
      <c r="N103" s="28">
        <f t="shared" si="21"/>
        <v>234588.21446361727</v>
      </c>
      <c r="O103" s="62">
        <f t="shared" si="31"/>
        <v>205359</v>
      </c>
      <c r="P103" s="62">
        <f t="shared" si="32"/>
        <v>57889</v>
      </c>
      <c r="Q103" s="64">
        <f t="shared" si="30"/>
        <v>904</v>
      </c>
      <c r="R103" s="67">
        <v>1</v>
      </c>
      <c r="S103" s="67">
        <v>1</v>
      </c>
      <c r="T103" s="67">
        <v>1</v>
      </c>
      <c r="U103" s="67">
        <v>1</v>
      </c>
      <c r="V103" s="67">
        <v>1</v>
      </c>
      <c r="W103" s="28">
        <v>0</v>
      </c>
      <c r="X103" s="28">
        <v>0</v>
      </c>
      <c r="Y103" s="28">
        <v>0</v>
      </c>
      <c r="Z103" s="28">
        <v>0</v>
      </c>
      <c r="AA103" s="28">
        <v>0</v>
      </c>
      <c r="AB103" s="64">
        <f>INDEX(角色属性!AM$8:AM$107,MATCH($D103,角色属性!$I$8:$I$107,0),1)</f>
        <v>250160</v>
      </c>
      <c r="AC103" s="64">
        <f>INDEX(角色属性!AN$8:AN$107,MATCH($D103,角色属性!$I$8:$I$107,0),1)</f>
        <v>25016</v>
      </c>
      <c r="AD103" s="64">
        <f>INDEX(角色属性!AO$8:AO$107,MATCH($D103,角色属性!$I$8:$I$107,0),1)</f>
        <v>12508</v>
      </c>
      <c r="AE103" s="64">
        <f>INDEX(角色属性!AP$8:AP$107,MATCH($D103,角色属性!$I$8:$I$107,0),1)</f>
        <v>10006.4</v>
      </c>
      <c r="AF103" s="64">
        <f>INDEX(角色属性!AQ$8:AQ$107,MATCH($D103,角色属性!$I$8:$I$107,0),1)</f>
        <v>10006.4</v>
      </c>
      <c r="AG103" s="64">
        <f>$P103/10/(1+VLOOKUP(I103,技能效果!$B$2:$D$101,3,FALSE))*怪物属性规划!A$18*INDEX(怪物属性等级系数!$A$2:$A$101,MATCH(D103,怪物属性等级系数!$D$2:$D$101,0),1)*R103+W103</f>
        <v>59200.057069197836</v>
      </c>
      <c r="AH103" s="64">
        <f>$P103/10/(1+VLOOKUP($I103,技能效果!$B$2:$D$101,3,FALSE))*怪物属性规划!B$18*S103+X103</f>
        <v>4683.5760517799345</v>
      </c>
      <c r="AI103" s="64">
        <f>$P103/10/(1+VLOOKUP($I103,技能效果!$B$2:$D$101,3,FALSE))*怪物属性规划!C$18*T103+Y103</f>
        <v>4683.5760517799345</v>
      </c>
      <c r="AJ103" s="64">
        <f>$P103/10/(1+VLOOKUP($I103,技能效果!$B$2:$D$101,3,FALSE))*怪物属性规划!D$18*U103+Z103</f>
        <v>3746.8608414239479</v>
      </c>
      <c r="AK103" s="64">
        <f>$P103/10/(1+VLOOKUP($I103,技能效果!$B$2:$D$101,3,FALSE))*怪物属性规划!E$18*V103+AA103</f>
        <v>3746.8608414239479</v>
      </c>
      <c r="AL103" s="67">
        <f>INDEX(角色属性!BB$8:BB$107,MATCH($D103,角色属性!$I$8:$I$107,0),1)</f>
        <v>1.5900000000000005</v>
      </c>
      <c r="AM103" s="64">
        <f>INDEX(角色属性!BC$8:BC$107,MATCH($D103,角色属性!$I$8:$I$107,0),1)</f>
        <v>9895</v>
      </c>
      <c r="AN103" s="64">
        <f>INDEX(角色属性!BD$8:BD$107,MATCH($D103,角色属性!$I$8:$I$107,0),1)</f>
        <v>2170</v>
      </c>
      <c r="AO103" s="69">
        <f t="shared" si="22"/>
        <v>0.52456288997799339</v>
      </c>
      <c r="AP103" s="69">
        <f t="shared" si="23"/>
        <v>0.93072886011014266</v>
      </c>
      <c r="AQ103" s="64">
        <f>AL103*角色属性!$BA$1*(AC103*(1-AO103)+MAX(AF103-AJ103,0))</f>
        <v>57726.775011179321</v>
      </c>
      <c r="AR103" s="64">
        <f>角色属性!$BA$1*(AH103*(1-AP103)+MAX(AK103-AE103,0))</f>
        <v>648.87330373526709</v>
      </c>
      <c r="AS103" s="73">
        <f t="shared" si="24"/>
        <v>0.56973424528963479</v>
      </c>
      <c r="AT103" s="73">
        <f t="shared" si="25"/>
        <v>0.37982283019308988</v>
      </c>
      <c r="AU103" s="73">
        <f t="shared" si="26"/>
        <v>0.28486712264481739</v>
      </c>
      <c r="AV103" s="73">
        <f t="shared" si="27"/>
        <v>385.5298076834772</v>
      </c>
      <c r="AW103" s="73">
        <f t="shared" si="28"/>
        <v>257.0198717889848</v>
      </c>
      <c r="AX103" s="2" t="str">
        <f t="shared" si="29"/>
        <v>r_guanqia_101</v>
      </c>
      <c r="AY103" s="2">
        <f>ROUND(($P103*R103/10/$H103/(1+VLOOKUP($I103,技能效果!$B$2:$D$101,3,FALSE))-1)*10000,0)</f>
        <v>77</v>
      </c>
      <c r="AZ103" s="2">
        <f>ROUND(($P103*S103/10/$H103/(1+VLOOKUP($I103,技能效果!$B$2:$D$101,3,FALSE))-1)*10000,0)</f>
        <v>77</v>
      </c>
      <c r="BA103" s="2">
        <f>ROUND(($P103*T103/10/$H103/(1+VLOOKUP($I103,技能效果!$B$2:$D$101,3,FALSE))-1)*10000,0)</f>
        <v>77</v>
      </c>
      <c r="BB103" s="2">
        <f>ROUND(($P103*U103/10/$H103/(1+VLOOKUP($I103,技能效果!$B$2:$D$101,3,FALSE))-1)*10000,0)</f>
        <v>77</v>
      </c>
      <c r="BC103" s="2">
        <f>ROUND(($P103*V103/10/$H103/(1+VLOOKUP($I103,技能效果!$B$2:$D$101,3,FALSE))-1)*10000,0)</f>
        <v>77</v>
      </c>
    </row>
    <row r="104" spans="2:55" x14ac:dyDescent="0.15">
      <c r="B104" s="83"/>
      <c r="C104" s="2">
        <v>102</v>
      </c>
      <c r="D104" s="2">
        <f t="shared" si="33"/>
        <v>60</v>
      </c>
      <c r="E104" s="2">
        <v>2</v>
      </c>
      <c r="F104" s="28">
        <f>INDEX([3]宠物属性!$AL$8:$AL$107,MATCH(D104,[3]宠物属性!$I$8:$I$107,0),1)</f>
        <v>197800.51813973335</v>
      </c>
      <c r="G104" s="68">
        <f>F104/INDEX(角色属性!$AI$8:$AI$107,MATCH(D104,角色属性!$I$8:$I$107,0),1)*E104</f>
        <v>2.5588868190989911</v>
      </c>
      <c r="H104" s="2">
        <f>INDEX(角色属性!$AL$8:$AL$107,MATCH(D104,角色属性!$I$8:$I$107,0),1)</f>
        <v>4648</v>
      </c>
      <c r="I104" s="2">
        <f>INDEX(角色属性!$Y$8:$Y$107,MATCH(D104,角色属性!$I$8:$I$107,0),1)</f>
        <v>60</v>
      </c>
      <c r="J104" s="28">
        <f>H104*10*(1+VLOOKUP(I104,技能效果!$B$2:$D$101,3,FALSE))</f>
        <v>57449.280000000006</v>
      </c>
      <c r="K104" s="28">
        <f>H104*10*(1+VLOOKUP(I104,技能效果!$B$2:$D$101,3,FALSE))*(1+G104)</f>
        <v>204455.48535872731</v>
      </c>
      <c r="L104" s="2">
        <f t="shared" si="19"/>
        <v>110</v>
      </c>
      <c r="M104" s="28">
        <f t="shared" si="20"/>
        <v>72119.520000000019</v>
      </c>
      <c r="N104" s="28">
        <f t="shared" si="21"/>
        <v>234588.21446361727</v>
      </c>
      <c r="O104" s="62">
        <f t="shared" si="31"/>
        <v>206866</v>
      </c>
      <c r="P104" s="62">
        <f t="shared" si="32"/>
        <v>58623</v>
      </c>
      <c r="Q104" s="64">
        <f t="shared" si="30"/>
        <v>1507</v>
      </c>
      <c r="R104" s="67">
        <v>1</v>
      </c>
      <c r="S104" s="67">
        <v>1</v>
      </c>
      <c r="T104" s="67">
        <v>1</v>
      </c>
      <c r="U104" s="67">
        <v>1</v>
      </c>
      <c r="V104" s="67">
        <v>1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64">
        <f>INDEX(角色属性!AM$8:AM$107,MATCH($D104,角色属性!$I$8:$I$107,0),1)</f>
        <v>250160</v>
      </c>
      <c r="AC104" s="64">
        <f>INDEX(角色属性!AN$8:AN$107,MATCH($D104,角色属性!$I$8:$I$107,0),1)</f>
        <v>25016</v>
      </c>
      <c r="AD104" s="64">
        <f>INDEX(角色属性!AO$8:AO$107,MATCH($D104,角色属性!$I$8:$I$107,0),1)</f>
        <v>12508</v>
      </c>
      <c r="AE104" s="64">
        <f>INDEX(角色属性!AP$8:AP$107,MATCH($D104,角色属性!$I$8:$I$107,0),1)</f>
        <v>10006.4</v>
      </c>
      <c r="AF104" s="64">
        <f>INDEX(角色属性!AQ$8:AQ$107,MATCH($D104,角色属性!$I$8:$I$107,0),1)</f>
        <v>10006.4</v>
      </c>
      <c r="AG104" s="64">
        <f>$P104/10/(1+VLOOKUP(I104,技能效果!$B$2:$D$101,3,FALSE))*怪物属性规划!A$18*INDEX(怪物属性等级系数!$A$2:$A$101,MATCH(D104,怪物属性等级系数!$D$2:$D$101,0),1)*R104+W104</f>
        <v>59950.680536329608</v>
      </c>
      <c r="AH104" s="64">
        <f>$P104/10/(1+VLOOKUP($I104,技能效果!$B$2:$D$101,3,FALSE))*怪物属性规划!B$18*S104+X104</f>
        <v>4742.9611650485431</v>
      </c>
      <c r="AI104" s="64">
        <f>$P104/10/(1+VLOOKUP($I104,技能效果!$B$2:$D$101,3,FALSE))*怪物属性规划!C$18*T104+Y104</f>
        <v>4742.9611650485431</v>
      </c>
      <c r="AJ104" s="64">
        <f>$P104/10/(1+VLOOKUP($I104,技能效果!$B$2:$D$101,3,FALSE))*怪物属性规划!D$18*U104+Z104</f>
        <v>3794.3689320388348</v>
      </c>
      <c r="AK104" s="64">
        <f>$P104/10/(1+VLOOKUP($I104,技能效果!$B$2:$D$101,3,FALSE))*怪物属性规划!E$18*V104+AA104</f>
        <v>3794.3689320388348</v>
      </c>
      <c r="AL104" s="67">
        <f>INDEX(角色属性!BB$8:BB$107,MATCH($D104,角色属性!$I$8:$I$107,0),1)</f>
        <v>1.5900000000000005</v>
      </c>
      <c r="AM104" s="64">
        <f>INDEX(角色属性!BC$8:BC$107,MATCH($D104,角色属性!$I$8:$I$107,0),1)</f>
        <v>9895</v>
      </c>
      <c r="AN104" s="64">
        <f>INDEX(角色属性!BD$8:BD$107,MATCH($D104,角色属性!$I$8:$I$107,0),1)</f>
        <v>2170</v>
      </c>
      <c r="AO104" s="69">
        <f t="shared" si="22"/>
        <v>0.52770420617546188</v>
      </c>
      <c r="AP104" s="69">
        <f t="shared" si="23"/>
        <v>0.93072886011014266</v>
      </c>
      <c r="AQ104" s="64">
        <f>AL104*角色属性!$BA$1*(AC104*(1-AO104)+MAX(AF104-AJ104,0))</f>
        <v>57325.804815157098</v>
      </c>
      <c r="AR104" s="64">
        <f>角色属性!$BA$1*(AH104*(1-AP104)+MAX(AK104-AE104,0))</f>
        <v>657.10065271247674</v>
      </c>
      <c r="AS104" s="73">
        <f t="shared" si="24"/>
        <v>0.58099373813741984</v>
      </c>
      <c r="AT104" s="73">
        <f t="shared" si="25"/>
        <v>0.38732915875827989</v>
      </c>
      <c r="AU104" s="73">
        <f t="shared" si="26"/>
        <v>0.29049686906870992</v>
      </c>
      <c r="AV104" s="73">
        <f t="shared" si="27"/>
        <v>380.70271117119233</v>
      </c>
      <c r="AW104" s="73">
        <f t="shared" si="28"/>
        <v>253.80180744746158</v>
      </c>
      <c r="AX104" s="2" t="str">
        <f t="shared" si="29"/>
        <v>r_guanqia_102</v>
      </c>
      <c r="AY104" s="2">
        <f>ROUND(($P104*R104/10/$H104/(1+VLOOKUP($I104,技能效果!$B$2:$D$101,3,FALSE))-1)*10000,0)</f>
        <v>204</v>
      </c>
      <c r="AZ104" s="2">
        <f>ROUND(($P104*S104/10/$H104/(1+VLOOKUP($I104,技能效果!$B$2:$D$101,3,FALSE))-1)*10000,0)</f>
        <v>204</v>
      </c>
      <c r="BA104" s="2">
        <f>ROUND(($P104*T104/10/$H104/(1+VLOOKUP($I104,技能效果!$B$2:$D$101,3,FALSE))-1)*10000,0)</f>
        <v>204</v>
      </c>
      <c r="BB104" s="2">
        <f>ROUND(($P104*U104/10/$H104/(1+VLOOKUP($I104,技能效果!$B$2:$D$101,3,FALSE))-1)*10000,0)</f>
        <v>204</v>
      </c>
      <c r="BC104" s="2">
        <f>ROUND(($P104*V104/10/$H104/(1+VLOOKUP($I104,技能效果!$B$2:$D$101,3,FALSE))-1)*10000,0)</f>
        <v>204</v>
      </c>
    </row>
    <row r="105" spans="2:55" x14ac:dyDescent="0.15">
      <c r="B105" s="83"/>
      <c r="C105" s="2">
        <v>103</v>
      </c>
      <c r="D105" s="2">
        <f t="shared" si="33"/>
        <v>61</v>
      </c>
      <c r="E105" s="2">
        <v>2</v>
      </c>
      <c r="F105" s="28">
        <f>INDEX([3]宠物属性!$AL$8:$AL$107,MATCH(D105,[3]宠物属性!$I$8:$I$107,0),1)</f>
        <v>199934.84733098105</v>
      </c>
      <c r="G105" s="68">
        <f>F105/INDEX(角色属性!$AI$8:$AI$107,MATCH(D105,角色属性!$I$8:$I$107,0),1)*E105</f>
        <v>2.539777586920215</v>
      </c>
      <c r="H105" s="2">
        <f>INDEX(角色属性!$AL$8:$AL$107,MATCH(D105,角色属性!$I$8:$I$107,0),1)</f>
        <v>4854</v>
      </c>
      <c r="I105" s="2">
        <f>INDEX(角色属性!$Y$8:$Y$107,MATCH(D105,角色属性!$I$8:$I$107,0),1)</f>
        <v>61</v>
      </c>
      <c r="J105" s="28">
        <f>H105*10*(1+VLOOKUP(I105,技能效果!$B$2:$D$101,3,FALSE))</f>
        <v>60189.600000000013</v>
      </c>
      <c r="K105" s="28">
        <f>H105*10*(1+VLOOKUP(I105,技能效果!$B$2:$D$101,3,FALSE))*(1+G105)</f>
        <v>213057.79704569303</v>
      </c>
      <c r="L105" s="2">
        <f t="shared" si="19"/>
        <v>110</v>
      </c>
      <c r="M105" s="28">
        <f t="shared" si="20"/>
        <v>72119.520000000019</v>
      </c>
      <c r="N105" s="28">
        <f t="shared" si="21"/>
        <v>234588.21446361727</v>
      </c>
      <c r="O105" s="62">
        <f t="shared" si="31"/>
        <v>208975</v>
      </c>
      <c r="P105" s="62">
        <f t="shared" si="32"/>
        <v>59650</v>
      </c>
      <c r="Q105" s="64">
        <f t="shared" si="30"/>
        <v>2109</v>
      </c>
      <c r="R105" s="67">
        <v>1</v>
      </c>
      <c r="S105" s="67">
        <v>1</v>
      </c>
      <c r="T105" s="67">
        <v>1</v>
      </c>
      <c r="U105" s="67">
        <v>1</v>
      </c>
      <c r="V105" s="67">
        <v>1</v>
      </c>
      <c r="W105" s="28">
        <v>0</v>
      </c>
      <c r="X105" s="28">
        <v>0</v>
      </c>
      <c r="Y105" s="28">
        <v>0</v>
      </c>
      <c r="Z105" s="28">
        <v>0</v>
      </c>
      <c r="AA105" s="28">
        <v>0</v>
      </c>
      <c r="AB105" s="64">
        <f>INDEX(角色属性!AM$8:AM$107,MATCH($D105,角色属性!$I$8:$I$107,0),1)</f>
        <v>253940</v>
      </c>
      <c r="AC105" s="64">
        <f>INDEX(角色属性!AN$8:AN$107,MATCH($D105,角色属性!$I$8:$I$107,0),1)</f>
        <v>25394</v>
      </c>
      <c r="AD105" s="64">
        <f>INDEX(角色属性!AO$8:AO$107,MATCH($D105,角色属性!$I$8:$I$107,0),1)</f>
        <v>12697</v>
      </c>
      <c r="AE105" s="64">
        <f>INDEX(角色属性!AP$8:AP$107,MATCH($D105,角色属性!$I$8:$I$107,0),1)</f>
        <v>10157.6</v>
      </c>
      <c r="AF105" s="64">
        <f>INDEX(角色属性!AQ$8:AQ$107,MATCH($D105,角色属性!$I$8:$I$107,0),1)</f>
        <v>10157.6</v>
      </c>
      <c r="AG105" s="64">
        <f>$P105/10/(1+VLOOKUP(I105,技能效果!$B$2:$D$101,3,FALSE))*怪物属性规划!A$18*INDEX(怪物属性等级系数!$A$2:$A$101,MATCH(D105,怪物属性等级系数!$D$2:$D$101,0),1)*R105+W105</f>
        <v>61579.327958404036</v>
      </c>
      <c r="AH105" s="64">
        <f>$P105/10/(1+VLOOKUP($I105,技能效果!$B$2:$D$101,3,FALSE))*怪物属性规划!B$18*S105+X105</f>
        <v>4810.4838709677415</v>
      </c>
      <c r="AI105" s="64">
        <f>$P105/10/(1+VLOOKUP($I105,技能效果!$B$2:$D$101,3,FALSE))*怪物属性规划!C$18*T105+Y105</f>
        <v>4810.4838709677415</v>
      </c>
      <c r="AJ105" s="64">
        <f>$P105/10/(1+VLOOKUP($I105,技能效果!$B$2:$D$101,3,FALSE))*怪物属性规划!D$18*U105+Z105</f>
        <v>3848.3870967741932</v>
      </c>
      <c r="AK105" s="64">
        <f>$P105/10/(1+VLOOKUP($I105,技能效果!$B$2:$D$101,3,FALSE))*怪物属性规划!E$18*V105+AA105</f>
        <v>3848.3870967741932</v>
      </c>
      <c r="AL105" s="67">
        <f>INDEX(角色属性!BB$8:BB$107,MATCH($D105,角色属性!$I$8:$I$107,0),1)</f>
        <v>1.6000000000000005</v>
      </c>
      <c r="AM105" s="64">
        <f>INDEX(角色属性!BC$8:BC$107,MATCH($D105,角色属性!$I$8:$I$107,0),1)</f>
        <v>10458</v>
      </c>
      <c r="AN105" s="64">
        <f>INDEX(角色属性!BD$8:BD$107,MATCH($D105,角色属性!$I$8:$I$107,0),1)</f>
        <v>2204</v>
      </c>
      <c r="AO105" s="69">
        <f t="shared" si="22"/>
        <v>0.51742514038797982</v>
      </c>
      <c r="AP105" s="69">
        <f t="shared" si="23"/>
        <v>0.9306934292765352</v>
      </c>
      <c r="AQ105" s="64">
        <f>AL105*角色属性!$BA$1*(AC105*(1-AO105)+MAX(AF105-AJ105,0))</f>
        <v>59403.900442283048</v>
      </c>
      <c r="AR105" s="64">
        <f>角色属性!$BA$1*(AH105*(1-AP105)+MAX(AK105-AE105,0))</f>
        <v>666.79628123462498</v>
      </c>
      <c r="AS105" s="73">
        <f t="shared" si="24"/>
        <v>0.57590053009916631</v>
      </c>
      <c r="AT105" s="73">
        <f t="shared" si="25"/>
        <v>0.3839336867327775</v>
      </c>
      <c r="AU105" s="73">
        <f t="shared" si="26"/>
        <v>0.28795026504958315</v>
      </c>
      <c r="AV105" s="73">
        <f t="shared" si="27"/>
        <v>380.83595716792303</v>
      </c>
      <c r="AW105" s="73">
        <f t="shared" si="28"/>
        <v>253.89063811194868</v>
      </c>
      <c r="AX105" s="2" t="str">
        <f t="shared" si="29"/>
        <v>r_guanqia_103</v>
      </c>
      <c r="AY105" s="2">
        <f>ROUND(($P105*R105/10/$H105/(1+VLOOKUP($I105,技能效果!$B$2:$D$101,3,FALSE))-1)*10000,0)</f>
        <v>-90</v>
      </c>
      <c r="AZ105" s="2">
        <f>ROUND(($P105*S105/10/$H105/(1+VLOOKUP($I105,技能效果!$B$2:$D$101,3,FALSE))-1)*10000,0)</f>
        <v>-90</v>
      </c>
      <c r="BA105" s="2">
        <f>ROUND(($P105*T105/10/$H105/(1+VLOOKUP($I105,技能效果!$B$2:$D$101,3,FALSE))-1)*10000,0)</f>
        <v>-90</v>
      </c>
      <c r="BB105" s="2">
        <f>ROUND(($P105*U105/10/$H105/(1+VLOOKUP($I105,技能效果!$B$2:$D$101,3,FALSE))-1)*10000,0)</f>
        <v>-90</v>
      </c>
      <c r="BC105" s="2">
        <f>ROUND(($P105*V105/10/$H105/(1+VLOOKUP($I105,技能效果!$B$2:$D$101,3,FALSE))-1)*10000,0)</f>
        <v>-90</v>
      </c>
    </row>
    <row r="106" spans="2:55" x14ac:dyDescent="0.15">
      <c r="B106" s="83"/>
      <c r="C106" s="2">
        <v>104</v>
      </c>
      <c r="D106" s="2">
        <f t="shared" si="33"/>
        <v>61</v>
      </c>
      <c r="E106" s="2">
        <v>2</v>
      </c>
      <c r="F106" s="28">
        <f>INDEX([3]宠物属性!$AL$8:$AL$107,MATCH(D106,[3]宠物属性!$I$8:$I$107,0),1)</f>
        <v>199934.84733098105</v>
      </c>
      <c r="G106" s="68">
        <f>F106/INDEX(角色属性!$AI$8:$AI$107,MATCH(D106,角色属性!$I$8:$I$107,0),1)*E106</f>
        <v>2.539777586920215</v>
      </c>
      <c r="H106" s="2">
        <f>INDEX(角色属性!$AL$8:$AL$107,MATCH(D106,角色属性!$I$8:$I$107,0),1)</f>
        <v>4854</v>
      </c>
      <c r="I106" s="2">
        <f>INDEX(角色属性!$Y$8:$Y$107,MATCH(D106,角色属性!$I$8:$I$107,0),1)</f>
        <v>61</v>
      </c>
      <c r="J106" s="28">
        <f>H106*10*(1+VLOOKUP(I106,技能效果!$B$2:$D$101,3,FALSE))</f>
        <v>60189.600000000013</v>
      </c>
      <c r="K106" s="28">
        <f>H106*10*(1+VLOOKUP(I106,技能效果!$B$2:$D$101,3,FALSE))*(1+G106)</f>
        <v>213057.79704569303</v>
      </c>
      <c r="L106" s="2">
        <f t="shared" si="19"/>
        <v>110</v>
      </c>
      <c r="M106" s="28">
        <f t="shared" si="20"/>
        <v>72119.520000000019</v>
      </c>
      <c r="N106" s="28">
        <f t="shared" si="21"/>
        <v>234588.21446361727</v>
      </c>
      <c r="O106" s="62">
        <f t="shared" si="31"/>
        <v>211687</v>
      </c>
      <c r="P106" s="62">
        <f t="shared" si="32"/>
        <v>60970</v>
      </c>
      <c r="Q106" s="64">
        <f t="shared" si="30"/>
        <v>2712</v>
      </c>
      <c r="R106" s="67">
        <v>1</v>
      </c>
      <c r="S106" s="67">
        <v>1</v>
      </c>
      <c r="T106" s="67">
        <v>1</v>
      </c>
      <c r="U106" s="67">
        <v>1</v>
      </c>
      <c r="V106" s="67">
        <v>1</v>
      </c>
      <c r="W106" s="28">
        <v>0</v>
      </c>
      <c r="X106" s="28">
        <v>0</v>
      </c>
      <c r="Y106" s="28">
        <v>0</v>
      </c>
      <c r="Z106" s="28">
        <v>0</v>
      </c>
      <c r="AA106" s="28">
        <v>0</v>
      </c>
      <c r="AB106" s="64">
        <f>INDEX(角色属性!AM$8:AM$107,MATCH($D106,角色属性!$I$8:$I$107,0),1)</f>
        <v>253940</v>
      </c>
      <c r="AC106" s="64">
        <f>INDEX(角色属性!AN$8:AN$107,MATCH($D106,角色属性!$I$8:$I$107,0),1)</f>
        <v>25394</v>
      </c>
      <c r="AD106" s="64">
        <f>INDEX(角色属性!AO$8:AO$107,MATCH($D106,角色属性!$I$8:$I$107,0),1)</f>
        <v>12697</v>
      </c>
      <c r="AE106" s="64">
        <f>INDEX(角色属性!AP$8:AP$107,MATCH($D106,角色属性!$I$8:$I$107,0),1)</f>
        <v>10157.6</v>
      </c>
      <c r="AF106" s="64">
        <f>INDEX(角色属性!AQ$8:AQ$107,MATCH($D106,角色属性!$I$8:$I$107,0),1)</f>
        <v>10157.6</v>
      </c>
      <c r="AG106" s="64">
        <f>$P106/10/(1+VLOOKUP(I106,技能效果!$B$2:$D$101,3,FALSE))*怪物属性规划!A$18*INDEX(怪物属性等级系数!$A$2:$A$101,MATCH(D106,怪物属性等级系数!$D$2:$D$101,0),1)*R106+W106</f>
        <v>62942.022223367872</v>
      </c>
      <c r="AH106" s="64">
        <f>$P106/10/(1+VLOOKUP($I106,技能效果!$B$2:$D$101,3,FALSE))*怪物属性规划!B$18*S106+X106</f>
        <v>4916.9354838709669</v>
      </c>
      <c r="AI106" s="64">
        <f>$P106/10/(1+VLOOKUP($I106,技能效果!$B$2:$D$101,3,FALSE))*怪物属性规划!C$18*T106+Y106</f>
        <v>4916.9354838709669</v>
      </c>
      <c r="AJ106" s="64">
        <f>$P106/10/(1+VLOOKUP($I106,技能效果!$B$2:$D$101,3,FALSE))*怪物属性规划!D$18*U106+Z106</f>
        <v>3933.5483870967737</v>
      </c>
      <c r="AK106" s="64">
        <f>$P106/10/(1+VLOOKUP($I106,技能效果!$B$2:$D$101,3,FALSE))*怪物属性规划!E$18*V106+AA106</f>
        <v>3933.5483870967737</v>
      </c>
      <c r="AL106" s="67">
        <f>INDEX(角色属性!BB$8:BB$107,MATCH($D106,角色属性!$I$8:$I$107,0),1)</f>
        <v>1.6000000000000005</v>
      </c>
      <c r="AM106" s="64">
        <f>INDEX(角色属性!BC$8:BC$107,MATCH($D106,角色属性!$I$8:$I$107,0),1)</f>
        <v>10458</v>
      </c>
      <c r="AN106" s="64">
        <f>INDEX(角色属性!BD$8:BD$107,MATCH($D106,角色属性!$I$8:$I$107,0),1)</f>
        <v>2204</v>
      </c>
      <c r="AO106" s="69">
        <f t="shared" si="22"/>
        <v>0.52288814064723255</v>
      </c>
      <c r="AP106" s="69">
        <f t="shared" si="23"/>
        <v>0.9306934292765352</v>
      </c>
      <c r="AQ106" s="64">
        <f>AL106*角色属性!$BA$1*(AC106*(1-AO106)+MAX(AF106-AJ106,0))</f>
        <v>58687.456541783708</v>
      </c>
      <c r="AR106" s="64">
        <f>角色属性!$BA$1*(AH106*(1-AP106)+MAX(AK106-AE106,0))</f>
        <v>681.55187371123361</v>
      </c>
      <c r="AS106" s="73">
        <f t="shared" si="24"/>
        <v>0.59583073086831162</v>
      </c>
      <c r="AT106" s="73">
        <f t="shared" si="25"/>
        <v>0.39722048724554104</v>
      </c>
      <c r="AU106" s="73">
        <f t="shared" si="26"/>
        <v>0.29791536543415581</v>
      </c>
      <c r="AV106" s="73">
        <f t="shared" si="27"/>
        <v>372.59086181837966</v>
      </c>
      <c r="AW106" s="73">
        <f t="shared" si="28"/>
        <v>248.39390787891978</v>
      </c>
      <c r="AX106" s="2" t="str">
        <f t="shared" si="29"/>
        <v>r_guanqia_104</v>
      </c>
      <c r="AY106" s="2">
        <f>ROUND(($P106*R106/10/$H106/(1+VLOOKUP($I106,技能效果!$B$2:$D$101,3,FALSE))-1)*10000,0)</f>
        <v>130</v>
      </c>
      <c r="AZ106" s="2">
        <f>ROUND(($P106*S106/10/$H106/(1+VLOOKUP($I106,技能效果!$B$2:$D$101,3,FALSE))-1)*10000,0)</f>
        <v>130</v>
      </c>
      <c r="BA106" s="2">
        <f>ROUND(($P106*T106/10/$H106/(1+VLOOKUP($I106,技能效果!$B$2:$D$101,3,FALSE))-1)*10000,0)</f>
        <v>130</v>
      </c>
      <c r="BB106" s="2">
        <f>ROUND(($P106*U106/10/$H106/(1+VLOOKUP($I106,技能效果!$B$2:$D$101,3,FALSE))-1)*10000,0)</f>
        <v>130</v>
      </c>
      <c r="BC106" s="2">
        <f>ROUND(($P106*V106/10/$H106/(1+VLOOKUP($I106,技能效果!$B$2:$D$101,3,FALSE))-1)*10000,0)</f>
        <v>130</v>
      </c>
    </row>
    <row r="107" spans="2:55" x14ac:dyDescent="0.15">
      <c r="B107" s="83"/>
      <c r="C107" s="2">
        <v>105</v>
      </c>
      <c r="D107" s="2">
        <f t="shared" si="33"/>
        <v>62</v>
      </c>
      <c r="E107" s="2">
        <v>2</v>
      </c>
      <c r="F107" s="28">
        <f>INDEX([3]宠物属性!$AL$8:$AL$107,MATCH(D107,[3]宠物属性!$I$8:$I$107,0),1)</f>
        <v>202079.22304222872</v>
      </c>
      <c r="G107" s="68">
        <f>F107/INDEX(角色属性!$AI$8:$AI$107,MATCH(D107,角色属性!$I$8:$I$107,0),1)*E107</f>
        <v>2.5371824340400173</v>
      </c>
      <c r="H107" s="2">
        <f>INDEX(角色属性!$AL$8:$AL$107,MATCH(D107,角色属性!$I$8:$I$107,0),1)</f>
        <v>5067</v>
      </c>
      <c r="I107" s="2">
        <f>INDEX(角色属性!$Y$8:$Y$107,MATCH(D107,角色属性!$I$8:$I$107,0),1)</f>
        <v>62</v>
      </c>
      <c r="J107" s="28">
        <f>H107*10*(1+VLOOKUP(I107,技能效果!$B$2:$D$101,3,FALSE))</f>
        <v>63033.48000000001</v>
      </c>
      <c r="K107" s="28">
        <f>H107*10*(1+VLOOKUP(I107,技能效果!$B$2:$D$101,3,FALSE))*(1+G107)</f>
        <v>222960.9182124128</v>
      </c>
      <c r="L107" s="2">
        <f t="shared" si="19"/>
        <v>110</v>
      </c>
      <c r="M107" s="28">
        <f t="shared" si="20"/>
        <v>72119.520000000019</v>
      </c>
      <c r="N107" s="28">
        <f t="shared" si="21"/>
        <v>234588.21446361727</v>
      </c>
      <c r="O107" s="62">
        <f t="shared" si="31"/>
        <v>217111</v>
      </c>
      <c r="P107" s="62">
        <f t="shared" si="32"/>
        <v>63611</v>
      </c>
      <c r="Q107" s="64">
        <f t="shared" si="30"/>
        <v>5424</v>
      </c>
      <c r="R107" s="67">
        <v>1</v>
      </c>
      <c r="S107" s="67">
        <v>1</v>
      </c>
      <c r="T107" s="67">
        <v>1</v>
      </c>
      <c r="U107" s="67">
        <v>1</v>
      </c>
      <c r="V107" s="67">
        <v>1</v>
      </c>
      <c r="W107" s="28">
        <v>0</v>
      </c>
      <c r="X107" s="28">
        <v>0</v>
      </c>
      <c r="Y107" s="28">
        <v>0</v>
      </c>
      <c r="Z107" s="28">
        <v>0</v>
      </c>
      <c r="AA107" s="28">
        <v>0</v>
      </c>
      <c r="AB107" s="64">
        <f>INDEX(角色属性!AM$8:AM$107,MATCH($D107,角色属性!$I$8:$I$107,0),1)</f>
        <v>256100</v>
      </c>
      <c r="AC107" s="64">
        <f>INDEX(角色属性!AN$8:AN$107,MATCH($D107,角色属性!$I$8:$I$107,0),1)</f>
        <v>25610</v>
      </c>
      <c r="AD107" s="64">
        <f>INDEX(角色属性!AO$8:AO$107,MATCH($D107,角色属性!$I$8:$I$107,0),1)</f>
        <v>12805</v>
      </c>
      <c r="AE107" s="64">
        <f>INDEX(角色属性!AP$8:AP$107,MATCH($D107,角色属性!$I$8:$I$107,0),1)</f>
        <v>10244</v>
      </c>
      <c r="AF107" s="64">
        <f>INDEX(角色属性!AQ$8:AQ$107,MATCH($D107,角色属性!$I$8:$I$107,0),1)</f>
        <v>10244</v>
      </c>
      <c r="AG107" s="64">
        <f>$P107/10/(1+VLOOKUP(I107,技能效果!$B$2:$D$101,3,FALSE))*怪物属性规划!A$18*INDEX(怪物属性等级系数!$A$2:$A$101,MATCH(D107,怪物属性等级系数!$D$2:$D$101,0),1)*R107+W107</f>
        <v>66274.91689901083</v>
      </c>
      <c r="AH107" s="64">
        <f>$P107/10/(1+VLOOKUP($I107,技能效果!$B$2:$D$101,3,FALSE))*怪物属性规划!B$18*S107+X107</f>
        <v>5113.4244372990352</v>
      </c>
      <c r="AI107" s="64">
        <f>$P107/10/(1+VLOOKUP($I107,技能效果!$B$2:$D$101,3,FALSE))*怪物属性规划!C$18*T107+Y107</f>
        <v>5113.4244372990352</v>
      </c>
      <c r="AJ107" s="64">
        <f>$P107/10/(1+VLOOKUP($I107,技能效果!$B$2:$D$101,3,FALSE))*怪物属性规划!D$18*U107+Z107</f>
        <v>4090.7395498392284</v>
      </c>
      <c r="AK107" s="64">
        <f>$P107/10/(1+VLOOKUP($I107,技能效果!$B$2:$D$101,3,FALSE))*怪物属性规划!E$18*V107+AA107</f>
        <v>4090.7395498392284</v>
      </c>
      <c r="AL107" s="67">
        <f>INDEX(角色属性!BB$8:BB$107,MATCH($D107,角色属性!$I$8:$I$107,0),1)</f>
        <v>1.6100000000000005</v>
      </c>
      <c r="AM107" s="64">
        <f>INDEX(角色属性!BC$8:BC$107,MATCH($D107,角色属性!$I$8:$I$107,0),1)</f>
        <v>11049</v>
      </c>
      <c r="AN107" s="64">
        <f>INDEX(角色属性!BD$8:BD$107,MATCH($D107,角色属性!$I$8:$I$107,0),1)</f>
        <v>2229</v>
      </c>
      <c r="AO107" s="69">
        <f t="shared" si="22"/>
        <v>0.51894786141939553</v>
      </c>
      <c r="AP107" s="69">
        <f t="shared" si="23"/>
        <v>0.9305120083283186</v>
      </c>
      <c r="AQ107" s="64">
        <f>AL107*角色属性!$BA$1*(AC107*(1-AO107)+MAX(AF107-AJ107,0))</f>
        <v>59483.078415856384</v>
      </c>
      <c r="AR107" s="64">
        <f>角色属性!$BA$1*(AH107*(1-AP107)+MAX(AK107-AE107,0))</f>
        <v>710.64318942561511</v>
      </c>
      <c r="AS107" s="73">
        <f t="shared" si="24"/>
        <v>0.61898945477934952</v>
      </c>
      <c r="AT107" s="73">
        <f t="shared" si="25"/>
        <v>0.41265963651956633</v>
      </c>
      <c r="AU107" s="73">
        <f t="shared" si="26"/>
        <v>0.30949472738967476</v>
      </c>
      <c r="AV107" s="73">
        <f t="shared" si="27"/>
        <v>360.37775892427186</v>
      </c>
      <c r="AW107" s="73">
        <f t="shared" si="28"/>
        <v>240.25183928284793</v>
      </c>
      <c r="AX107" s="2" t="str">
        <f t="shared" si="29"/>
        <v>r_guanqia_105</v>
      </c>
      <c r="AY107" s="2">
        <f>ROUND(($P107*R107/10/$H107/(1+VLOOKUP($I107,技能效果!$B$2:$D$101,3,FALSE))-1)*10000,0)</f>
        <v>92</v>
      </c>
      <c r="AZ107" s="2">
        <f>ROUND(($P107*S107/10/$H107/(1+VLOOKUP($I107,技能效果!$B$2:$D$101,3,FALSE))-1)*10000,0)</f>
        <v>92</v>
      </c>
      <c r="BA107" s="2">
        <f>ROUND(($P107*T107/10/$H107/(1+VLOOKUP($I107,技能效果!$B$2:$D$101,3,FALSE))-1)*10000,0)</f>
        <v>92</v>
      </c>
      <c r="BB107" s="2">
        <f>ROUND(($P107*U107/10/$H107/(1+VLOOKUP($I107,技能效果!$B$2:$D$101,3,FALSE))-1)*10000,0)</f>
        <v>92</v>
      </c>
      <c r="BC107" s="2">
        <f>ROUND(($P107*V107/10/$H107/(1+VLOOKUP($I107,技能效果!$B$2:$D$101,3,FALSE))-1)*10000,0)</f>
        <v>92</v>
      </c>
    </row>
    <row r="108" spans="2:55" x14ac:dyDescent="0.15">
      <c r="B108" s="83"/>
      <c r="C108" s="2">
        <v>106</v>
      </c>
      <c r="D108" s="2">
        <f t="shared" si="33"/>
        <v>62</v>
      </c>
      <c r="E108" s="2">
        <v>2</v>
      </c>
      <c r="F108" s="28">
        <f>INDEX([3]宠物属性!$AL$8:$AL$107,MATCH(D108,[3]宠物属性!$I$8:$I$107,0),1)</f>
        <v>202079.22304222872</v>
      </c>
      <c r="G108" s="68">
        <f>F108/INDEX(角色属性!$AI$8:$AI$107,MATCH(D108,角色属性!$I$8:$I$107,0),1)*E108</f>
        <v>2.5371824340400173</v>
      </c>
      <c r="H108" s="2">
        <f>INDEX(角色属性!$AL$8:$AL$107,MATCH(D108,角色属性!$I$8:$I$107,0),1)</f>
        <v>5067</v>
      </c>
      <c r="I108" s="2">
        <f>INDEX(角色属性!$Y$8:$Y$107,MATCH(D108,角色属性!$I$8:$I$107,0),1)</f>
        <v>62</v>
      </c>
      <c r="J108" s="28">
        <f>H108*10*(1+VLOOKUP(I108,技能效果!$B$2:$D$101,3,FALSE))</f>
        <v>63033.48000000001</v>
      </c>
      <c r="K108" s="28">
        <f>H108*10*(1+VLOOKUP(I108,技能效果!$B$2:$D$101,3,FALSE))*(1+G108)</f>
        <v>222960.9182124128</v>
      </c>
      <c r="L108" s="2">
        <f t="shared" si="19"/>
        <v>110</v>
      </c>
      <c r="M108" s="28">
        <f t="shared" si="20"/>
        <v>72119.520000000019</v>
      </c>
      <c r="N108" s="28">
        <f t="shared" si="21"/>
        <v>234588.21446361727</v>
      </c>
      <c r="O108" s="62">
        <f t="shared" si="31"/>
        <v>218317</v>
      </c>
      <c r="P108" s="62">
        <f t="shared" si="32"/>
        <v>64198</v>
      </c>
      <c r="Q108" s="64">
        <f t="shared" si="30"/>
        <v>1206</v>
      </c>
      <c r="R108" s="67">
        <v>1</v>
      </c>
      <c r="S108" s="67">
        <v>1</v>
      </c>
      <c r="T108" s="67">
        <v>1</v>
      </c>
      <c r="U108" s="67">
        <v>1</v>
      </c>
      <c r="V108" s="67">
        <v>1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64">
        <f>INDEX(角色属性!AM$8:AM$107,MATCH($D108,角色属性!$I$8:$I$107,0),1)</f>
        <v>256100</v>
      </c>
      <c r="AC108" s="64">
        <f>INDEX(角色属性!AN$8:AN$107,MATCH($D108,角色属性!$I$8:$I$107,0),1)</f>
        <v>25610</v>
      </c>
      <c r="AD108" s="64">
        <f>INDEX(角色属性!AO$8:AO$107,MATCH($D108,角色属性!$I$8:$I$107,0),1)</f>
        <v>12805</v>
      </c>
      <c r="AE108" s="64">
        <f>INDEX(角色属性!AP$8:AP$107,MATCH($D108,角色属性!$I$8:$I$107,0),1)</f>
        <v>10244</v>
      </c>
      <c r="AF108" s="64">
        <f>INDEX(角色属性!AQ$8:AQ$107,MATCH($D108,角色属性!$I$8:$I$107,0),1)</f>
        <v>10244</v>
      </c>
      <c r="AG108" s="64">
        <f>$P108/10/(1+VLOOKUP(I108,技能效果!$B$2:$D$101,3,FALSE))*怪物属性规划!A$18*INDEX(怪物属性等级系数!$A$2:$A$101,MATCH(D108,怪物属性等级系数!$D$2:$D$101,0),1)*R108+W108</f>
        <v>66886.499427499919</v>
      </c>
      <c r="AH108" s="64">
        <f>$P108/10/(1+VLOOKUP($I108,技能效果!$B$2:$D$101,3,FALSE))*怪物属性规划!B$18*S108+X108</f>
        <v>5160.6109324758836</v>
      </c>
      <c r="AI108" s="64">
        <f>$P108/10/(1+VLOOKUP($I108,技能效果!$B$2:$D$101,3,FALSE))*怪物属性规划!C$18*T108+Y108</f>
        <v>5160.6109324758836</v>
      </c>
      <c r="AJ108" s="64">
        <f>$P108/10/(1+VLOOKUP($I108,技能效果!$B$2:$D$101,3,FALSE))*怪物属性规划!D$18*U108+Z108</f>
        <v>4128.4887459807069</v>
      </c>
      <c r="AK108" s="64">
        <f>$P108/10/(1+VLOOKUP($I108,技能效果!$B$2:$D$101,3,FALSE))*怪物属性规划!E$18*V108+AA108</f>
        <v>4128.4887459807069</v>
      </c>
      <c r="AL108" s="67">
        <f>INDEX(角色属性!BB$8:BB$107,MATCH($D108,角色属性!$I$8:$I$107,0),1)</f>
        <v>1.6100000000000005</v>
      </c>
      <c r="AM108" s="64">
        <f>INDEX(角色属性!BC$8:BC$107,MATCH($D108,角色属性!$I$8:$I$107,0),1)</f>
        <v>11049</v>
      </c>
      <c r="AN108" s="64">
        <f>INDEX(角色属性!BD$8:BD$107,MATCH($D108,角色属性!$I$8:$I$107,0),1)</f>
        <v>2229</v>
      </c>
      <c r="AO108" s="69">
        <f t="shared" si="22"/>
        <v>0.52124055996346408</v>
      </c>
      <c r="AP108" s="69">
        <f t="shared" si="23"/>
        <v>0.9305120083283186</v>
      </c>
      <c r="AQ108" s="64">
        <f>AL108*角色属性!$BA$1*(AC108*(1-AO108)+MAX(AF108-AJ108,0))</f>
        <v>59172.460453003056</v>
      </c>
      <c r="AR108" s="64">
        <f>角色属性!$BA$1*(AH108*(1-AP108)+MAX(AK108-AE108,0))</f>
        <v>717.20097899334439</v>
      </c>
      <c r="AS108" s="73">
        <f t="shared" si="24"/>
        <v>0.62798075429234934</v>
      </c>
      <c r="AT108" s="73">
        <f t="shared" si="25"/>
        <v>0.41865383619489949</v>
      </c>
      <c r="AU108" s="73">
        <f t="shared" si="26"/>
        <v>0.31399037714617467</v>
      </c>
      <c r="AV108" s="73">
        <f t="shared" si="27"/>
        <v>357.08261352272444</v>
      </c>
      <c r="AW108" s="73">
        <f t="shared" si="28"/>
        <v>238.05507568181631</v>
      </c>
      <c r="AX108" s="2" t="str">
        <f t="shared" si="29"/>
        <v>r_guanqia_106</v>
      </c>
      <c r="AY108" s="2">
        <f>ROUND(($P108*R108/10/$H108/(1+VLOOKUP($I108,技能效果!$B$2:$D$101,3,FALSE))-1)*10000,0)</f>
        <v>185</v>
      </c>
      <c r="AZ108" s="2">
        <f>ROUND(($P108*S108/10/$H108/(1+VLOOKUP($I108,技能效果!$B$2:$D$101,3,FALSE))-1)*10000,0)</f>
        <v>185</v>
      </c>
      <c r="BA108" s="2">
        <f>ROUND(($P108*T108/10/$H108/(1+VLOOKUP($I108,技能效果!$B$2:$D$101,3,FALSE))-1)*10000,0)</f>
        <v>185</v>
      </c>
      <c r="BB108" s="2">
        <f>ROUND(($P108*U108/10/$H108/(1+VLOOKUP($I108,技能效果!$B$2:$D$101,3,FALSE))-1)*10000,0)</f>
        <v>185</v>
      </c>
      <c r="BC108" s="2">
        <f>ROUND(($P108*V108/10/$H108/(1+VLOOKUP($I108,技能效果!$B$2:$D$101,3,FALSE))-1)*10000,0)</f>
        <v>185</v>
      </c>
    </row>
    <row r="109" spans="2:55" x14ac:dyDescent="0.15">
      <c r="B109" s="83"/>
      <c r="C109" s="2">
        <v>107</v>
      </c>
      <c r="D109" s="2">
        <f t="shared" si="33"/>
        <v>62</v>
      </c>
      <c r="E109" s="2">
        <v>2</v>
      </c>
      <c r="F109" s="28">
        <f>INDEX([3]宠物属性!$AL$8:$AL$107,MATCH(D109,[3]宠物属性!$I$8:$I$107,0),1)</f>
        <v>202079.22304222872</v>
      </c>
      <c r="G109" s="68">
        <f>F109/INDEX(角色属性!$AI$8:$AI$107,MATCH(D109,角色属性!$I$8:$I$107,0),1)*E109</f>
        <v>2.5371824340400173</v>
      </c>
      <c r="H109" s="2">
        <f>INDEX(角色属性!$AL$8:$AL$107,MATCH(D109,角色属性!$I$8:$I$107,0),1)</f>
        <v>5067</v>
      </c>
      <c r="I109" s="2">
        <f>INDEX(角色属性!$Y$8:$Y$107,MATCH(D109,角色属性!$I$8:$I$107,0),1)</f>
        <v>62</v>
      </c>
      <c r="J109" s="28">
        <f>H109*10*(1+VLOOKUP(I109,技能效果!$B$2:$D$101,3,FALSE))</f>
        <v>63033.48000000001</v>
      </c>
      <c r="K109" s="28">
        <f>H109*10*(1+VLOOKUP(I109,技能效果!$B$2:$D$101,3,FALSE))*(1+G109)</f>
        <v>222960.9182124128</v>
      </c>
      <c r="L109" s="2">
        <f t="shared" si="19"/>
        <v>110</v>
      </c>
      <c r="M109" s="28">
        <f t="shared" si="20"/>
        <v>72119.520000000019</v>
      </c>
      <c r="N109" s="28">
        <f t="shared" si="21"/>
        <v>234588.21446361727</v>
      </c>
      <c r="O109" s="62">
        <f t="shared" si="31"/>
        <v>220125</v>
      </c>
      <c r="P109" s="62">
        <f t="shared" si="32"/>
        <v>65078</v>
      </c>
      <c r="Q109" s="64">
        <f t="shared" si="30"/>
        <v>1808</v>
      </c>
      <c r="R109" s="67">
        <v>1</v>
      </c>
      <c r="S109" s="67">
        <v>1</v>
      </c>
      <c r="T109" s="67">
        <v>1</v>
      </c>
      <c r="U109" s="67">
        <v>1</v>
      </c>
      <c r="V109" s="67">
        <v>1</v>
      </c>
      <c r="W109" s="28">
        <v>0</v>
      </c>
      <c r="X109" s="28">
        <v>0</v>
      </c>
      <c r="Y109" s="28">
        <v>0</v>
      </c>
      <c r="Z109" s="28">
        <v>0</v>
      </c>
      <c r="AA109" s="28">
        <v>0</v>
      </c>
      <c r="AB109" s="64">
        <f>INDEX(角色属性!AM$8:AM$107,MATCH($D109,角色属性!$I$8:$I$107,0),1)</f>
        <v>256100</v>
      </c>
      <c r="AC109" s="64">
        <f>INDEX(角色属性!AN$8:AN$107,MATCH($D109,角色属性!$I$8:$I$107,0),1)</f>
        <v>25610</v>
      </c>
      <c r="AD109" s="64">
        <f>INDEX(角色属性!AO$8:AO$107,MATCH($D109,角色属性!$I$8:$I$107,0),1)</f>
        <v>12805</v>
      </c>
      <c r="AE109" s="64">
        <f>INDEX(角色属性!AP$8:AP$107,MATCH($D109,角色属性!$I$8:$I$107,0),1)</f>
        <v>10244</v>
      </c>
      <c r="AF109" s="64">
        <f>INDEX(角色属性!AQ$8:AQ$107,MATCH($D109,角色属性!$I$8:$I$107,0),1)</f>
        <v>10244</v>
      </c>
      <c r="AG109" s="64">
        <f>$P109/10/(1+VLOOKUP(I109,技能效果!$B$2:$D$101,3,FALSE))*怪物属性规划!A$18*INDEX(怪物属性等级系数!$A$2:$A$101,MATCH(D109,怪物属性等级系数!$D$2:$D$101,0),1)*R109+W109</f>
        <v>67803.352281112166</v>
      </c>
      <c r="AH109" s="64">
        <f>$P109/10/(1+VLOOKUP($I109,技能效果!$B$2:$D$101,3,FALSE))*怪物属性规划!B$18*S109+X109</f>
        <v>5231.3504823151115</v>
      </c>
      <c r="AI109" s="64">
        <f>$P109/10/(1+VLOOKUP($I109,技能效果!$B$2:$D$101,3,FALSE))*怪物属性规划!C$18*T109+Y109</f>
        <v>5231.3504823151115</v>
      </c>
      <c r="AJ109" s="64">
        <f>$P109/10/(1+VLOOKUP($I109,技能效果!$B$2:$D$101,3,FALSE))*怪物属性规划!D$18*U109+Z109</f>
        <v>4185.0803858520894</v>
      </c>
      <c r="AK109" s="64">
        <f>$P109/10/(1+VLOOKUP($I109,技能效果!$B$2:$D$101,3,FALSE))*怪物属性规划!E$18*V109+AA109</f>
        <v>4185.0803858520894</v>
      </c>
      <c r="AL109" s="67">
        <f>INDEX(角色属性!BB$8:BB$107,MATCH($D109,角色属性!$I$8:$I$107,0),1)</f>
        <v>1.6100000000000005</v>
      </c>
      <c r="AM109" s="64">
        <f>INDEX(角色属性!BC$8:BC$107,MATCH($D109,角色属性!$I$8:$I$107,0),1)</f>
        <v>11049</v>
      </c>
      <c r="AN109" s="64">
        <f>INDEX(角色属性!BD$8:BD$107,MATCH($D109,角色属性!$I$8:$I$107,0),1)</f>
        <v>2229</v>
      </c>
      <c r="AO109" s="69">
        <f t="shared" si="22"/>
        <v>0.52463700621256149</v>
      </c>
      <c r="AP109" s="69">
        <f t="shared" si="23"/>
        <v>0.9305120083283186</v>
      </c>
      <c r="AQ109" s="64">
        <f>AL109*角色属性!$BA$1*(AC109*(1-AO109)+MAX(AF109-AJ109,0))</f>
        <v>58710.150149842375</v>
      </c>
      <c r="AR109" s="64">
        <f>角色属性!$BA$1*(AH109*(1-AP109)+MAX(AK109-AE109,0))</f>
        <v>727.03207749351793</v>
      </c>
      <c r="AS109" s="73">
        <f t="shared" si="24"/>
        <v>0.64160164722664137</v>
      </c>
      <c r="AT109" s="73">
        <f t="shared" si="25"/>
        <v>0.42773443148442758</v>
      </c>
      <c r="AU109" s="73">
        <f t="shared" si="26"/>
        <v>0.32080082361332068</v>
      </c>
      <c r="AV109" s="73">
        <f t="shared" si="27"/>
        <v>352.25405855944967</v>
      </c>
      <c r="AW109" s="73">
        <f t="shared" si="28"/>
        <v>234.83603903963311</v>
      </c>
      <c r="AX109" s="2" t="str">
        <f t="shared" si="29"/>
        <v>r_guanqia_107</v>
      </c>
      <c r="AY109" s="2">
        <f>ROUND(($P109*R109/10/$H109/(1+VLOOKUP($I109,技能效果!$B$2:$D$101,3,FALSE))-1)*10000,0)</f>
        <v>324</v>
      </c>
      <c r="AZ109" s="2">
        <f>ROUND(($P109*S109/10/$H109/(1+VLOOKUP($I109,技能效果!$B$2:$D$101,3,FALSE))-1)*10000,0)</f>
        <v>324</v>
      </c>
      <c r="BA109" s="2">
        <f>ROUND(($P109*T109/10/$H109/(1+VLOOKUP($I109,技能效果!$B$2:$D$101,3,FALSE))-1)*10000,0)</f>
        <v>324</v>
      </c>
      <c r="BB109" s="2">
        <f>ROUND(($P109*U109/10/$H109/(1+VLOOKUP($I109,技能效果!$B$2:$D$101,3,FALSE))-1)*10000,0)</f>
        <v>324</v>
      </c>
      <c r="BC109" s="2">
        <f>ROUND(($P109*V109/10/$H109/(1+VLOOKUP($I109,技能效果!$B$2:$D$101,3,FALSE))-1)*10000,0)</f>
        <v>324</v>
      </c>
    </row>
    <row r="110" spans="2:55" x14ac:dyDescent="0.15">
      <c r="B110" s="83"/>
      <c r="C110" s="2">
        <v>108</v>
      </c>
      <c r="D110" s="2">
        <f t="shared" si="33"/>
        <v>63</v>
      </c>
      <c r="E110" s="2">
        <v>2</v>
      </c>
      <c r="F110" s="28">
        <f>INDEX([3]宠物属性!$AL$8:$AL$107,MATCH(D110,[3]宠物属性!$I$8:$I$107,0),1)</f>
        <v>204233.6452734764</v>
      </c>
      <c r="G110" s="68">
        <f>F110/INDEX(角色属性!$AI$8:$AI$107,MATCH(D110,角色属性!$I$8:$I$107,0),1)*E110</f>
        <v>2.5336546559148783</v>
      </c>
      <c r="H110" s="2">
        <f>INDEX(角色属性!$AL$8:$AL$107,MATCH(D110,角色属性!$I$8:$I$107,0),1)</f>
        <v>5285</v>
      </c>
      <c r="I110" s="2">
        <f>INDEX(角色属性!$Y$8:$Y$107,MATCH(D110,角色属性!$I$8:$I$107,0),1)</f>
        <v>63</v>
      </c>
      <c r="J110" s="28">
        <f>H110*10*(1+VLOOKUP(I110,技能效果!$B$2:$D$101,3,FALSE))</f>
        <v>65956.800000000017</v>
      </c>
      <c r="K110" s="28">
        <f>H110*10*(1+VLOOKUP(I110,技能效果!$B$2:$D$101,3,FALSE))*(1+G110)</f>
        <v>233068.55340924649</v>
      </c>
      <c r="L110" s="2">
        <f t="shared" si="19"/>
        <v>110</v>
      </c>
      <c r="M110" s="28">
        <f t="shared" si="20"/>
        <v>72119.520000000019</v>
      </c>
      <c r="N110" s="28">
        <f t="shared" si="21"/>
        <v>234588.21446361727</v>
      </c>
      <c r="O110" s="62">
        <f t="shared" si="31"/>
        <v>222535</v>
      </c>
      <c r="P110" s="62">
        <f t="shared" si="32"/>
        <v>66251</v>
      </c>
      <c r="Q110" s="64">
        <f t="shared" si="30"/>
        <v>2410</v>
      </c>
      <c r="R110" s="67">
        <v>1</v>
      </c>
      <c r="S110" s="67">
        <v>1</v>
      </c>
      <c r="T110" s="67">
        <v>1</v>
      </c>
      <c r="U110" s="67">
        <v>1</v>
      </c>
      <c r="V110" s="67">
        <v>1</v>
      </c>
      <c r="W110" s="28">
        <v>0</v>
      </c>
      <c r="X110" s="28">
        <v>0</v>
      </c>
      <c r="Y110" s="28">
        <v>0</v>
      </c>
      <c r="Z110" s="28">
        <v>0</v>
      </c>
      <c r="AA110" s="28">
        <v>0</v>
      </c>
      <c r="AB110" s="64">
        <f>INDEX(角色属性!AM$8:AM$107,MATCH($D110,角色属性!$I$8:$I$107,0),1)</f>
        <v>258360</v>
      </c>
      <c r="AC110" s="64">
        <f>INDEX(角色属性!AN$8:AN$107,MATCH($D110,角色属性!$I$8:$I$107,0),1)</f>
        <v>25836</v>
      </c>
      <c r="AD110" s="64">
        <f>INDEX(角色属性!AO$8:AO$107,MATCH($D110,角色属性!$I$8:$I$107,0),1)</f>
        <v>12918</v>
      </c>
      <c r="AE110" s="64">
        <f>INDEX(角色属性!AP$8:AP$107,MATCH($D110,角色属性!$I$8:$I$107,0),1)</f>
        <v>10334.4</v>
      </c>
      <c r="AF110" s="64">
        <f>INDEX(角色属性!AQ$8:AQ$107,MATCH($D110,角色属性!$I$8:$I$107,0),1)</f>
        <v>10334.4</v>
      </c>
      <c r="AG110" s="64">
        <f>$P110/10/(1+VLOOKUP(I110,技能效果!$B$2:$D$101,3,FALSE))*怪物属性规划!A$18*INDEX(怪物属性等级系数!$A$2:$A$101,MATCH(D110,怪物属性等级系数!$D$2:$D$101,0),1)*R110+W110</f>
        <v>69663.923248946958</v>
      </c>
      <c r="AH110" s="64">
        <f>$P110/10/(1+VLOOKUP($I110,技能效果!$B$2:$D$101,3,FALSE))*怪物属性规划!B$18*S110+X110</f>
        <v>5308.5737179487169</v>
      </c>
      <c r="AI110" s="64">
        <f>$P110/10/(1+VLOOKUP($I110,技能效果!$B$2:$D$101,3,FALSE))*怪物属性规划!C$18*T110+Y110</f>
        <v>5308.5737179487169</v>
      </c>
      <c r="AJ110" s="64">
        <f>$P110/10/(1+VLOOKUP($I110,技能效果!$B$2:$D$101,3,FALSE))*怪物属性规划!D$18*U110+Z110</f>
        <v>4246.8589743589737</v>
      </c>
      <c r="AK110" s="64">
        <f>$P110/10/(1+VLOOKUP($I110,技能效果!$B$2:$D$101,3,FALSE))*怪物属性规划!E$18*V110+AA110</f>
        <v>4246.8589743589737</v>
      </c>
      <c r="AL110" s="67">
        <f>INDEX(角色属性!BB$8:BB$107,MATCH($D110,角色属性!$I$8:$I$107,0),1)</f>
        <v>1.6200000000000006</v>
      </c>
      <c r="AM110" s="64">
        <f>INDEX(角色属性!BC$8:BC$107,MATCH($D110,角色属性!$I$8:$I$107,0),1)</f>
        <v>11664</v>
      </c>
      <c r="AN110" s="64">
        <f>INDEX(角色属性!BD$8:BD$107,MATCH($D110,角色属性!$I$8:$I$107,0),1)</f>
        <v>2257</v>
      </c>
      <c r="AO110" s="69">
        <f t="shared" si="22"/>
        <v>0.5147742930755862</v>
      </c>
      <c r="AP110" s="69">
        <f t="shared" si="23"/>
        <v>0.93027255084578964</v>
      </c>
      <c r="AQ110" s="64">
        <f>AL110*角色属性!$BA$1*(AC110*(1-AO110)+MAX(AF110-AJ110,0))</f>
        <v>60341.216942758212</v>
      </c>
      <c r="AR110" s="64">
        <f>角色属性!$BA$1*(AH110*(1-AP110)+MAX(AK110-AE110,0))</f>
        <v>740.30660799929319</v>
      </c>
      <c r="AS110" s="73">
        <f t="shared" si="24"/>
        <v>0.64138878106257868</v>
      </c>
      <c r="AT110" s="73">
        <f t="shared" si="25"/>
        <v>0.42759252070838577</v>
      </c>
      <c r="AU110" s="73">
        <f t="shared" si="26"/>
        <v>0.32069439053128934</v>
      </c>
      <c r="AV110" s="73">
        <f t="shared" si="27"/>
        <v>348.99053609453483</v>
      </c>
      <c r="AW110" s="73">
        <f t="shared" si="28"/>
        <v>232.66035739635657</v>
      </c>
      <c r="AX110" s="2" t="str">
        <f t="shared" si="29"/>
        <v>r_guanqia_108</v>
      </c>
      <c r="AY110" s="2">
        <f>ROUND(($P110*R110/10/$H110/(1+VLOOKUP($I110,技能效果!$B$2:$D$101,3,FALSE))-1)*10000,0)</f>
        <v>45</v>
      </c>
      <c r="AZ110" s="2">
        <f>ROUND(($P110*S110/10/$H110/(1+VLOOKUP($I110,技能效果!$B$2:$D$101,3,FALSE))-1)*10000,0)</f>
        <v>45</v>
      </c>
      <c r="BA110" s="2">
        <f>ROUND(($P110*T110/10/$H110/(1+VLOOKUP($I110,技能效果!$B$2:$D$101,3,FALSE))-1)*10000,0)</f>
        <v>45</v>
      </c>
      <c r="BB110" s="2">
        <f>ROUND(($P110*U110/10/$H110/(1+VLOOKUP($I110,技能效果!$B$2:$D$101,3,FALSE))-1)*10000,0)</f>
        <v>45</v>
      </c>
      <c r="BC110" s="2">
        <f>ROUND(($P110*V110/10/$H110/(1+VLOOKUP($I110,技能效果!$B$2:$D$101,3,FALSE))-1)*10000,0)</f>
        <v>45</v>
      </c>
    </row>
    <row r="111" spans="2:55" x14ac:dyDescent="0.15">
      <c r="B111" s="83"/>
      <c r="C111" s="2">
        <v>109</v>
      </c>
      <c r="D111" s="2">
        <f t="shared" si="33"/>
        <v>63</v>
      </c>
      <c r="E111" s="2">
        <v>2</v>
      </c>
      <c r="F111" s="28">
        <f>INDEX([3]宠物属性!$AL$8:$AL$107,MATCH(D111,[3]宠物属性!$I$8:$I$107,0),1)</f>
        <v>204233.6452734764</v>
      </c>
      <c r="G111" s="68">
        <f>F111/INDEX(角色属性!$AI$8:$AI$107,MATCH(D111,角色属性!$I$8:$I$107,0),1)*E111</f>
        <v>2.5336546559148783</v>
      </c>
      <c r="H111" s="2">
        <f>INDEX(角色属性!$AL$8:$AL$107,MATCH(D111,角色属性!$I$8:$I$107,0),1)</f>
        <v>5285</v>
      </c>
      <c r="I111" s="2">
        <f>INDEX(角色属性!$Y$8:$Y$107,MATCH(D111,角色属性!$I$8:$I$107,0),1)</f>
        <v>63</v>
      </c>
      <c r="J111" s="28">
        <f>H111*10*(1+VLOOKUP(I111,技能效果!$B$2:$D$101,3,FALSE))</f>
        <v>65956.800000000017</v>
      </c>
      <c r="K111" s="28">
        <f>H111*10*(1+VLOOKUP(I111,技能效果!$B$2:$D$101,3,FALSE))*(1+G111)</f>
        <v>233068.55340924649</v>
      </c>
      <c r="L111" s="2">
        <f t="shared" si="19"/>
        <v>110</v>
      </c>
      <c r="M111" s="28">
        <f t="shared" si="20"/>
        <v>72119.520000000019</v>
      </c>
      <c r="N111" s="28">
        <f t="shared" si="21"/>
        <v>234588.21446361727</v>
      </c>
      <c r="O111" s="62">
        <f t="shared" si="31"/>
        <v>225548</v>
      </c>
      <c r="P111" s="62">
        <f t="shared" si="32"/>
        <v>67718</v>
      </c>
      <c r="Q111" s="64">
        <f t="shared" si="30"/>
        <v>3013</v>
      </c>
      <c r="R111" s="67">
        <v>1</v>
      </c>
      <c r="S111" s="67">
        <v>1</v>
      </c>
      <c r="T111" s="67">
        <v>1</v>
      </c>
      <c r="U111" s="67">
        <v>1</v>
      </c>
      <c r="V111" s="67">
        <v>1</v>
      </c>
      <c r="W111" s="28">
        <v>0</v>
      </c>
      <c r="X111" s="28">
        <v>0</v>
      </c>
      <c r="Y111" s="28">
        <v>0</v>
      </c>
      <c r="Z111" s="28">
        <v>0</v>
      </c>
      <c r="AA111" s="28">
        <v>0</v>
      </c>
      <c r="AB111" s="64">
        <f>INDEX(角色属性!AM$8:AM$107,MATCH($D111,角色属性!$I$8:$I$107,0),1)</f>
        <v>258360</v>
      </c>
      <c r="AC111" s="64">
        <f>INDEX(角色属性!AN$8:AN$107,MATCH($D111,角色属性!$I$8:$I$107,0),1)</f>
        <v>25836</v>
      </c>
      <c r="AD111" s="64">
        <f>INDEX(角色属性!AO$8:AO$107,MATCH($D111,角色属性!$I$8:$I$107,0),1)</f>
        <v>12918</v>
      </c>
      <c r="AE111" s="64">
        <f>INDEX(角色属性!AP$8:AP$107,MATCH($D111,角色属性!$I$8:$I$107,0),1)</f>
        <v>10334.4</v>
      </c>
      <c r="AF111" s="64">
        <f>INDEX(角色属性!AQ$8:AQ$107,MATCH($D111,角色属性!$I$8:$I$107,0),1)</f>
        <v>10334.4</v>
      </c>
      <c r="AG111" s="64">
        <f>$P111/10/(1+VLOOKUP(I111,技能效果!$B$2:$D$101,3,FALSE))*怪物属性规划!A$18*INDEX(怪物属性等级系数!$A$2:$A$101,MATCH(D111,怪物属性等级系数!$D$2:$D$101,0),1)*R111+W111</f>
        <v>71206.495820020675</v>
      </c>
      <c r="AH111" s="64">
        <f>$P111/10/(1+VLOOKUP($I111,技能效果!$B$2:$D$101,3,FALSE))*怪物属性规划!B$18*S111+X111</f>
        <v>5426.121794871794</v>
      </c>
      <c r="AI111" s="64">
        <f>$P111/10/(1+VLOOKUP($I111,技能效果!$B$2:$D$101,3,FALSE))*怪物属性规划!C$18*T111+Y111</f>
        <v>5426.121794871794</v>
      </c>
      <c r="AJ111" s="64">
        <f>$P111/10/(1+VLOOKUP($I111,技能效果!$B$2:$D$101,3,FALSE))*怪物属性规划!D$18*U111+Z111</f>
        <v>4340.8974358974356</v>
      </c>
      <c r="AK111" s="64">
        <f>$P111/10/(1+VLOOKUP($I111,技能效果!$B$2:$D$101,3,FALSE))*怪物属性规划!E$18*V111+AA111</f>
        <v>4340.8974358974356</v>
      </c>
      <c r="AL111" s="67">
        <f>INDEX(角色属性!BB$8:BB$107,MATCH($D111,角色属性!$I$8:$I$107,0),1)</f>
        <v>1.6200000000000006</v>
      </c>
      <c r="AM111" s="64">
        <f>INDEX(角色属性!BC$8:BC$107,MATCH($D111,角色属性!$I$8:$I$107,0),1)</f>
        <v>11664</v>
      </c>
      <c r="AN111" s="64">
        <f>INDEX(角色属性!BD$8:BD$107,MATCH($D111,角色属性!$I$8:$I$107,0),1)</f>
        <v>2257</v>
      </c>
      <c r="AO111" s="69">
        <f t="shared" si="22"/>
        <v>0.52024289040574057</v>
      </c>
      <c r="AP111" s="69">
        <f t="shared" si="23"/>
        <v>0.93027255084578964</v>
      </c>
      <c r="AQ111" s="64">
        <f>AL111*角色属性!$BA$1*(AC111*(1-AO111)+MAX(AF111-AJ111,0))</f>
        <v>59578.763482158742</v>
      </c>
      <c r="AR111" s="64">
        <f>角色属性!$BA$1*(AH111*(1-AP111)+MAX(AK111-AE111,0))</f>
        <v>756.69926311295137</v>
      </c>
      <c r="AS111" s="73">
        <f t="shared" si="24"/>
        <v>0.66398095617244868</v>
      </c>
      <c r="AT111" s="73">
        <f t="shared" si="25"/>
        <v>0.44265397078163243</v>
      </c>
      <c r="AU111" s="73">
        <f t="shared" si="26"/>
        <v>0.33199047808622434</v>
      </c>
      <c r="AV111" s="73">
        <f t="shared" si="27"/>
        <v>341.43022544669111</v>
      </c>
      <c r="AW111" s="73">
        <f t="shared" si="28"/>
        <v>227.62015029779405</v>
      </c>
      <c r="AX111" s="2" t="str">
        <f t="shared" si="29"/>
        <v>r_guanqia_109</v>
      </c>
      <c r="AY111" s="2">
        <f>ROUND(($P111*R111/10/$H111/(1+VLOOKUP($I111,技能效果!$B$2:$D$101,3,FALSE))-1)*10000,0)</f>
        <v>267</v>
      </c>
      <c r="AZ111" s="2">
        <f>ROUND(($P111*S111/10/$H111/(1+VLOOKUP($I111,技能效果!$B$2:$D$101,3,FALSE))-1)*10000,0)</f>
        <v>267</v>
      </c>
      <c r="BA111" s="2">
        <f>ROUND(($P111*T111/10/$H111/(1+VLOOKUP($I111,技能效果!$B$2:$D$101,3,FALSE))-1)*10000,0)</f>
        <v>267</v>
      </c>
      <c r="BB111" s="2">
        <f>ROUND(($P111*U111/10/$H111/(1+VLOOKUP($I111,技能效果!$B$2:$D$101,3,FALSE))-1)*10000,0)</f>
        <v>267</v>
      </c>
      <c r="BC111" s="2">
        <f>ROUND(($P111*V111/10/$H111/(1+VLOOKUP($I111,技能效果!$B$2:$D$101,3,FALSE))-1)*10000,0)</f>
        <v>267</v>
      </c>
    </row>
    <row r="112" spans="2:55" x14ac:dyDescent="0.15">
      <c r="B112" s="83"/>
      <c r="C112" s="2">
        <v>110</v>
      </c>
      <c r="D112" s="2">
        <f t="shared" si="33"/>
        <v>65</v>
      </c>
      <c r="E112" s="2">
        <v>2</v>
      </c>
      <c r="F112" s="28">
        <f>INDEX([3]宠物属性!$AL$8:$AL$107,MATCH(D112,[3]宠物属性!$I$8:$I$107,0),1)</f>
        <v>220784.26034475889</v>
      </c>
      <c r="G112" s="68">
        <f>F112/INDEX(角色属性!$AI$8:$AI$107,MATCH(D112,角色属性!$I$8:$I$107,0),1)*E112</f>
        <v>2.2527700470499141</v>
      </c>
      <c r="H112" s="2">
        <f>INDEX(角色属性!$AL$8:$AL$107,MATCH(D112,角色属性!$I$8:$I$107,0),1)</f>
        <v>5742</v>
      </c>
      <c r="I112" s="2">
        <f>INDEX(角色属性!$Y$8:$Y$107,MATCH(D112,角色属性!$I$8:$I$107,0),1)</f>
        <v>65</v>
      </c>
      <c r="J112" s="28">
        <f>H112*10*(1+VLOOKUP(I112,技能效果!$B$2:$D$101,3,FALSE))</f>
        <v>72119.520000000019</v>
      </c>
      <c r="K112" s="28">
        <f>H112*10*(1+VLOOKUP(I112,技能效果!$B$2:$D$101,3,FALSE))*(1+G112)</f>
        <v>234588.21446361727</v>
      </c>
      <c r="L112" s="2">
        <f t="shared" si="19"/>
        <v>110</v>
      </c>
      <c r="M112" s="28">
        <f t="shared" si="20"/>
        <v>72119.520000000019</v>
      </c>
      <c r="N112" s="28">
        <f t="shared" si="21"/>
        <v>234588.21446361727</v>
      </c>
      <c r="O112" s="62">
        <f t="shared" si="31"/>
        <v>234588</v>
      </c>
      <c r="P112" s="62">
        <f t="shared" si="32"/>
        <v>72120</v>
      </c>
      <c r="Q112" s="64">
        <f t="shared" si="30"/>
        <v>9040</v>
      </c>
      <c r="R112" s="67">
        <v>1</v>
      </c>
      <c r="S112" s="67">
        <v>1</v>
      </c>
      <c r="T112" s="67">
        <v>1</v>
      </c>
      <c r="U112" s="67">
        <v>1</v>
      </c>
      <c r="V112" s="67">
        <v>1</v>
      </c>
      <c r="W112" s="28">
        <v>0</v>
      </c>
      <c r="X112" s="28">
        <v>0</v>
      </c>
      <c r="Y112" s="28">
        <v>0</v>
      </c>
      <c r="Z112" s="28">
        <v>0</v>
      </c>
      <c r="AA112" s="28">
        <v>0</v>
      </c>
      <c r="AB112" s="64">
        <f>INDEX(角色属性!AM$8:AM$107,MATCH($D112,角色属性!$I$8:$I$107,0),1)</f>
        <v>312120</v>
      </c>
      <c r="AC112" s="64">
        <f>INDEX(角色属性!AN$8:AN$107,MATCH($D112,角色属性!$I$8:$I$107,0),1)</f>
        <v>31212</v>
      </c>
      <c r="AD112" s="64">
        <f>INDEX(角色属性!AO$8:AO$107,MATCH($D112,角色属性!$I$8:$I$107,0),1)</f>
        <v>15606</v>
      </c>
      <c r="AE112" s="64">
        <f>INDEX(角色属性!AP$8:AP$107,MATCH($D112,角色属性!$I$8:$I$107,0),1)</f>
        <v>12484.8</v>
      </c>
      <c r="AF112" s="64">
        <f>INDEX(角色属性!AQ$8:AQ$107,MATCH($D112,角色属性!$I$8:$I$107,0),1)</f>
        <v>12484.8</v>
      </c>
      <c r="AG112" s="64">
        <f>$P112/10/(1+VLOOKUP(I112,技能效果!$B$2:$D$101,3,FALSE))*怪物属性规划!A$18*INDEX(怪物属性等级系数!$A$2:$A$101,MATCH(D112,怪物属性等级系数!$D$2:$D$101,0),1)*R112+W112</f>
        <v>77221.742788634365</v>
      </c>
      <c r="AH112" s="64">
        <f>$P112/10/(1+VLOOKUP($I112,技能效果!$B$2:$D$101,3,FALSE))*怪物属性规划!B$18*S112+X112</f>
        <v>5742.0382165605088</v>
      </c>
      <c r="AI112" s="64">
        <f>$P112/10/(1+VLOOKUP($I112,技能效果!$B$2:$D$101,3,FALSE))*怪物属性规划!C$18*T112+Y112</f>
        <v>5742.0382165605088</v>
      </c>
      <c r="AJ112" s="64">
        <f>$P112/10/(1+VLOOKUP($I112,技能效果!$B$2:$D$101,3,FALSE))*怪物属性规划!D$18*U112+Z112</f>
        <v>4593.630573248407</v>
      </c>
      <c r="AK112" s="64">
        <f>$P112/10/(1+VLOOKUP($I112,技能效果!$B$2:$D$101,3,FALSE))*怪物属性规划!E$18*V112+AA112</f>
        <v>4593.630573248407</v>
      </c>
      <c r="AL112" s="67">
        <f>INDEX(角色属性!BB$8:BB$107,MATCH($D112,角色属性!$I$8:$I$107,0),1)</f>
        <v>1.6400000000000006</v>
      </c>
      <c r="AM112" s="64">
        <f>INDEX(角色属性!BC$8:BC$107,MATCH($D112,角色属性!$I$8:$I$107,0),1)</f>
        <v>12981</v>
      </c>
      <c r="AN112" s="64">
        <f>INDEX(角色属性!BD$8:BD$107,MATCH($D112,角色属性!$I$8:$I$107,0),1)</f>
        <v>2445</v>
      </c>
      <c r="AO112" s="69">
        <f t="shared" si="22"/>
        <v>0.50765586347227198</v>
      </c>
      <c r="AP112" s="69">
        <f t="shared" si="23"/>
        <v>0.93702125590028895</v>
      </c>
      <c r="AQ112" s="64">
        <f>AL112*角色属性!$BA$1*(AC112*(1-AO112)+MAX(AF112-AJ112,0))</f>
        <v>76286.943940660552</v>
      </c>
      <c r="AR112" s="64">
        <f>角色属性!$BA$1*(AH112*(1-AP112)+MAX(AK112-AE112,0))</f>
        <v>723.25271090305102</v>
      </c>
      <c r="AS112" s="73">
        <f t="shared" si="24"/>
        <v>0.56236317775789135</v>
      </c>
      <c r="AT112" s="73">
        <f t="shared" si="25"/>
        <v>0.37490878517192761</v>
      </c>
      <c r="AU112" s="73">
        <f t="shared" si="26"/>
        <v>0.28118158887894568</v>
      </c>
      <c r="AV112" s="73">
        <f t="shared" si="27"/>
        <v>431.55040457475502</v>
      </c>
      <c r="AW112" s="73">
        <f t="shared" si="28"/>
        <v>287.70026971650339</v>
      </c>
      <c r="AX112" s="2" t="str">
        <f t="shared" si="29"/>
        <v>r_guanqia_110</v>
      </c>
      <c r="AY112" s="2">
        <f>ROUND(($P112*R112/10/$H112/(1+VLOOKUP($I112,技能效果!$B$2:$D$101,3,FALSE))-1)*10000,0)</f>
        <v>0</v>
      </c>
      <c r="AZ112" s="2">
        <f>ROUND(($P112*S112/10/$H112/(1+VLOOKUP($I112,技能效果!$B$2:$D$101,3,FALSE))-1)*10000,0)</f>
        <v>0</v>
      </c>
      <c r="BA112" s="2">
        <f>ROUND(($P112*T112/10/$H112/(1+VLOOKUP($I112,技能效果!$B$2:$D$101,3,FALSE))-1)*10000,0)</f>
        <v>0</v>
      </c>
      <c r="BB112" s="2">
        <f>ROUND(($P112*U112/10/$H112/(1+VLOOKUP($I112,技能效果!$B$2:$D$101,3,FALSE))-1)*10000,0)</f>
        <v>0</v>
      </c>
      <c r="BC112" s="2">
        <f>ROUND(($P112*V112/10/$H112/(1+VLOOKUP($I112,技能效果!$B$2:$D$101,3,FALSE))-1)*10000,0)</f>
        <v>0</v>
      </c>
    </row>
    <row r="113" spans="2:55" x14ac:dyDescent="0.15">
      <c r="B113" s="83" t="s">
        <v>123</v>
      </c>
      <c r="C113" s="2">
        <v>111</v>
      </c>
      <c r="D113" s="2">
        <f t="shared" si="33"/>
        <v>65</v>
      </c>
      <c r="E113" s="2">
        <v>2</v>
      </c>
      <c r="F113" s="28">
        <f>INDEX([3]宠物属性!$AL$8:$AL$107,MATCH(D113,[3]宠物属性!$I$8:$I$107,0),1)</f>
        <v>220784.26034475889</v>
      </c>
      <c r="G113" s="68">
        <f>F113/INDEX(角色属性!$AI$8:$AI$107,MATCH(D113,角色属性!$I$8:$I$107,0),1)*E113</f>
        <v>2.2527700470499141</v>
      </c>
      <c r="H113" s="2">
        <f>INDEX(角色属性!$AL$8:$AL$107,MATCH(D113,角色属性!$I$8:$I$107,0),1)</f>
        <v>5742</v>
      </c>
      <c r="I113" s="2">
        <f>INDEX(角色属性!$Y$8:$Y$107,MATCH(D113,角色属性!$I$8:$I$107,0),1)</f>
        <v>65</v>
      </c>
      <c r="J113" s="28">
        <f>H113*10*(1+VLOOKUP(I113,技能效果!$B$2:$D$101,3,FALSE))</f>
        <v>72119.520000000019</v>
      </c>
      <c r="K113" s="28">
        <f>H113*10*(1+VLOOKUP(I113,技能效果!$B$2:$D$101,3,FALSE))*(1+G113)</f>
        <v>234588.21446361727</v>
      </c>
      <c r="L113" s="2">
        <f t="shared" si="19"/>
        <v>120</v>
      </c>
      <c r="M113" s="28">
        <f t="shared" si="20"/>
        <v>89345.520000000019</v>
      </c>
      <c r="N113" s="28">
        <f t="shared" si="21"/>
        <v>273593.8995751139</v>
      </c>
      <c r="O113" s="62">
        <f t="shared" si="31"/>
        <v>235758</v>
      </c>
      <c r="P113" s="62">
        <f t="shared" si="32"/>
        <v>72636</v>
      </c>
      <c r="Q113" s="64">
        <f t="shared" si="30"/>
        <v>1170</v>
      </c>
      <c r="R113" s="67">
        <v>1</v>
      </c>
      <c r="S113" s="67">
        <v>1</v>
      </c>
      <c r="T113" s="67">
        <v>1</v>
      </c>
      <c r="U113" s="67">
        <v>1</v>
      </c>
      <c r="V113" s="67">
        <v>1</v>
      </c>
      <c r="W113" s="28">
        <v>0</v>
      </c>
      <c r="X113" s="28">
        <v>0</v>
      </c>
      <c r="Y113" s="28">
        <v>0</v>
      </c>
      <c r="Z113" s="28">
        <v>0</v>
      </c>
      <c r="AA113" s="28">
        <v>0</v>
      </c>
      <c r="AB113" s="64">
        <f>INDEX(角色属性!AM$8:AM$107,MATCH($D113,角色属性!$I$8:$I$107,0),1)</f>
        <v>312120</v>
      </c>
      <c r="AC113" s="64">
        <f>INDEX(角色属性!AN$8:AN$107,MATCH($D113,角色属性!$I$8:$I$107,0),1)</f>
        <v>31212</v>
      </c>
      <c r="AD113" s="64">
        <f>INDEX(角色属性!AO$8:AO$107,MATCH($D113,角色属性!$I$8:$I$107,0),1)</f>
        <v>15606</v>
      </c>
      <c r="AE113" s="64">
        <f>INDEX(角色属性!AP$8:AP$107,MATCH($D113,角色属性!$I$8:$I$107,0),1)</f>
        <v>12484.8</v>
      </c>
      <c r="AF113" s="64">
        <f>INDEX(角色属性!AQ$8:AQ$107,MATCH($D113,角色属性!$I$8:$I$107,0),1)</f>
        <v>12484.8</v>
      </c>
      <c r="AG113" s="64">
        <f>$P113/10/(1+VLOOKUP(I113,技能效果!$B$2:$D$101,3,FALSE))*怪物属性规划!A$18*INDEX(怪物属性等级系数!$A$2:$A$101,MATCH(D113,怪物属性等级系数!$D$2:$D$101,0),1)*R113+W113</f>
        <v>77774.244442529744</v>
      </c>
      <c r="AH113" s="64">
        <f>$P113/10/(1+VLOOKUP($I113,技能效果!$B$2:$D$101,3,FALSE))*怪物属性规划!B$18*S113+X113</f>
        <v>5783.1210191082791</v>
      </c>
      <c r="AI113" s="64">
        <f>$P113/10/(1+VLOOKUP($I113,技能效果!$B$2:$D$101,3,FALSE))*怪物属性规划!C$18*T113+Y113</f>
        <v>5783.1210191082791</v>
      </c>
      <c r="AJ113" s="64">
        <f>$P113/10/(1+VLOOKUP($I113,技能效果!$B$2:$D$101,3,FALSE))*怪物属性规划!D$18*U113+Z113</f>
        <v>4626.4968152866231</v>
      </c>
      <c r="AK113" s="64">
        <f>$P113/10/(1+VLOOKUP($I113,技能效果!$B$2:$D$101,3,FALSE))*怪物属性规划!E$18*V113+AA113</f>
        <v>4626.4968152866231</v>
      </c>
      <c r="AL113" s="67">
        <f>INDEX(角色属性!BB$8:BB$107,MATCH($D113,角色属性!$I$8:$I$107,0),1)</f>
        <v>1.6400000000000006</v>
      </c>
      <c r="AM113" s="64">
        <f>INDEX(角色属性!BC$8:BC$107,MATCH($D113,角色属性!$I$8:$I$107,0),1)</f>
        <v>12981</v>
      </c>
      <c r="AN113" s="64">
        <f>INDEX(角色属性!BD$8:BD$107,MATCH($D113,角色属性!$I$8:$I$107,0),1)</f>
        <v>2445</v>
      </c>
      <c r="AO113" s="69">
        <f t="shared" si="22"/>
        <v>0.50943765790200313</v>
      </c>
      <c r="AP113" s="69">
        <f t="shared" si="23"/>
        <v>0.93702125590028895</v>
      </c>
      <c r="AQ113" s="64">
        <f>AL113*角色属性!$BA$1*(AC113*(1-AO113)+MAX(AF113-AJ113,0))</f>
        <v>75996.730820585493</v>
      </c>
      <c r="AR113" s="64">
        <f>角色属性!$BA$1*(AH113*(1-AP113)+MAX(AK113-AE113,0))</f>
        <v>728.42739752016098</v>
      </c>
      <c r="AS113" s="73">
        <f t="shared" si="24"/>
        <v>0.56854963513087486</v>
      </c>
      <c r="AT113" s="73">
        <f t="shared" si="25"/>
        <v>0.37903309008724989</v>
      </c>
      <c r="AU113" s="73">
        <f t="shared" si="26"/>
        <v>0.28427481756543743</v>
      </c>
      <c r="AV113" s="73">
        <f t="shared" si="27"/>
        <v>428.4847070038457</v>
      </c>
      <c r="AW113" s="73">
        <f t="shared" si="28"/>
        <v>285.65647133589709</v>
      </c>
      <c r="AX113" s="2" t="str">
        <f t="shared" si="29"/>
        <v>r_guanqia_111</v>
      </c>
      <c r="AY113" s="2">
        <f>ROUND(($P113*R113/10/$H113/(1+VLOOKUP($I113,技能效果!$B$2:$D$101,3,FALSE))-1)*10000,0)</f>
        <v>72</v>
      </c>
      <c r="AZ113" s="2">
        <f>ROUND(($P113*S113/10/$H113/(1+VLOOKUP($I113,技能效果!$B$2:$D$101,3,FALSE))-1)*10000,0)</f>
        <v>72</v>
      </c>
      <c r="BA113" s="2">
        <f>ROUND(($P113*T113/10/$H113/(1+VLOOKUP($I113,技能效果!$B$2:$D$101,3,FALSE))-1)*10000,0)</f>
        <v>72</v>
      </c>
      <c r="BB113" s="2">
        <f>ROUND(($P113*U113/10/$H113/(1+VLOOKUP($I113,技能效果!$B$2:$D$101,3,FALSE))-1)*10000,0)</f>
        <v>72</v>
      </c>
      <c r="BC113" s="2">
        <f>ROUND(($P113*V113/10/$H113/(1+VLOOKUP($I113,技能效果!$B$2:$D$101,3,FALSE))-1)*10000,0)</f>
        <v>72</v>
      </c>
    </row>
    <row r="114" spans="2:55" x14ac:dyDescent="0.15">
      <c r="B114" s="83"/>
      <c r="C114" s="2">
        <v>112</v>
      </c>
      <c r="D114" s="2">
        <f t="shared" si="33"/>
        <v>65</v>
      </c>
      <c r="E114" s="2">
        <v>2</v>
      </c>
      <c r="F114" s="28">
        <f>INDEX([3]宠物属性!$AL$8:$AL$107,MATCH(D114,[3]宠物属性!$I$8:$I$107,0),1)</f>
        <v>220784.26034475889</v>
      </c>
      <c r="G114" s="68">
        <f>F114/INDEX(角色属性!$AI$8:$AI$107,MATCH(D114,角色属性!$I$8:$I$107,0),1)*E114</f>
        <v>2.2527700470499141</v>
      </c>
      <c r="H114" s="2">
        <f>INDEX(角色属性!$AL$8:$AL$107,MATCH(D114,角色属性!$I$8:$I$107,0),1)</f>
        <v>5742</v>
      </c>
      <c r="I114" s="2">
        <f>INDEX(角色属性!$Y$8:$Y$107,MATCH(D114,角色属性!$I$8:$I$107,0),1)</f>
        <v>65</v>
      </c>
      <c r="J114" s="28">
        <f>H114*10*(1+VLOOKUP(I114,技能效果!$B$2:$D$101,3,FALSE))</f>
        <v>72119.520000000019</v>
      </c>
      <c r="K114" s="28">
        <f>H114*10*(1+VLOOKUP(I114,技能效果!$B$2:$D$101,3,FALSE))*(1+G114)</f>
        <v>234588.21446361727</v>
      </c>
      <c r="L114" s="2">
        <f t="shared" si="19"/>
        <v>120</v>
      </c>
      <c r="M114" s="28">
        <f t="shared" si="20"/>
        <v>89345.520000000019</v>
      </c>
      <c r="N114" s="28">
        <f t="shared" si="21"/>
        <v>273593.8995751139</v>
      </c>
      <c r="O114" s="62">
        <f t="shared" si="31"/>
        <v>237709</v>
      </c>
      <c r="P114" s="62">
        <f t="shared" si="32"/>
        <v>73498</v>
      </c>
      <c r="Q114" s="64">
        <f t="shared" si="30"/>
        <v>1951</v>
      </c>
      <c r="R114" s="67">
        <v>1</v>
      </c>
      <c r="S114" s="67">
        <v>1</v>
      </c>
      <c r="T114" s="67">
        <v>1</v>
      </c>
      <c r="U114" s="67">
        <v>1</v>
      </c>
      <c r="V114" s="67">
        <v>1</v>
      </c>
      <c r="W114" s="28">
        <v>0</v>
      </c>
      <c r="X114" s="28">
        <v>0</v>
      </c>
      <c r="Y114" s="28">
        <v>0</v>
      </c>
      <c r="Z114" s="28">
        <v>0</v>
      </c>
      <c r="AA114" s="28">
        <v>0</v>
      </c>
      <c r="AB114" s="64">
        <f>INDEX(角色属性!AM$8:AM$107,MATCH($D114,角色属性!$I$8:$I$107,0),1)</f>
        <v>312120</v>
      </c>
      <c r="AC114" s="64">
        <f>INDEX(角色属性!AN$8:AN$107,MATCH($D114,角色属性!$I$8:$I$107,0),1)</f>
        <v>31212</v>
      </c>
      <c r="AD114" s="64">
        <f>INDEX(角色属性!AO$8:AO$107,MATCH($D114,角色属性!$I$8:$I$107,0),1)</f>
        <v>15606</v>
      </c>
      <c r="AE114" s="64">
        <f>INDEX(角色属性!AP$8:AP$107,MATCH($D114,角色属性!$I$8:$I$107,0),1)</f>
        <v>12484.8</v>
      </c>
      <c r="AF114" s="64">
        <f>INDEX(角色属性!AQ$8:AQ$107,MATCH($D114,角色属性!$I$8:$I$107,0),1)</f>
        <v>12484.8</v>
      </c>
      <c r="AG114" s="64">
        <f>$P114/10/(1+VLOOKUP(I114,技能效果!$B$2:$D$101,3,FALSE))*怪物属性规划!A$18*INDEX(怪物属性等级系数!$A$2:$A$101,MATCH(D114,怪物属性等级系数!$D$2:$D$101,0),1)*R114+W114</f>
        <v>78697.222011634061</v>
      </c>
      <c r="AH114" s="64">
        <f>$P114/10/(1+VLOOKUP($I114,技能效果!$B$2:$D$101,3,FALSE))*怪物属性规划!B$18*S114+X114</f>
        <v>5851.7515923566871</v>
      </c>
      <c r="AI114" s="64">
        <f>$P114/10/(1+VLOOKUP($I114,技能效果!$B$2:$D$101,3,FALSE))*怪物属性规划!C$18*T114+Y114</f>
        <v>5851.7515923566871</v>
      </c>
      <c r="AJ114" s="64">
        <f>$P114/10/(1+VLOOKUP($I114,技能效果!$B$2:$D$101,3,FALSE))*怪物属性规划!D$18*U114+Z114</f>
        <v>4681.4012738853498</v>
      </c>
      <c r="AK114" s="64">
        <f>$P114/10/(1+VLOOKUP($I114,技能效果!$B$2:$D$101,3,FALSE))*怪物属性规划!E$18*V114+AA114</f>
        <v>4681.4012738853498</v>
      </c>
      <c r="AL114" s="67">
        <f>INDEX(角色属性!BB$8:BB$107,MATCH($D114,角色属性!$I$8:$I$107,0),1)</f>
        <v>1.6400000000000006</v>
      </c>
      <c r="AM114" s="64">
        <f>INDEX(角色属性!BC$8:BC$107,MATCH($D114,角色属性!$I$8:$I$107,0),1)</f>
        <v>12981</v>
      </c>
      <c r="AN114" s="64">
        <f>INDEX(角色属性!BD$8:BD$107,MATCH($D114,角色属性!$I$8:$I$107,0),1)</f>
        <v>2445</v>
      </c>
      <c r="AO114" s="69">
        <f t="shared" si="22"/>
        <v>0.5123856267482999</v>
      </c>
      <c r="AP114" s="69">
        <f t="shared" si="23"/>
        <v>0.93702125590028895</v>
      </c>
      <c r="AQ114" s="64">
        <f>AL114*角色属性!$BA$1*(AC114*(1-AO114)+MAX(AF114-AJ114,0))</f>
        <v>75514.844824473243</v>
      </c>
      <c r="AR114" s="64">
        <f>角色属性!$BA$1*(AH114*(1-AP114)+MAX(AK114-AE114,0))</f>
        <v>737.07193214021686</v>
      </c>
      <c r="AS114" s="73">
        <f t="shared" si="24"/>
        <v>0.57896800287382744</v>
      </c>
      <c r="AT114" s="73">
        <f t="shared" si="25"/>
        <v>0.38597866858255164</v>
      </c>
      <c r="AU114" s="73">
        <f t="shared" si="26"/>
        <v>0.28948400143691372</v>
      </c>
      <c r="AV114" s="73">
        <f t="shared" si="27"/>
        <v>423.45934825344</v>
      </c>
      <c r="AW114" s="73">
        <f t="shared" si="28"/>
        <v>282.30623216895998</v>
      </c>
      <c r="AX114" s="2" t="str">
        <f t="shared" si="29"/>
        <v>r_guanqia_112</v>
      </c>
      <c r="AY114" s="2">
        <f>ROUND(($P114*R114/10/$H114/(1+VLOOKUP($I114,技能效果!$B$2:$D$101,3,FALSE))-1)*10000,0)</f>
        <v>191</v>
      </c>
      <c r="AZ114" s="2">
        <f>ROUND(($P114*S114/10/$H114/(1+VLOOKUP($I114,技能效果!$B$2:$D$101,3,FALSE))-1)*10000,0)</f>
        <v>191</v>
      </c>
      <c r="BA114" s="2">
        <f>ROUND(($P114*T114/10/$H114/(1+VLOOKUP($I114,技能效果!$B$2:$D$101,3,FALSE))-1)*10000,0)</f>
        <v>191</v>
      </c>
      <c r="BB114" s="2">
        <f>ROUND(($P114*U114/10/$H114/(1+VLOOKUP($I114,技能效果!$B$2:$D$101,3,FALSE))-1)*10000,0)</f>
        <v>191</v>
      </c>
      <c r="BC114" s="2">
        <f>ROUND(($P114*V114/10/$H114/(1+VLOOKUP($I114,技能效果!$B$2:$D$101,3,FALSE))-1)*10000,0)</f>
        <v>191</v>
      </c>
    </row>
    <row r="115" spans="2:55" x14ac:dyDescent="0.15">
      <c r="B115" s="83"/>
      <c r="C115" s="2">
        <v>113</v>
      </c>
      <c r="D115" s="2">
        <f t="shared" si="33"/>
        <v>66</v>
      </c>
      <c r="E115" s="2">
        <v>2</v>
      </c>
      <c r="F115" s="28">
        <f>INDEX([3]宠物属性!$AL$8:$AL$107,MATCH(D115,[3]宠物属性!$I$8:$I$107,0),1)</f>
        <v>223067.65918007243</v>
      </c>
      <c r="G115" s="68">
        <f>F115/INDEX(角色属性!$AI$8:$AI$107,MATCH(D115,角色属性!$I$8:$I$107,0),1)*E115</f>
        <v>2.2516734466911186</v>
      </c>
      <c r="H115" s="2">
        <f>INDEX(角色属性!$AL$8:$AL$107,MATCH(D115,角色属性!$I$8:$I$107,0),1)</f>
        <v>5981</v>
      </c>
      <c r="I115" s="2">
        <f>INDEX(角色属性!$Y$8:$Y$107,MATCH(D115,角色属性!$I$8:$I$107,0),1)</f>
        <v>66</v>
      </c>
      <c r="J115" s="28">
        <f>H115*10*(1+VLOOKUP(I115,技能效果!$B$2:$D$101,3,FALSE))</f>
        <v>75360.60000000002</v>
      </c>
      <c r="K115" s="28">
        <f>H115*10*(1+VLOOKUP(I115,技能效果!$B$2:$D$101,3,FALSE))*(1+G115)</f>
        <v>245048.06194671078</v>
      </c>
      <c r="L115" s="2">
        <f t="shared" si="19"/>
        <v>120</v>
      </c>
      <c r="M115" s="28">
        <f t="shared" si="20"/>
        <v>89345.520000000019</v>
      </c>
      <c r="N115" s="28">
        <f t="shared" si="21"/>
        <v>273593.8995751139</v>
      </c>
      <c r="O115" s="62">
        <f t="shared" si="31"/>
        <v>240439</v>
      </c>
      <c r="P115" s="62">
        <f t="shared" si="32"/>
        <v>74703</v>
      </c>
      <c r="Q115" s="64">
        <f t="shared" si="30"/>
        <v>2730</v>
      </c>
      <c r="R115" s="67">
        <v>1</v>
      </c>
      <c r="S115" s="67">
        <v>1</v>
      </c>
      <c r="T115" s="67">
        <v>1</v>
      </c>
      <c r="U115" s="67">
        <v>1</v>
      </c>
      <c r="V115" s="67">
        <v>1</v>
      </c>
      <c r="W115" s="28">
        <v>0</v>
      </c>
      <c r="X115" s="28">
        <v>0</v>
      </c>
      <c r="Y115" s="28">
        <v>0</v>
      </c>
      <c r="Z115" s="28">
        <v>0</v>
      </c>
      <c r="AA115" s="28">
        <v>0</v>
      </c>
      <c r="AB115" s="64">
        <f>INDEX(角色属性!AM$8:AM$107,MATCH($D115,角色属性!$I$8:$I$107,0),1)</f>
        <v>314500</v>
      </c>
      <c r="AC115" s="64">
        <f>INDEX(角色属性!AN$8:AN$107,MATCH($D115,角色属性!$I$8:$I$107,0),1)</f>
        <v>31450</v>
      </c>
      <c r="AD115" s="64">
        <f>INDEX(角色属性!AO$8:AO$107,MATCH($D115,角色属性!$I$8:$I$107,0),1)</f>
        <v>15725</v>
      </c>
      <c r="AE115" s="64">
        <f>INDEX(角色属性!AP$8:AP$107,MATCH($D115,角色属性!$I$8:$I$107,0),1)</f>
        <v>12580</v>
      </c>
      <c r="AF115" s="64">
        <f>INDEX(角色属性!AQ$8:AQ$107,MATCH($D115,角色属性!$I$8:$I$107,0),1)</f>
        <v>12580</v>
      </c>
      <c r="AG115" s="64">
        <f>$P115/10/(1+VLOOKUP(I115,技能效果!$B$2:$D$101,3,FALSE))*怪物属性规划!A$18*INDEX(怪物属性等级系数!$A$2:$A$101,MATCH(D115,怪物属性等级系数!$D$2:$D$101,0),1)*R115+W115</f>
        <v>80703.090979653905</v>
      </c>
      <c r="AH115" s="64">
        <f>$P115/10/(1+VLOOKUP($I115,技能效果!$B$2:$D$101,3,FALSE))*怪物属性规划!B$18*S115+X115</f>
        <v>5928.8095238095229</v>
      </c>
      <c r="AI115" s="64">
        <f>$P115/10/(1+VLOOKUP($I115,技能效果!$B$2:$D$101,3,FALSE))*怪物属性规划!C$18*T115+Y115</f>
        <v>5928.8095238095229</v>
      </c>
      <c r="AJ115" s="64">
        <f>$P115/10/(1+VLOOKUP($I115,技能效果!$B$2:$D$101,3,FALSE))*怪物属性规划!D$18*U115+Z115</f>
        <v>4743.0476190476184</v>
      </c>
      <c r="AK115" s="64">
        <f>$P115/10/(1+VLOOKUP($I115,技能效果!$B$2:$D$101,3,FALSE))*怪物属性规划!E$18*V115+AA115</f>
        <v>4743.0476190476184</v>
      </c>
      <c r="AL115" s="67">
        <f>INDEX(角色属性!BB$8:BB$107,MATCH($D115,角色属性!$I$8:$I$107,0),1)</f>
        <v>1.6500000000000006</v>
      </c>
      <c r="AM115" s="64">
        <f>INDEX(角色属性!BC$8:BC$107,MATCH($D115,角色属性!$I$8:$I$107,0),1)</f>
        <v>13685</v>
      </c>
      <c r="AN115" s="64">
        <f>INDEX(角色属性!BD$8:BD$107,MATCH($D115,角色属性!$I$8:$I$107,0),1)</f>
        <v>2473</v>
      </c>
      <c r="AO115" s="69">
        <f t="shared" si="22"/>
        <v>0.50245534415769699</v>
      </c>
      <c r="AP115" s="69">
        <f t="shared" si="23"/>
        <v>0.93679719731725108</v>
      </c>
      <c r="AQ115" s="64">
        <f>AL115*角色属性!$BA$1*(AC115*(1-AO115)+MAX(AF115-AJ115,0))</f>
        <v>77499.614963736298</v>
      </c>
      <c r="AR115" s="64">
        <f>角色属性!$BA$1*(AH115*(1-AP115)+MAX(AK115-AE115,0))</f>
        <v>749.43475695387167</v>
      </c>
      <c r="AS115" s="73">
        <f t="shared" si="24"/>
        <v>0.57851965542320993</v>
      </c>
      <c r="AT115" s="73">
        <f t="shared" si="25"/>
        <v>0.38567977028213996</v>
      </c>
      <c r="AU115" s="73">
        <f t="shared" si="26"/>
        <v>0.28925982771160497</v>
      </c>
      <c r="AV115" s="73">
        <f t="shared" si="27"/>
        <v>419.64960536165489</v>
      </c>
      <c r="AW115" s="73">
        <f t="shared" si="28"/>
        <v>279.76640357443659</v>
      </c>
      <c r="AX115" s="2" t="str">
        <f t="shared" si="29"/>
        <v>r_guanqia_113</v>
      </c>
      <c r="AY115" s="2">
        <f>ROUND(($P115*R115/10/$H115/(1+VLOOKUP($I115,技能效果!$B$2:$D$101,3,FALSE))-1)*10000,0)</f>
        <v>-87</v>
      </c>
      <c r="AZ115" s="2">
        <f>ROUND(($P115*S115/10/$H115/(1+VLOOKUP($I115,技能效果!$B$2:$D$101,3,FALSE))-1)*10000,0)</f>
        <v>-87</v>
      </c>
      <c r="BA115" s="2">
        <f>ROUND(($P115*T115/10/$H115/(1+VLOOKUP($I115,技能效果!$B$2:$D$101,3,FALSE))-1)*10000,0)</f>
        <v>-87</v>
      </c>
      <c r="BB115" s="2">
        <f>ROUND(($P115*U115/10/$H115/(1+VLOOKUP($I115,技能效果!$B$2:$D$101,3,FALSE))-1)*10000,0)</f>
        <v>-87</v>
      </c>
      <c r="BC115" s="2">
        <f>ROUND(($P115*V115/10/$H115/(1+VLOOKUP($I115,技能效果!$B$2:$D$101,3,FALSE))-1)*10000,0)</f>
        <v>-87</v>
      </c>
    </row>
    <row r="116" spans="2:55" x14ac:dyDescent="0.15">
      <c r="B116" s="83"/>
      <c r="C116" s="2">
        <v>114</v>
      </c>
      <c r="D116" s="2">
        <f t="shared" si="33"/>
        <v>66</v>
      </c>
      <c r="E116" s="2">
        <v>2</v>
      </c>
      <c r="F116" s="28">
        <f>INDEX([3]宠物属性!$AL$8:$AL$107,MATCH(D116,[3]宠物属性!$I$8:$I$107,0),1)</f>
        <v>223067.65918007243</v>
      </c>
      <c r="G116" s="68">
        <f>F116/INDEX(角色属性!$AI$8:$AI$107,MATCH(D116,角色属性!$I$8:$I$107,0),1)*E116</f>
        <v>2.2516734466911186</v>
      </c>
      <c r="H116" s="2">
        <f>INDEX(角色属性!$AL$8:$AL$107,MATCH(D116,角色属性!$I$8:$I$107,0),1)</f>
        <v>5981</v>
      </c>
      <c r="I116" s="2">
        <f>INDEX(角色属性!$Y$8:$Y$107,MATCH(D116,角色属性!$I$8:$I$107,0),1)</f>
        <v>66</v>
      </c>
      <c r="J116" s="28">
        <f>H116*10*(1+VLOOKUP(I116,技能效果!$B$2:$D$101,3,FALSE))</f>
        <v>75360.60000000002</v>
      </c>
      <c r="K116" s="28">
        <f>H116*10*(1+VLOOKUP(I116,技能效果!$B$2:$D$101,3,FALSE))*(1+G116)</f>
        <v>245048.06194671078</v>
      </c>
      <c r="L116" s="2">
        <f t="shared" si="19"/>
        <v>120</v>
      </c>
      <c r="M116" s="28">
        <f t="shared" si="20"/>
        <v>89345.520000000019</v>
      </c>
      <c r="N116" s="28">
        <f t="shared" si="21"/>
        <v>273593.8995751139</v>
      </c>
      <c r="O116" s="62">
        <f t="shared" si="31"/>
        <v>243950</v>
      </c>
      <c r="P116" s="62">
        <f t="shared" si="32"/>
        <v>76254</v>
      </c>
      <c r="Q116" s="64">
        <f t="shared" si="30"/>
        <v>3511</v>
      </c>
      <c r="R116" s="67">
        <v>1</v>
      </c>
      <c r="S116" s="67">
        <v>1</v>
      </c>
      <c r="T116" s="67">
        <v>1</v>
      </c>
      <c r="U116" s="67">
        <v>1</v>
      </c>
      <c r="V116" s="67">
        <v>1</v>
      </c>
      <c r="W116" s="28">
        <v>0</v>
      </c>
      <c r="X116" s="28">
        <v>0</v>
      </c>
      <c r="Y116" s="28">
        <v>0</v>
      </c>
      <c r="Z116" s="28">
        <v>0</v>
      </c>
      <c r="AA116" s="28">
        <v>0</v>
      </c>
      <c r="AB116" s="64">
        <f>INDEX(角色属性!AM$8:AM$107,MATCH($D116,角色属性!$I$8:$I$107,0),1)</f>
        <v>314500</v>
      </c>
      <c r="AC116" s="64">
        <f>INDEX(角色属性!AN$8:AN$107,MATCH($D116,角色属性!$I$8:$I$107,0),1)</f>
        <v>31450</v>
      </c>
      <c r="AD116" s="64">
        <f>INDEX(角色属性!AO$8:AO$107,MATCH($D116,角色属性!$I$8:$I$107,0),1)</f>
        <v>15725</v>
      </c>
      <c r="AE116" s="64">
        <f>INDEX(角色属性!AP$8:AP$107,MATCH($D116,角色属性!$I$8:$I$107,0),1)</f>
        <v>12580</v>
      </c>
      <c r="AF116" s="64">
        <f>INDEX(角色属性!AQ$8:AQ$107,MATCH($D116,角色属性!$I$8:$I$107,0),1)</f>
        <v>12580</v>
      </c>
      <c r="AG116" s="64">
        <f>$P116/10/(1+VLOOKUP(I116,技能效果!$B$2:$D$101,3,FALSE))*怪物属性规划!A$18*INDEX(怪物属性等级系数!$A$2:$A$101,MATCH(D116,怪物属性等级系数!$D$2:$D$101,0),1)*R116+W116</f>
        <v>82378.66617890216</v>
      </c>
      <c r="AH116" s="64">
        <f>$P116/10/(1+VLOOKUP($I116,技能效果!$B$2:$D$101,3,FALSE))*怪物属性规划!B$18*S116+X116</f>
        <v>6051.9047619047606</v>
      </c>
      <c r="AI116" s="64">
        <f>$P116/10/(1+VLOOKUP($I116,技能效果!$B$2:$D$101,3,FALSE))*怪物属性规划!C$18*T116+Y116</f>
        <v>6051.9047619047606</v>
      </c>
      <c r="AJ116" s="64">
        <f>$P116/10/(1+VLOOKUP($I116,技能效果!$B$2:$D$101,3,FALSE))*怪物属性规划!D$18*U116+Z116</f>
        <v>4841.5238095238083</v>
      </c>
      <c r="AK116" s="64">
        <f>$P116/10/(1+VLOOKUP($I116,技能效果!$B$2:$D$101,3,FALSE))*怪物属性规划!E$18*V116+AA116</f>
        <v>4841.5238095238083</v>
      </c>
      <c r="AL116" s="67">
        <f>INDEX(角色属性!BB$8:BB$107,MATCH($D116,角色属性!$I$8:$I$107,0),1)</f>
        <v>1.6500000000000006</v>
      </c>
      <c r="AM116" s="64">
        <f>INDEX(角色属性!BC$8:BC$107,MATCH($D116,角色属性!$I$8:$I$107,0),1)</f>
        <v>13685</v>
      </c>
      <c r="AN116" s="64">
        <f>INDEX(角色属性!BD$8:BD$107,MATCH($D116,角色属性!$I$8:$I$107,0),1)</f>
        <v>2473</v>
      </c>
      <c r="AO116" s="69">
        <f t="shared" si="22"/>
        <v>0.50759218560452335</v>
      </c>
      <c r="AP116" s="69">
        <f t="shared" si="23"/>
        <v>0.93679719731725108</v>
      </c>
      <c r="AQ116" s="64">
        <f>AL116*角色属性!$BA$1*(AC116*(1-AO116)+MAX(AF116-AJ116,0))</f>
        <v>76641.516445606001</v>
      </c>
      <c r="AR116" s="64">
        <f>角色属性!$BA$1*(AH116*(1-AP116)+MAX(AK116-AE116,0))</f>
        <v>764.99468504291031</v>
      </c>
      <c r="AS116" s="73">
        <f t="shared" si="24"/>
        <v>0.59714274687436053</v>
      </c>
      <c r="AT116" s="73">
        <f t="shared" si="25"/>
        <v>0.39809516458290695</v>
      </c>
      <c r="AU116" s="73">
        <f t="shared" si="26"/>
        <v>0.29857137343718027</v>
      </c>
      <c r="AV116" s="73">
        <f t="shared" si="27"/>
        <v>411.11396738966749</v>
      </c>
      <c r="AW116" s="73">
        <f t="shared" si="28"/>
        <v>274.07597825977837</v>
      </c>
      <c r="AX116" s="2" t="str">
        <f t="shared" si="29"/>
        <v>r_guanqia_114</v>
      </c>
      <c r="AY116" s="2">
        <f>ROUND(($P116*R116/10/$H116/(1+VLOOKUP($I116,技能效果!$B$2:$D$101,3,FALSE))-1)*10000,0)</f>
        <v>119</v>
      </c>
      <c r="AZ116" s="2">
        <f>ROUND(($P116*S116/10/$H116/(1+VLOOKUP($I116,技能效果!$B$2:$D$101,3,FALSE))-1)*10000,0)</f>
        <v>119</v>
      </c>
      <c r="BA116" s="2">
        <f>ROUND(($P116*T116/10/$H116/(1+VLOOKUP($I116,技能效果!$B$2:$D$101,3,FALSE))-1)*10000,0)</f>
        <v>119</v>
      </c>
      <c r="BB116" s="2">
        <f>ROUND(($P116*U116/10/$H116/(1+VLOOKUP($I116,技能效果!$B$2:$D$101,3,FALSE))-1)*10000,0)</f>
        <v>119</v>
      </c>
      <c r="BC116" s="2">
        <f>ROUND(($P116*V116/10/$H116/(1+VLOOKUP($I116,技能效果!$B$2:$D$101,3,FALSE))-1)*10000,0)</f>
        <v>119</v>
      </c>
    </row>
    <row r="117" spans="2:55" x14ac:dyDescent="0.15">
      <c r="B117" s="83"/>
      <c r="C117" s="2">
        <v>115</v>
      </c>
      <c r="D117" s="2">
        <f t="shared" si="33"/>
        <v>67</v>
      </c>
      <c r="E117" s="2">
        <v>2</v>
      </c>
      <c r="F117" s="28">
        <f>INDEX([3]宠物属性!$AL$8:$AL$107,MATCH(D117,[3]宠物属性!$I$8:$I$107,0),1)</f>
        <v>225361.49393538595</v>
      </c>
      <c r="G117" s="68">
        <f>F117/INDEX(角色属性!$AI$8:$AI$107,MATCH(D117,角色属性!$I$8:$I$107,0),1)*E117</f>
        <v>2.2480433886195041</v>
      </c>
      <c r="H117" s="2">
        <f>INDEX(角色属性!$AL$8:$AL$107,MATCH(D117,角色属性!$I$8:$I$107,0),1)</f>
        <v>6226</v>
      </c>
      <c r="I117" s="2">
        <f>INDEX(角色属性!$Y$8:$Y$107,MATCH(D117,角色属性!$I$8:$I$107,0),1)</f>
        <v>67</v>
      </c>
      <c r="J117" s="28">
        <f>H117*10*(1+VLOOKUP(I117,技能效果!$B$2:$D$101,3,FALSE))</f>
        <v>78696.640000000014</v>
      </c>
      <c r="K117" s="28">
        <f>H117*10*(1+VLOOKUP(I117,技能效果!$B$2:$D$101,3,FALSE))*(1+G117)</f>
        <v>255610.10125856925</v>
      </c>
      <c r="L117" s="2">
        <f t="shared" si="19"/>
        <v>120</v>
      </c>
      <c r="M117" s="28">
        <f t="shared" si="20"/>
        <v>89345.520000000019</v>
      </c>
      <c r="N117" s="28">
        <f t="shared" si="21"/>
        <v>273593.8995751139</v>
      </c>
      <c r="O117" s="62">
        <f t="shared" si="31"/>
        <v>250971</v>
      </c>
      <c r="P117" s="62">
        <f t="shared" si="32"/>
        <v>79354</v>
      </c>
      <c r="Q117" s="64">
        <f t="shared" si="30"/>
        <v>7021</v>
      </c>
      <c r="R117" s="67">
        <v>1</v>
      </c>
      <c r="S117" s="67">
        <v>1</v>
      </c>
      <c r="T117" s="67">
        <v>1</v>
      </c>
      <c r="U117" s="67">
        <v>1</v>
      </c>
      <c r="V117" s="67">
        <v>1</v>
      </c>
      <c r="W117" s="28">
        <v>0</v>
      </c>
      <c r="X117" s="28">
        <v>0</v>
      </c>
      <c r="Y117" s="28">
        <v>0</v>
      </c>
      <c r="Z117" s="28">
        <v>0</v>
      </c>
      <c r="AA117" s="28">
        <v>0</v>
      </c>
      <c r="AB117" s="64">
        <f>INDEX(角色属性!AM$8:AM$107,MATCH($D117,角色属性!$I$8:$I$107,0),1)</f>
        <v>317240</v>
      </c>
      <c r="AC117" s="64">
        <f>INDEX(角色属性!AN$8:AN$107,MATCH($D117,角色属性!$I$8:$I$107,0),1)</f>
        <v>31724</v>
      </c>
      <c r="AD117" s="64">
        <f>INDEX(角色属性!AO$8:AO$107,MATCH($D117,角色属性!$I$8:$I$107,0),1)</f>
        <v>15862</v>
      </c>
      <c r="AE117" s="64">
        <f>INDEX(角色属性!AP$8:AP$107,MATCH($D117,角色属性!$I$8:$I$107,0),1)</f>
        <v>12689.6</v>
      </c>
      <c r="AF117" s="64">
        <f>INDEX(角色属性!AQ$8:AQ$107,MATCH($D117,角色属性!$I$8:$I$107,0),1)</f>
        <v>12689.6</v>
      </c>
      <c r="AG117" s="64">
        <f>$P117/10/(1+VLOOKUP(I117,技能效果!$B$2:$D$101,3,FALSE))*怪物属性规划!A$18*INDEX(怪物属性等级系数!$A$2:$A$101,MATCH(D117,怪物属性等级系数!$D$2:$D$101,0),1)*R117+W117</f>
        <v>86499.618248605926</v>
      </c>
      <c r="AH117" s="64">
        <f>$P117/10/(1+VLOOKUP($I117,技能效果!$B$2:$D$101,3,FALSE))*怪物属性规划!B$18*S117+X117</f>
        <v>6278.0063291139222</v>
      </c>
      <c r="AI117" s="64">
        <f>$P117/10/(1+VLOOKUP($I117,技能效果!$B$2:$D$101,3,FALSE))*怪物属性规划!C$18*T117+Y117</f>
        <v>6278.0063291139222</v>
      </c>
      <c r="AJ117" s="64">
        <f>$P117/10/(1+VLOOKUP($I117,技能效果!$B$2:$D$101,3,FALSE))*怪物属性规划!D$18*U117+Z117</f>
        <v>5022.4050632911385</v>
      </c>
      <c r="AK117" s="64">
        <f>$P117/10/(1+VLOOKUP($I117,技能效果!$B$2:$D$101,3,FALSE))*怪物属性规划!E$18*V117+AA117</f>
        <v>5022.4050632911385</v>
      </c>
      <c r="AL117" s="67">
        <f>INDEX(角色属性!BB$8:BB$107,MATCH($D117,角色属性!$I$8:$I$107,0),1)</f>
        <v>1.6600000000000006</v>
      </c>
      <c r="AM117" s="64">
        <f>INDEX(角色属性!BC$8:BC$107,MATCH($D117,角色属性!$I$8:$I$107,0),1)</f>
        <v>14417</v>
      </c>
      <c r="AN117" s="64">
        <f>INDEX(角色属性!BD$8:BD$107,MATCH($D117,角色属性!$I$8:$I$107,0),1)</f>
        <v>2511</v>
      </c>
      <c r="AO117" s="69">
        <f t="shared" si="22"/>
        <v>0.50373562068725064</v>
      </c>
      <c r="AP117" s="69">
        <f t="shared" si="23"/>
        <v>0.93640680836584023</v>
      </c>
      <c r="AQ117" s="64">
        <f>AL117*角色属性!$BA$1*(AC117*(1-AO117)+MAX(AF117-AJ117,0))</f>
        <v>77723.477872008079</v>
      </c>
      <c r="AR117" s="64">
        <f>角色属性!$BA$1*(AH117*(1-AP117)+MAX(AK117-AE117,0))</f>
        <v>798.47691913561914</v>
      </c>
      <c r="AS117" s="73">
        <f t="shared" si="24"/>
        <v>0.61828606731396341</v>
      </c>
      <c r="AT117" s="73">
        <f t="shared" si="25"/>
        <v>0.41219071154264231</v>
      </c>
      <c r="AU117" s="73">
        <f t="shared" si="26"/>
        <v>0.3091430336569817</v>
      </c>
      <c r="AV117" s="73">
        <f t="shared" si="27"/>
        <v>397.30641224222745</v>
      </c>
      <c r="AW117" s="73">
        <f t="shared" si="28"/>
        <v>264.87094149481828</v>
      </c>
      <c r="AX117" s="2" t="str">
        <f t="shared" si="29"/>
        <v>r_guanqia_115</v>
      </c>
      <c r="AY117" s="2">
        <f>ROUND(($P117*R117/10/$H117/(1+VLOOKUP($I117,技能效果!$B$2:$D$101,3,FALSE))-1)*10000,0)</f>
        <v>84</v>
      </c>
      <c r="AZ117" s="2">
        <f>ROUND(($P117*S117/10/$H117/(1+VLOOKUP($I117,技能效果!$B$2:$D$101,3,FALSE))-1)*10000,0)</f>
        <v>84</v>
      </c>
      <c r="BA117" s="2">
        <f>ROUND(($P117*T117/10/$H117/(1+VLOOKUP($I117,技能效果!$B$2:$D$101,3,FALSE))-1)*10000,0)</f>
        <v>84</v>
      </c>
      <c r="BB117" s="2">
        <f>ROUND(($P117*U117/10/$H117/(1+VLOOKUP($I117,技能效果!$B$2:$D$101,3,FALSE))-1)*10000,0)</f>
        <v>84</v>
      </c>
      <c r="BC117" s="2">
        <f>ROUND(($P117*V117/10/$H117/(1+VLOOKUP($I117,技能效果!$B$2:$D$101,3,FALSE))-1)*10000,0)</f>
        <v>84</v>
      </c>
    </row>
    <row r="118" spans="2:55" x14ac:dyDescent="0.15">
      <c r="B118" s="83"/>
      <c r="C118" s="2">
        <v>116</v>
      </c>
      <c r="D118" s="2">
        <f t="shared" si="33"/>
        <v>67</v>
      </c>
      <c r="E118" s="2">
        <v>2</v>
      </c>
      <c r="F118" s="28">
        <f>INDEX([3]宠物属性!$AL$8:$AL$107,MATCH(D118,[3]宠物属性!$I$8:$I$107,0),1)</f>
        <v>225361.49393538595</v>
      </c>
      <c r="G118" s="68">
        <f>F118/INDEX(角色属性!$AI$8:$AI$107,MATCH(D118,角色属性!$I$8:$I$107,0),1)*E118</f>
        <v>2.2480433886195041</v>
      </c>
      <c r="H118" s="2">
        <f>INDEX(角色属性!$AL$8:$AL$107,MATCH(D118,角色属性!$I$8:$I$107,0),1)</f>
        <v>6226</v>
      </c>
      <c r="I118" s="2">
        <f>INDEX(角色属性!$Y$8:$Y$107,MATCH(D118,角色属性!$I$8:$I$107,0),1)</f>
        <v>67</v>
      </c>
      <c r="J118" s="28">
        <f>H118*10*(1+VLOOKUP(I118,技能效果!$B$2:$D$101,3,FALSE))</f>
        <v>78696.640000000014</v>
      </c>
      <c r="K118" s="28">
        <f>H118*10*(1+VLOOKUP(I118,技能效果!$B$2:$D$101,3,FALSE))*(1+G118)</f>
        <v>255610.10125856925</v>
      </c>
      <c r="L118" s="2">
        <f t="shared" si="19"/>
        <v>120</v>
      </c>
      <c r="M118" s="28">
        <f t="shared" si="20"/>
        <v>89345.520000000019</v>
      </c>
      <c r="N118" s="28">
        <f t="shared" si="21"/>
        <v>273593.8995751139</v>
      </c>
      <c r="O118" s="62">
        <f t="shared" si="31"/>
        <v>252531</v>
      </c>
      <c r="P118" s="62">
        <f t="shared" si="32"/>
        <v>80043</v>
      </c>
      <c r="Q118" s="64">
        <f t="shared" si="30"/>
        <v>1560</v>
      </c>
      <c r="R118" s="67">
        <v>1</v>
      </c>
      <c r="S118" s="67">
        <v>1</v>
      </c>
      <c r="T118" s="67">
        <v>1</v>
      </c>
      <c r="U118" s="67">
        <v>1</v>
      </c>
      <c r="V118" s="67">
        <v>1</v>
      </c>
      <c r="W118" s="28">
        <v>0</v>
      </c>
      <c r="X118" s="28">
        <v>0</v>
      </c>
      <c r="Y118" s="28">
        <v>0</v>
      </c>
      <c r="Z118" s="28">
        <v>0</v>
      </c>
      <c r="AA118" s="28">
        <v>0</v>
      </c>
      <c r="AB118" s="64">
        <f>INDEX(角色属性!AM$8:AM$107,MATCH($D118,角色属性!$I$8:$I$107,0),1)</f>
        <v>317240</v>
      </c>
      <c r="AC118" s="64">
        <f>INDEX(角色属性!AN$8:AN$107,MATCH($D118,角色属性!$I$8:$I$107,0),1)</f>
        <v>31724</v>
      </c>
      <c r="AD118" s="64">
        <f>INDEX(角色属性!AO$8:AO$107,MATCH($D118,角色属性!$I$8:$I$107,0),1)</f>
        <v>15862</v>
      </c>
      <c r="AE118" s="64">
        <f>INDEX(角色属性!AP$8:AP$107,MATCH($D118,角色属性!$I$8:$I$107,0),1)</f>
        <v>12689.6</v>
      </c>
      <c r="AF118" s="64">
        <f>INDEX(角色属性!AQ$8:AQ$107,MATCH($D118,角色属性!$I$8:$I$107,0),1)</f>
        <v>12689.6</v>
      </c>
      <c r="AG118" s="64">
        <f>$P118/10/(1+VLOOKUP(I118,技能效果!$B$2:$D$101,3,FALSE))*怪物属性规划!A$18*INDEX(怪物属性等级系数!$A$2:$A$101,MATCH(D118,怪物属性等级系数!$D$2:$D$101,0),1)*R118+W118</f>
        <v>87250.660880020732</v>
      </c>
      <c r="AH118" s="64">
        <f>$P118/10/(1+VLOOKUP($I118,技能效果!$B$2:$D$101,3,FALSE))*怪物属性规划!B$18*S118+X118</f>
        <v>6332.5158227848087</v>
      </c>
      <c r="AI118" s="64">
        <f>$P118/10/(1+VLOOKUP($I118,技能效果!$B$2:$D$101,3,FALSE))*怪物属性规划!C$18*T118+Y118</f>
        <v>6332.5158227848087</v>
      </c>
      <c r="AJ118" s="64">
        <f>$P118/10/(1+VLOOKUP($I118,技能效果!$B$2:$D$101,3,FALSE))*怪物属性规划!D$18*U118+Z118</f>
        <v>5066.0126582278472</v>
      </c>
      <c r="AK118" s="64">
        <f>$P118/10/(1+VLOOKUP($I118,技能效果!$B$2:$D$101,3,FALSE))*怪物属性规划!E$18*V118+AA118</f>
        <v>5066.0126582278472</v>
      </c>
      <c r="AL118" s="67">
        <f>INDEX(角色属性!BB$8:BB$107,MATCH($D118,角色属性!$I$8:$I$107,0),1)</f>
        <v>1.6600000000000006</v>
      </c>
      <c r="AM118" s="64">
        <f>INDEX(角色属性!BC$8:BC$107,MATCH($D118,角色属性!$I$8:$I$107,0),1)</f>
        <v>14417</v>
      </c>
      <c r="AN118" s="64">
        <f>INDEX(角色属性!BD$8:BD$107,MATCH($D118,角色属性!$I$8:$I$107,0),1)</f>
        <v>2511</v>
      </c>
      <c r="AO118" s="69">
        <f t="shared" si="22"/>
        <v>0.50589670054221203</v>
      </c>
      <c r="AP118" s="69">
        <f t="shared" si="23"/>
        <v>0.93640680836584023</v>
      </c>
      <c r="AQ118" s="64">
        <f>AL118*角色属性!$BA$1*(AC118*(1-AO118)+MAX(AF118-AJ118,0))</f>
        <v>77351.087773719802</v>
      </c>
      <c r="AR118" s="64">
        <f>角色属性!$BA$1*(AH118*(1-AP118)+MAX(AK118-AE118,0))</f>
        <v>805.40978448940655</v>
      </c>
      <c r="AS118" s="73">
        <f t="shared" si="24"/>
        <v>0.6266568547761</v>
      </c>
      <c r="AT118" s="73">
        <f t="shared" si="25"/>
        <v>0.41777123651739995</v>
      </c>
      <c r="AU118" s="73">
        <f t="shared" si="26"/>
        <v>0.31332842738805</v>
      </c>
      <c r="AV118" s="73">
        <f t="shared" si="27"/>
        <v>393.88644899703553</v>
      </c>
      <c r="AW118" s="73">
        <f t="shared" si="28"/>
        <v>262.59096599802371</v>
      </c>
      <c r="AX118" s="2" t="str">
        <f t="shared" si="29"/>
        <v>r_guanqia_116</v>
      </c>
      <c r="AY118" s="2">
        <f>ROUND(($P118*R118/10/$H118/(1+VLOOKUP($I118,技能效果!$B$2:$D$101,3,FALSE))-1)*10000,0)</f>
        <v>171</v>
      </c>
      <c r="AZ118" s="2">
        <f>ROUND(($P118*S118/10/$H118/(1+VLOOKUP($I118,技能效果!$B$2:$D$101,3,FALSE))-1)*10000,0)</f>
        <v>171</v>
      </c>
      <c r="BA118" s="2">
        <f>ROUND(($P118*T118/10/$H118/(1+VLOOKUP($I118,技能效果!$B$2:$D$101,3,FALSE))-1)*10000,0)</f>
        <v>171</v>
      </c>
      <c r="BB118" s="2">
        <f>ROUND(($P118*U118/10/$H118/(1+VLOOKUP($I118,技能效果!$B$2:$D$101,3,FALSE))-1)*10000,0)</f>
        <v>171</v>
      </c>
      <c r="BC118" s="2">
        <f>ROUND(($P118*V118/10/$H118/(1+VLOOKUP($I118,技能效果!$B$2:$D$101,3,FALSE))-1)*10000,0)</f>
        <v>171</v>
      </c>
    </row>
    <row r="119" spans="2:55" x14ac:dyDescent="0.15">
      <c r="B119" s="83"/>
      <c r="C119" s="2">
        <v>117</v>
      </c>
      <c r="D119" s="2">
        <f t="shared" si="33"/>
        <v>67</v>
      </c>
      <c r="E119" s="2">
        <v>2</v>
      </c>
      <c r="F119" s="28">
        <f>INDEX([3]宠物属性!$AL$8:$AL$107,MATCH(D119,[3]宠物属性!$I$8:$I$107,0),1)</f>
        <v>225361.49393538595</v>
      </c>
      <c r="G119" s="68">
        <f>F119/INDEX(角色属性!$AI$8:$AI$107,MATCH(D119,角色属性!$I$8:$I$107,0),1)*E119</f>
        <v>2.2480433886195041</v>
      </c>
      <c r="H119" s="2">
        <f>INDEX(角色属性!$AL$8:$AL$107,MATCH(D119,角色属性!$I$8:$I$107,0),1)</f>
        <v>6226</v>
      </c>
      <c r="I119" s="2">
        <f>INDEX(角色属性!$Y$8:$Y$107,MATCH(D119,角色属性!$I$8:$I$107,0),1)</f>
        <v>67</v>
      </c>
      <c r="J119" s="28">
        <f>H119*10*(1+VLOOKUP(I119,技能效果!$B$2:$D$101,3,FALSE))</f>
        <v>78696.640000000014</v>
      </c>
      <c r="K119" s="28">
        <f>H119*10*(1+VLOOKUP(I119,技能效果!$B$2:$D$101,3,FALSE))*(1+G119)</f>
        <v>255610.10125856925</v>
      </c>
      <c r="L119" s="2">
        <f t="shared" si="19"/>
        <v>120</v>
      </c>
      <c r="M119" s="28">
        <f t="shared" si="20"/>
        <v>89345.520000000019</v>
      </c>
      <c r="N119" s="28">
        <f t="shared" si="21"/>
        <v>273593.8995751139</v>
      </c>
      <c r="O119" s="62">
        <f t="shared" si="31"/>
        <v>254871</v>
      </c>
      <c r="P119" s="62">
        <f t="shared" si="32"/>
        <v>81077</v>
      </c>
      <c r="Q119" s="64">
        <f t="shared" si="30"/>
        <v>2340</v>
      </c>
      <c r="R119" s="67">
        <v>1</v>
      </c>
      <c r="S119" s="67">
        <v>1</v>
      </c>
      <c r="T119" s="67">
        <v>1</v>
      </c>
      <c r="U119" s="67">
        <v>1</v>
      </c>
      <c r="V119" s="67">
        <v>1</v>
      </c>
      <c r="W119" s="28">
        <v>0</v>
      </c>
      <c r="X119" s="28">
        <v>0</v>
      </c>
      <c r="Y119" s="28">
        <v>0</v>
      </c>
      <c r="Z119" s="28">
        <v>0</v>
      </c>
      <c r="AA119" s="28">
        <v>0</v>
      </c>
      <c r="AB119" s="64">
        <f>INDEX(角色属性!AM$8:AM$107,MATCH($D119,角色属性!$I$8:$I$107,0),1)</f>
        <v>317240</v>
      </c>
      <c r="AC119" s="64">
        <f>INDEX(角色属性!AN$8:AN$107,MATCH($D119,角色属性!$I$8:$I$107,0),1)</f>
        <v>31724</v>
      </c>
      <c r="AD119" s="64">
        <f>INDEX(角色属性!AO$8:AO$107,MATCH($D119,角色属性!$I$8:$I$107,0),1)</f>
        <v>15862</v>
      </c>
      <c r="AE119" s="64">
        <f>INDEX(角色属性!AP$8:AP$107,MATCH($D119,角色属性!$I$8:$I$107,0),1)</f>
        <v>12689.6</v>
      </c>
      <c r="AF119" s="64">
        <f>INDEX(角色属性!AQ$8:AQ$107,MATCH($D119,角色属性!$I$8:$I$107,0),1)</f>
        <v>12689.6</v>
      </c>
      <c r="AG119" s="64">
        <f>$P119/10/(1+VLOOKUP(I119,技能效果!$B$2:$D$101,3,FALSE))*怪物属性规划!A$18*INDEX(怪物属性等级系数!$A$2:$A$101,MATCH(D119,怪物属性等级系数!$D$2:$D$101,0),1)*R119+W119</f>
        <v>88377.769850823184</v>
      </c>
      <c r="AH119" s="64">
        <f>$P119/10/(1+VLOOKUP($I119,技能效果!$B$2:$D$101,3,FALSE))*怪物属性规划!B$18*S119+X119</f>
        <v>6414.3196202531635</v>
      </c>
      <c r="AI119" s="64">
        <f>$P119/10/(1+VLOOKUP($I119,技能效果!$B$2:$D$101,3,FALSE))*怪物属性规划!C$18*T119+Y119</f>
        <v>6414.3196202531635</v>
      </c>
      <c r="AJ119" s="64">
        <f>$P119/10/(1+VLOOKUP($I119,技能效果!$B$2:$D$101,3,FALSE))*怪物属性规划!D$18*U119+Z119</f>
        <v>5131.4556962025308</v>
      </c>
      <c r="AK119" s="64">
        <f>$P119/10/(1+VLOOKUP($I119,技能效果!$B$2:$D$101,3,FALSE))*怪物属性规划!E$18*V119+AA119</f>
        <v>5131.4556962025308</v>
      </c>
      <c r="AL119" s="67">
        <f>INDEX(角色属性!BB$8:BB$107,MATCH($D119,角色属性!$I$8:$I$107,0),1)</f>
        <v>1.6600000000000006</v>
      </c>
      <c r="AM119" s="64">
        <f>INDEX(角色属性!BC$8:BC$107,MATCH($D119,角色属性!$I$8:$I$107,0),1)</f>
        <v>14417</v>
      </c>
      <c r="AN119" s="64">
        <f>INDEX(角色属性!BD$8:BD$107,MATCH($D119,角色属性!$I$8:$I$107,0),1)</f>
        <v>2511</v>
      </c>
      <c r="AO119" s="69">
        <f t="shared" si="22"/>
        <v>0.50910479992552715</v>
      </c>
      <c r="AP119" s="69">
        <f t="shared" si="23"/>
        <v>0.93640680836584023</v>
      </c>
      <c r="AQ119" s="64">
        <f>AL119*角色属性!$BA$1*(AC119*(1-AO119)+MAX(AF119-AJ119,0))</f>
        <v>76795.928054787379</v>
      </c>
      <c r="AR119" s="64">
        <f>角色属性!$BA$1*(AH119*(1-AP119)+MAX(AK119-AE119,0))</f>
        <v>815.81411362702079</v>
      </c>
      <c r="AS119" s="73">
        <f t="shared" si="24"/>
        <v>0.63934068214147111</v>
      </c>
      <c r="AT119" s="73">
        <f t="shared" si="25"/>
        <v>0.4262271214276474</v>
      </c>
      <c r="AU119" s="73">
        <f t="shared" si="26"/>
        <v>0.31967034107073555</v>
      </c>
      <c r="AV119" s="73">
        <f t="shared" si="27"/>
        <v>388.86309356623593</v>
      </c>
      <c r="AW119" s="73">
        <f t="shared" si="28"/>
        <v>259.24206237749058</v>
      </c>
      <c r="AX119" s="2" t="str">
        <f t="shared" si="29"/>
        <v>r_guanqia_117</v>
      </c>
      <c r="AY119" s="2">
        <f>ROUND(($P119*R119/10/$H119/(1+VLOOKUP($I119,技能效果!$B$2:$D$101,3,FALSE))-1)*10000,0)</f>
        <v>302</v>
      </c>
      <c r="AZ119" s="2">
        <f>ROUND(($P119*S119/10/$H119/(1+VLOOKUP($I119,技能效果!$B$2:$D$101,3,FALSE))-1)*10000,0)</f>
        <v>302</v>
      </c>
      <c r="BA119" s="2">
        <f>ROUND(($P119*T119/10/$H119/(1+VLOOKUP($I119,技能效果!$B$2:$D$101,3,FALSE))-1)*10000,0)</f>
        <v>302</v>
      </c>
      <c r="BB119" s="2">
        <f>ROUND(($P119*U119/10/$H119/(1+VLOOKUP($I119,技能效果!$B$2:$D$101,3,FALSE))-1)*10000,0)</f>
        <v>302</v>
      </c>
      <c r="BC119" s="2">
        <f>ROUND(($P119*V119/10/$H119/(1+VLOOKUP($I119,技能效果!$B$2:$D$101,3,FALSE))-1)*10000,0)</f>
        <v>302</v>
      </c>
    </row>
    <row r="120" spans="2:55" x14ac:dyDescent="0.15">
      <c r="B120" s="83"/>
      <c r="C120" s="2">
        <v>118</v>
      </c>
      <c r="D120" s="2">
        <f t="shared" si="33"/>
        <v>68</v>
      </c>
      <c r="E120" s="2">
        <v>2</v>
      </c>
      <c r="F120" s="28">
        <f>INDEX([3]宠物属性!$AL$8:$AL$107,MATCH(D120,[3]宠物属性!$I$8:$I$107,0),1)</f>
        <v>227665.76461069952</v>
      </c>
      <c r="G120" s="68">
        <f>F120/INDEX(角色属性!$AI$8:$AI$107,MATCH(D120,角色属性!$I$8:$I$107,0),1)*E120</f>
        <v>2.2470074835584475</v>
      </c>
      <c r="H120" s="2">
        <f>INDEX(角色属性!$AL$8:$AL$107,MATCH(D120,角色属性!$I$8:$I$107,0),1)</f>
        <v>6478</v>
      </c>
      <c r="I120" s="2">
        <f>INDEX(角色属性!$Y$8:$Y$107,MATCH(D120,角色属性!$I$8:$I$107,0),1)</f>
        <v>68</v>
      </c>
      <c r="J120" s="28">
        <f>H120*10*(1+VLOOKUP(I120,技能效果!$B$2:$D$101,3,FALSE))</f>
        <v>82141.040000000008</v>
      </c>
      <c r="K120" s="28">
        <f>H120*10*(1+VLOOKUP(I120,技能效果!$B$2:$D$101,3,FALSE))*(1+G120)</f>
        <v>266712.57158727379</v>
      </c>
      <c r="L120" s="2">
        <f t="shared" si="19"/>
        <v>120</v>
      </c>
      <c r="M120" s="28">
        <f t="shared" si="20"/>
        <v>89345.520000000019</v>
      </c>
      <c r="N120" s="28">
        <f t="shared" si="21"/>
        <v>273593.8995751139</v>
      </c>
      <c r="O120" s="62">
        <f t="shared" si="31"/>
        <v>257992</v>
      </c>
      <c r="P120" s="62">
        <f t="shared" si="32"/>
        <v>82455</v>
      </c>
      <c r="Q120" s="64">
        <f t="shared" si="30"/>
        <v>3121</v>
      </c>
      <c r="R120" s="67">
        <v>1</v>
      </c>
      <c r="S120" s="67">
        <v>1</v>
      </c>
      <c r="T120" s="67">
        <v>1</v>
      </c>
      <c r="U120" s="67">
        <v>1</v>
      </c>
      <c r="V120" s="67">
        <v>1</v>
      </c>
      <c r="W120" s="28">
        <v>0</v>
      </c>
      <c r="X120" s="28">
        <v>0</v>
      </c>
      <c r="Y120" s="28">
        <v>0</v>
      </c>
      <c r="Z120" s="28">
        <v>0</v>
      </c>
      <c r="AA120" s="28">
        <v>0</v>
      </c>
      <c r="AB120" s="64">
        <f>INDEX(角色属性!AM$8:AM$107,MATCH($D120,角色属性!$I$8:$I$107,0),1)</f>
        <v>319620</v>
      </c>
      <c r="AC120" s="64">
        <f>INDEX(角色属性!AN$8:AN$107,MATCH($D120,角色属性!$I$8:$I$107,0),1)</f>
        <v>31962</v>
      </c>
      <c r="AD120" s="64">
        <f>INDEX(角色属性!AO$8:AO$107,MATCH($D120,角色属性!$I$8:$I$107,0),1)</f>
        <v>15981</v>
      </c>
      <c r="AE120" s="64">
        <f>INDEX(角色属性!AP$8:AP$107,MATCH($D120,角色属性!$I$8:$I$107,0),1)</f>
        <v>12784.8</v>
      </c>
      <c r="AF120" s="64">
        <f>INDEX(角色属性!AQ$8:AQ$107,MATCH($D120,角色属性!$I$8:$I$107,0),1)</f>
        <v>12784.8</v>
      </c>
      <c r="AG120" s="64">
        <f>$P120/10/(1+VLOOKUP(I120,技能效果!$B$2:$D$101,3,FALSE))*怪物属性规划!A$18*INDEX(怪物属性等级系数!$A$2:$A$101,MATCH(D120,怪物属性等级系数!$D$2:$D$101,0),1)*R120+W120</f>
        <v>90687.57009164372</v>
      </c>
      <c r="AH120" s="64">
        <f>$P120/10/(1+VLOOKUP($I120,技能效果!$B$2:$D$101,3,FALSE))*怪物属性规划!B$18*S120+X120</f>
        <v>6502.7602523659298</v>
      </c>
      <c r="AI120" s="64">
        <f>$P120/10/(1+VLOOKUP($I120,技能效果!$B$2:$D$101,3,FALSE))*怪物属性规划!C$18*T120+Y120</f>
        <v>6502.7602523659298</v>
      </c>
      <c r="AJ120" s="64">
        <f>$P120/10/(1+VLOOKUP($I120,技能效果!$B$2:$D$101,3,FALSE))*怪物属性规划!D$18*U120+Z120</f>
        <v>5202.208201892744</v>
      </c>
      <c r="AK120" s="64">
        <f>$P120/10/(1+VLOOKUP($I120,技能效果!$B$2:$D$101,3,FALSE))*怪物属性规划!E$18*V120+AA120</f>
        <v>5202.208201892744</v>
      </c>
      <c r="AL120" s="67">
        <f>INDEX(角色属性!BB$8:BB$107,MATCH($D120,角色属性!$I$8:$I$107,0),1)</f>
        <v>1.6700000000000006</v>
      </c>
      <c r="AM120" s="64">
        <f>INDEX(角色属性!BC$8:BC$107,MATCH($D120,角色属性!$I$8:$I$107,0),1)</f>
        <v>15182</v>
      </c>
      <c r="AN120" s="64">
        <f>INDEX(角色属性!BD$8:BD$107,MATCH($D120,角色属性!$I$8:$I$107,0),1)</f>
        <v>2538</v>
      </c>
      <c r="AO120" s="69">
        <f t="shared" si="22"/>
        <v>0.49960364644082011</v>
      </c>
      <c r="AP120" s="69">
        <f t="shared" si="23"/>
        <v>0.93621472586501009</v>
      </c>
      <c r="AQ120" s="64">
        <f>AL120*角色属性!$BA$1*(AC120*(1-AO120)+MAX(AF120-AJ120,0))</f>
        <v>78744.708568889677</v>
      </c>
      <c r="AR120" s="64">
        <f>角色属性!$BA$1*(AH120*(1-AP120)+MAX(AK120-AE120,0))</f>
        <v>829.56069066255407</v>
      </c>
      <c r="AS120" s="73">
        <f t="shared" si="24"/>
        <v>0.63981420847052739</v>
      </c>
      <c r="AT120" s="73">
        <f t="shared" si="25"/>
        <v>0.4265428056470183</v>
      </c>
      <c r="AU120" s="73">
        <f t="shared" si="26"/>
        <v>0.3199071042352637</v>
      </c>
      <c r="AV120" s="73">
        <f t="shared" si="27"/>
        <v>385.28826594317735</v>
      </c>
      <c r="AW120" s="73">
        <f t="shared" si="28"/>
        <v>256.85884396211821</v>
      </c>
      <c r="AX120" s="2" t="str">
        <f t="shared" si="29"/>
        <v>r_guanqia_118</v>
      </c>
      <c r="AY120" s="2">
        <f>ROUND(($P120*R120/10/$H120/(1+VLOOKUP($I120,技能效果!$B$2:$D$101,3,FALSE))-1)*10000,0)</f>
        <v>38</v>
      </c>
      <c r="AZ120" s="2">
        <f>ROUND(($P120*S120/10/$H120/(1+VLOOKUP($I120,技能效果!$B$2:$D$101,3,FALSE))-1)*10000,0)</f>
        <v>38</v>
      </c>
      <c r="BA120" s="2">
        <f>ROUND(($P120*T120/10/$H120/(1+VLOOKUP($I120,技能效果!$B$2:$D$101,3,FALSE))-1)*10000,0)</f>
        <v>38</v>
      </c>
      <c r="BB120" s="2">
        <f>ROUND(($P120*U120/10/$H120/(1+VLOOKUP($I120,技能效果!$B$2:$D$101,3,FALSE))-1)*10000,0)</f>
        <v>38</v>
      </c>
      <c r="BC120" s="2">
        <f>ROUND(($P120*V120/10/$H120/(1+VLOOKUP($I120,技能效果!$B$2:$D$101,3,FALSE))-1)*10000,0)</f>
        <v>38</v>
      </c>
    </row>
    <row r="121" spans="2:55" x14ac:dyDescent="0.15">
      <c r="B121" s="83"/>
      <c r="C121" s="2">
        <v>119</v>
      </c>
      <c r="D121" s="2">
        <f t="shared" si="33"/>
        <v>68</v>
      </c>
      <c r="E121" s="2">
        <v>2</v>
      </c>
      <c r="F121" s="28">
        <f>INDEX([3]宠物属性!$AL$8:$AL$107,MATCH(D121,[3]宠物属性!$I$8:$I$107,0),1)</f>
        <v>227665.76461069952</v>
      </c>
      <c r="G121" s="68">
        <f>F121/INDEX(角色属性!$AI$8:$AI$107,MATCH(D121,角色属性!$I$8:$I$107,0),1)*E121</f>
        <v>2.2470074835584475</v>
      </c>
      <c r="H121" s="2">
        <f>INDEX(角色属性!$AL$8:$AL$107,MATCH(D121,角色属性!$I$8:$I$107,0),1)</f>
        <v>6478</v>
      </c>
      <c r="I121" s="2">
        <f>INDEX(角色属性!$Y$8:$Y$107,MATCH(D121,角色属性!$I$8:$I$107,0),1)</f>
        <v>68</v>
      </c>
      <c r="J121" s="28">
        <f>H121*10*(1+VLOOKUP(I121,技能效果!$B$2:$D$101,3,FALSE))</f>
        <v>82141.040000000008</v>
      </c>
      <c r="K121" s="28">
        <f>H121*10*(1+VLOOKUP(I121,技能效果!$B$2:$D$101,3,FALSE))*(1+G121)</f>
        <v>266712.57158727379</v>
      </c>
      <c r="L121" s="2">
        <f t="shared" si="19"/>
        <v>120</v>
      </c>
      <c r="M121" s="28">
        <f t="shared" si="20"/>
        <v>89345.520000000019</v>
      </c>
      <c r="N121" s="28">
        <f t="shared" si="21"/>
        <v>273593.8995751139</v>
      </c>
      <c r="O121" s="62">
        <f t="shared" si="31"/>
        <v>261892</v>
      </c>
      <c r="P121" s="62">
        <f t="shared" si="32"/>
        <v>84178</v>
      </c>
      <c r="Q121" s="64">
        <f t="shared" si="30"/>
        <v>3900</v>
      </c>
      <c r="R121" s="67">
        <v>1</v>
      </c>
      <c r="S121" s="67">
        <v>1</v>
      </c>
      <c r="T121" s="67">
        <v>1</v>
      </c>
      <c r="U121" s="67">
        <v>1</v>
      </c>
      <c r="V121" s="67">
        <v>1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64">
        <f>INDEX(角色属性!AM$8:AM$107,MATCH($D121,角色属性!$I$8:$I$107,0),1)</f>
        <v>319620</v>
      </c>
      <c r="AC121" s="64">
        <f>INDEX(角色属性!AN$8:AN$107,MATCH($D121,角色属性!$I$8:$I$107,0),1)</f>
        <v>31962</v>
      </c>
      <c r="AD121" s="64">
        <f>INDEX(角色属性!AO$8:AO$107,MATCH($D121,角色属性!$I$8:$I$107,0),1)</f>
        <v>15981</v>
      </c>
      <c r="AE121" s="64">
        <f>INDEX(角色属性!AP$8:AP$107,MATCH($D121,角色属性!$I$8:$I$107,0),1)</f>
        <v>12784.8</v>
      </c>
      <c r="AF121" s="64">
        <f>INDEX(角色属性!AQ$8:AQ$107,MATCH($D121,角色属性!$I$8:$I$107,0),1)</f>
        <v>12784.8</v>
      </c>
      <c r="AG121" s="64">
        <f>$P121/10/(1+VLOOKUP(I121,技能效果!$B$2:$D$101,3,FALSE))*怪物属性规划!A$18*INDEX(怪物属性等级系数!$A$2:$A$101,MATCH(D121,怪物属性等级系数!$D$2:$D$101,0),1)*R121+W121</f>
        <v>92582.599905092298</v>
      </c>
      <c r="AH121" s="64">
        <f>$P121/10/(1+VLOOKUP($I121,技能效果!$B$2:$D$101,3,FALSE))*怪物属性规划!B$18*S121+X121</f>
        <v>6638.6435331230268</v>
      </c>
      <c r="AI121" s="64">
        <f>$P121/10/(1+VLOOKUP($I121,技能效果!$B$2:$D$101,3,FALSE))*怪物属性规划!C$18*T121+Y121</f>
        <v>6638.6435331230268</v>
      </c>
      <c r="AJ121" s="64">
        <f>$P121/10/(1+VLOOKUP($I121,技能效果!$B$2:$D$101,3,FALSE))*怪物属性规划!D$18*U121+Z121</f>
        <v>5310.9148264984215</v>
      </c>
      <c r="AK121" s="64">
        <f>$P121/10/(1+VLOOKUP($I121,技能效果!$B$2:$D$101,3,FALSE))*怪物属性规划!E$18*V121+AA121</f>
        <v>5310.9148264984215</v>
      </c>
      <c r="AL121" s="67">
        <f>INDEX(角色属性!BB$8:BB$107,MATCH($D121,角色属性!$I$8:$I$107,0),1)</f>
        <v>1.6700000000000006</v>
      </c>
      <c r="AM121" s="64">
        <f>INDEX(角色属性!BC$8:BC$107,MATCH($D121,角色属性!$I$8:$I$107,0),1)</f>
        <v>15182</v>
      </c>
      <c r="AN121" s="64">
        <f>INDEX(角色属性!BD$8:BD$107,MATCH($D121,角色属性!$I$8:$I$107,0),1)</f>
        <v>2538</v>
      </c>
      <c r="AO121" s="69">
        <f t="shared" si="22"/>
        <v>0.50477372991842884</v>
      </c>
      <c r="AP121" s="69">
        <f t="shared" si="23"/>
        <v>0.93621472586501009</v>
      </c>
      <c r="AQ121" s="64">
        <f>AL121*角色属性!$BA$1*(AC121*(1-AO121)+MAX(AF121-AJ121,0))</f>
        <v>77829.706107614868</v>
      </c>
      <c r="AR121" s="64">
        <f>角色属性!$BA$1*(AH121*(1-AP121)+MAX(AK121-AE121,0))</f>
        <v>846.89539528946045</v>
      </c>
      <c r="AS121" s="73">
        <f t="shared" si="24"/>
        <v>0.66086305984417559</v>
      </c>
      <c r="AT121" s="73">
        <f t="shared" si="25"/>
        <v>0.44057537322945034</v>
      </c>
      <c r="AU121" s="73">
        <f t="shared" si="26"/>
        <v>0.3304315299220878</v>
      </c>
      <c r="AV121" s="73">
        <f t="shared" si="27"/>
        <v>377.4019811393083</v>
      </c>
      <c r="AW121" s="73">
        <f t="shared" si="28"/>
        <v>251.60132075953885</v>
      </c>
      <c r="AX121" s="2" t="str">
        <f t="shared" si="29"/>
        <v>r_guanqia_119</v>
      </c>
      <c r="AY121" s="2">
        <f>ROUND(($P121*R121/10/$H121/(1+VLOOKUP($I121,技能效果!$B$2:$D$101,3,FALSE))-1)*10000,0)</f>
        <v>248</v>
      </c>
      <c r="AZ121" s="2">
        <f>ROUND(($P121*S121/10/$H121/(1+VLOOKUP($I121,技能效果!$B$2:$D$101,3,FALSE))-1)*10000,0)</f>
        <v>248</v>
      </c>
      <c r="BA121" s="2">
        <f>ROUND(($P121*T121/10/$H121/(1+VLOOKUP($I121,技能效果!$B$2:$D$101,3,FALSE))-1)*10000,0)</f>
        <v>248</v>
      </c>
      <c r="BB121" s="2">
        <f>ROUND(($P121*U121/10/$H121/(1+VLOOKUP($I121,技能效果!$B$2:$D$101,3,FALSE))-1)*10000,0)</f>
        <v>248</v>
      </c>
      <c r="BC121" s="2">
        <f>ROUND(($P121*V121/10/$H121/(1+VLOOKUP($I121,技能效果!$B$2:$D$101,3,FALSE))-1)*10000,0)</f>
        <v>248</v>
      </c>
    </row>
    <row r="122" spans="2:55" x14ac:dyDescent="0.15">
      <c r="B122" s="83"/>
      <c r="C122" s="2">
        <v>120</v>
      </c>
      <c r="D122" s="2">
        <f t="shared" si="33"/>
        <v>70</v>
      </c>
      <c r="E122" s="2">
        <v>2</v>
      </c>
      <c r="F122" s="28">
        <f>INDEX([3]宠物属性!$AL$8:$AL$107,MATCH(D122,[3]宠物属性!$I$8:$I$107,0),1)</f>
        <v>261110.63560752003</v>
      </c>
      <c r="G122" s="68">
        <f>F122/INDEX(角色属性!$AI$8:$AI$107,MATCH(D122,角色属性!$I$8:$I$107,0),1)*E122</f>
        <v>2.0622005398268861</v>
      </c>
      <c r="H122" s="2">
        <f>INDEX(角色属性!$AL$8:$AL$107,MATCH(D122,角色属性!$I$8:$I$107,0),1)</f>
        <v>7002</v>
      </c>
      <c r="I122" s="2">
        <f>INDEX(角色属性!$Y$8:$Y$107,MATCH(D122,角色属性!$I$8:$I$107,0),1)</f>
        <v>70</v>
      </c>
      <c r="J122" s="28">
        <f>H122*10*(1+VLOOKUP(I122,技能效果!$B$2:$D$101,3,FALSE))</f>
        <v>89345.520000000019</v>
      </c>
      <c r="K122" s="28">
        <f>H122*10*(1+VLOOKUP(I122,技能效果!$B$2:$D$101,3,FALSE))*(1+G122)</f>
        <v>273593.8995751139</v>
      </c>
      <c r="L122" s="2">
        <f t="shared" si="19"/>
        <v>120</v>
      </c>
      <c r="M122" s="28">
        <f t="shared" si="20"/>
        <v>89345.520000000019</v>
      </c>
      <c r="N122" s="28">
        <f t="shared" si="21"/>
        <v>273593.8995751139</v>
      </c>
      <c r="O122" s="62">
        <f t="shared" si="31"/>
        <v>273594</v>
      </c>
      <c r="P122" s="62">
        <f t="shared" si="32"/>
        <v>89346</v>
      </c>
      <c r="Q122" s="64">
        <f t="shared" si="30"/>
        <v>11702</v>
      </c>
      <c r="R122" s="67">
        <v>1</v>
      </c>
      <c r="S122" s="67">
        <v>1</v>
      </c>
      <c r="T122" s="67">
        <v>1</v>
      </c>
      <c r="U122" s="67">
        <v>1</v>
      </c>
      <c r="V122" s="67">
        <v>1</v>
      </c>
      <c r="W122" s="28">
        <v>0</v>
      </c>
      <c r="X122" s="28">
        <v>0</v>
      </c>
      <c r="Y122" s="28">
        <v>0</v>
      </c>
      <c r="Z122" s="28">
        <v>0</v>
      </c>
      <c r="AA122" s="28">
        <v>0</v>
      </c>
      <c r="AB122" s="64">
        <f>INDEX(角色属性!AM$8:AM$107,MATCH($D122,角色属性!$I$8:$I$107,0),1)</f>
        <v>396920</v>
      </c>
      <c r="AC122" s="64">
        <f>INDEX(角色属性!AN$8:AN$107,MATCH($D122,角色属性!$I$8:$I$107,0),1)</f>
        <v>39692</v>
      </c>
      <c r="AD122" s="64">
        <f>INDEX(角色属性!AO$8:AO$107,MATCH($D122,角色属性!$I$8:$I$107,0),1)</f>
        <v>19846</v>
      </c>
      <c r="AE122" s="64">
        <f>INDEX(角色属性!AP$8:AP$107,MATCH($D122,角色属性!$I$8:$I$107,0),1)</f>
        <v>15876.8</v>
      </c>
      <c r="AF122" s="64">
        <f>INDEX(角色属性!AQ$8:AQ$107,MATCH($D122,角色属性!$I$8:$I$107,0),1)</f>
        <v>15876.8</v>
      </c>
      <c r="AG122" s="64">
        <f>$P122/10/(1+VLOOKUP(I122,技能效果!$B$2:$D$101,3,FALSE))*怪物属性规划!A$18*INDEX(怪物属性等级系数!$A$2:$A$101,MATCH(D122,怪物属性等级系数!$D$2:$D$101,0),1)*R122+W122</f>
        <v>99984.665492054264</v>
      </c>
      <c r="AH122" s="64">
        <f>$P122/10/(1+VLOOKUP($I122,技能效果!$B$2:$D$101,3,FALSE))*怪物属性规划!B$18*S122+X122</f>
        <v>7002.0376175548581</v>
      </c>
      <c r="AI122" s="64">
        <f>$P122/10/(1+VLOOKUP($I122,技能效果!$B$2:$D$101,3,FALSE))*怪物属性规划!C$18*T122+Y122</f>
        <v>7002.0376175548581</v>
      </c>
      <c r="AJ122" s="64">
        <f>$P122/10/(1+VLOOKUP($I122,技能效果!$B$2:$D$101,3,FALSE))*怪物属性规划!D$18*U122+Z122</f>
        <v>5601.6300940438869</v>
      </c>
      <c r="AK122" s="64">
        <f>$P122/10/(1+VLOOKUP($I122,技能效果!$B$2:$D$101,3,FALSE))*怪物属性规划!E$18*V122+AA122</f>
        <v>5601.6300940438869</v>
      </c>
      <c r="AL122" s="67">
        <f>INDEX(角色属性!BB$8:BB$107,MATCH($D122,角色属性!$I$8:$I$107,0),1)</f>
        <v>1.6900000000000006</v>
      </c>
      <c r="AM122" s="64">
        <f>INDEX(角色属性!BC$8:BC$107,MATCH($D122,角色属性!$I$8:$I$107,0),1)</f>
        <v>16809</v>
      </c>
      <c r="AN122" s="64">
        <f>INDEX(角色属性!BD$8:BD$107,MATCH($D122,角色属性!$I$8:$I$107,0),1)</f>
        <v>2684</v>
      </c>
      <c r="AO122" s="69">
        <f t="shared" si="22"/>
        <v>0.49264680461067889</v>
      </c>
      <c r="AP122" s="69">
        <f t="shared" si="23"/>
        <v>0.94516301895145671</v>
      </c>
      <c r="AQ122" s="64">
        <f>AL122*角色属性!$BA$1*(AC122*(1-AO122)+MAX(AF122-AJ122,0))</f>
        <v>102796.05132823982</v>
      </c>
      <c r="AR122" s="64">
        <f>角色属性!$BA$1*(AH122*(1-AP122)+MAX(AK122-AE122,0))</f>
        <v>767.94120827008589</v>
      </c>
      <c r="AS122" s="73">
        <f t="shared" si="24"/>
        <v>0.54036157679935004</v>
      </c>
      <c r="AT122" s="73">
        <f t="shared" si="25"/>
        <v>0.36024105119956668</v>
      </c>
      <c r="AU122" s="73">
        <f t="shared" si="26"/>
        <v>0.27018078839967502</v>
      </c>
      <c r="AV122" s="73">
        <f t="shared" si="27"/>
        <v>516.86248338479936</v>
      </c>
      <c r="AW122" s="73">
        <f t="shared" si="28"/>
        <v>344.57498892319956</v>
      </c>
      <c r="AX122" s="2" t="str">
        <f t="shared" si="29"/>
        <v>r_guanqia_120</v>
      </c>
      <c r="AY122" s="2">
        <f>ROUND(($P122*R122/10/$H122/(1+VLOOKUP($I122,技能效果!$B$2:$D$101,3,FALSE))-1)*10000,0)</f>
        <v>0</v>
      </c>
      <c r="AZ122" s="2">
        <f>ROUND(($P122*S122/10/$H122/(1+VLOOKUP($I122,技能效果!$B$2:$D$101,3,FALSE))-1)*10000,0)</f>
        <v>0</v>
      </c>
      <c r="BA122" s="2">
        <f>ROUND(($P122*T122/10/$H122/(1+VLOOKUP($I122,技能效果!$B$2:$D$101,3,FALSE))-1)*10000,0)</f>
        <v>0</v>
      </c>
      <c r="BB122" s="2">
        <f>ROUND(($P122*U122/10/$H122/(1+VLOOKUP($I122,技能效果!$B$2:$D$101,3,FALSE))-1)*10000,0)</f>
        <v>0</v>
      </c>
      <c r="BC122" s="2">
        <f>ROUND(($P122*V122/10/$H122/(1+VLOOKUP($I122,技能效果!$B$2:$D$101,3,FALSE))-1)*10000,0)</f>
        <v>0</v>
      </c>
    </row>
    <row r="123" spans="2:55" x14ac:dyDescent="0.15">
      <c r="B123" s="83" t="s">
        <v>124</v>
      </c>
      <c r="C123" s="2">
        <v>121</v>
      </c>
      <c r="D123" s="2">
        <f t="shared" si="33"/>
        <v>70</v>
      </c>
      <c r="E123" s="2">
        <v>2</v>
      </c>
      <c r="F123" s="28">
        <f>INDEX([3]宠物属性!$AL$8:$AL$107,MATCH(D123,[3]宠物属性!$I$8:$I$107,0),1)</f>
        <v>261110.63560752003</v>
      </c>
      <c r="G123" s="68">
        <f>F123/INDEX(角色属性!$AI$8:$AI$107,MATCH(D123,角色属性!$I$8:$I$107,0),1)*E123</f>
        <v>2.0622005398268861</v>
      </c>
      <c r="H123" s="2">
        <f>INDEX(角色属性!$AL$8:$AL$107,MATCH(D123,角色属性!$I$8:$I$107,0),1)</f>
        <v>7002</v>
      </c>
      <c r="I123" s="2">
        <f>INDEX(角色属性!$Y$8:$Y$107,MATCH(D123,角色属性!$I$8:$I$107,0),1)</f>
        <v>70</v>
      </c>
      <c r="J123" s="28">
        <f>H123*10*(1+VLOOKUP(I123,技能效果!$B$2:$D$101,3,FALSE))</f>
        <v>89345.520000000019</v>
      </c>
      <c r="K123" s="28">
        <f>H123*10*(1+VLOOKUP(I123,技能效果!$B$2:$D$101,3,FALSE))*(1+G123)</f>
        <v>273593.8995751139</v>
      </c>
      <c r="L123" s="2">
        <f t="shared" si="19"/>
        <v>130</v>
      </c>
      <c r="M123" s="28">
        <f t="shared" si="20"/>
        <v>109395.36000000002</v>
      </c>
      <c r="N123" s="28">
        <f t="shared" si="21"/>
        <v>312459.73577281425</v>
      </c>
      <c r="O123" s="62">
        <f t="shared" si="31"/>
        <v>274760</v>
      </c>
      <c r="P123" s="62">
        <f t="shared" si="32"/>
        <v>89947</v>
      </c>
      <c r="Q123" s="64">
        <f t="shared" si="30"/>
        <v>1166</v>
      </c>
      <c r="R123" s="67">
        <v>1</v>
      </c>
      <c r="S123" s="67">
        <v>1</v>
      </c>
      <c r="T123" s="67">
        <v>1</v>
      </c>
      <c r="U123" s="67">
        <v>1</v>
      </c>
      <c r="V123" s="67">
        <v>1</v>
      </c>
      <c r="W123" s="28">
        <v>0</v>
      </c>
      <c r="X123" s="28">
        <v>0</v>
      </c>
      <c r="Y123" s="28">
        <v>0</v>
      </c>
      <c r="Z123" s="28">
        <v>0</v>
      </c>
      <c r="AA123" s="28">
        <v>0</v>
      </c>
      <c r="AB123" s="64">
        <f>INDEX(角色属性!AM$8:AM$107,MATCH($D123,角色属性!$I$8:$I$107,0),1)</f>
        <v>396920</v>
      </c>
      <c r="AC123" s="64">
        <f>INDEX(角色属性!AN$8:AN$107,MATCH($D123,角色属性!$I$8:$I$107,0),1)</f>
        <v>39692</v>
      </c>
      <c r="AD123" s="64">
        <f>INDEX(角色属性!AO$8:AO$107,MATCH($D123,角色属性!$I$8:$I$107,0),1)</f>
        <v>19846</v>
      </c>
      <c r="AE123" s="64">
        <f>INDEX(角色属性!AP$8:AP$107,MATCH($D123,角色属性!$I$8:$I$107,0),1)</f>
        <v>15876.8</v>
      </c>
      <c r="AF123" s="64">
        <f>INDEX(角色属性!AQ$8:AQ$107,MATCH($D123,角色属性!$I$8:$I$107,0),1)</f>
        <v>15876.8</v>
      </c>
      <c r="AG123" s="64">
        <f>$P123/10/(1+VLOOKUP(I123,技能效果!$B$2:$D$101,3,FALSE))*怪物属性规划!A$18*INDEX(怪物属性等级系数!$A$2:$A$101,MATCH(D123,怪物属性等级系数!$D$2:$D$101,0),1)*R123+W123</f>
        <v>100657.22815810225</v>
      </c>
      <c r="AH123" s="64">
        <f>$P123/10/(1+VLOOKUP($I123,技能效果!$B$2:$D$101,3,FALSE))*怪物属性规划!B$18*S123+X123</f>
        <v>7049.1379310344819</v>
      </c>
      <c r="AI123" s="64">
        <f>$P123/10/(1+VLOOKUP($I123,技能效果!$B$2:$D$101,3,FALSE))*怪物属性规划!C$18*T123+Y123</f>
        <v>7049.1379310344819</v>
      </c>
      <c r="AJ123" s="64">
        <f>$P123/10/(1+VLOOKUP($I123,技能效果!$B$2:$D$101,3,FALSE))*怪物属性规划!D$18*U123+Z123</f>
        <v>5639.3103448275861</v>
      </c>
      <c r="AK123" s="64">
        <f>$P123/10/(1+VLOOKUP($I123,技能效果!$B$2:$D$101,3,FALSE))*怪物属性规划!E$18*V123+AA123</f>
        <v>5639.3103448275861</v>
      </c>
      <c r="AL123" s="67">
        <f>INDEX(角色属性!BB$8:BB$107,MATCH($D123,角色属性!$I$8:$I$107,0),1)</f>
        <v>1.6900000000000006</v>
      </c>
      <c r="AM123" s="64">
        <f>INDEX(角色属性!BC$8:BC$107,MATCH($D123,角色属性!$I$8:$I$107,0),1)</f>
        <v>16809</v>
      </c>
      <c r="AN123" s="64">
        <f>INDEX(角色属性!BD$8:BD$107,MATCH($D123,角色属性!$I$8:$I$107,0),1)</f>
        <v>2684</v>
      </c>
      <c r="AO123" s="69">
        <f t="shared" si="22"/>
        <v>0.49432255223967725</v>
      </c>
      <c r="AP123" s="69">
        <f t="shared" si="23"/>
        <v>0.94516301895145671</v>
      </c>
      <c r="AQ123" s="64">
        <f>AL123*角色属性!$BA$1*(AC123*(1-AO123)+MAX(AF123-AJ123,0))</f>
        <v>102443.87552146202</v>
      </c>
      <c r="AR123" s="64">
        <f>角色属性!$BA$1*(AH123*(1-AP123)+MAX(AK123-AE123,0))</f>
        <v>773.10688626541105</v>
      </c>
      <c r="AS123" s="73">
        <f t="shared" si="24"/>
        <v>0.54586652472300712</v>
      </c>
      <c r="AT123" s="73">
        <f t="shared" si="25"/>
        <v>0.3639110164820048</v>
      </c>
      <c r="AU123" s="73">
        <f t="shared" si="26"/>
        <v>0.27293326236150356</v>
      </c>
      <c r="AV123" s="73">
        <f t="shared" si="27"/>
        <v>513.40895683567305</v>
      </c>
      <c r="AW123" s="73">
        <f t="shared" si="28"/>
        <v>342.27263789044866</v>
      </c>
      <c r="AX123" s="2" t="str">
        <f t="shared" si="29"/>
        <v>r_guanqia_121</v>
      </c>
      <c r="AY123" s="2">
        <f>ROUND(($P123*R123/10/$H123/(1+VLOOKUP($I123,技能效果!$B$2:$D$101,3,FALSE))-1)*10000,0)</f>
        <v>67</v>
      </c>
      <c r="AZ123" s="2">
        <f>ROUND(($P123*S123/10/$H123/(1+VLOOKUP($I123,技能效果!$B$2:$D$101,3,FALSE))-1)*10000,0)</f>
        <v>67</v>
      </c>
      <c r="BA123" s="2">
        <f>ROUND(($P123*T123/10/$H123/(1+VLOOKUP($I123,技能效果!$B$2:$D$101,3,FALSE))-1)*10000,0)</f>
        <v>67</v>
      </c>
      <c r="BB123" s="2">
        <f>ROUND(($P123*U123/10/$H123/(1+VLOOKUP($I123,技能效果!$B$2:$D$101,3,FALSE))-1)*10000,0)</f>
        <v>67</v>
      </c>
      <c r="BC123" s="2">
        <f>ROUND(($P123*V123/10/$H123/(1+VLOOKUP($I123,技能效果!$B$2:$D$101,3,FALSE))-1)*10000,0)</f>
        <v>67</v>
      </c>
    </row>
    <row r="124" spans="2:55" x14ac:dyDescent="0.15">
      <c r="B124" s="83"/>
      <c r="C124" s="2">
        <v>122</v>
      </c>
      <c r="D124" s="2">
        <f t="shared" si="33"/>
        <v>70</v>
      </c>
      <c r="E124" s="2">
        <v>2</v>
      </c>
      <c r="F124" s="28">
        <f>INDEX([3]宠物属性!$AL$8:$AL$107,MATCH(D124,[3]宠物属性!$I$8:$I$107,0),1)</f>
        <v>261110.63560752003</v>
      </c>
      <c r="G124" s="68">
        <f>F124/INDEX(角色属性!$AI$8:$AI$107,MATCH(D124,角色属性!$I$8:$I$107,0),1)*E124</f>
        <v>2.0622005398268861</v>
      </c>
      <c r="H124" s="2">
        <f>INDEX(角色属性!$AL$8:$AL$107,MATCH(D124,角色属性!$I$8:$I$107,0),1)</f>
        <v>7002</v>
      </c>
      <c r="I124" s="2">
        <f>INDEX(角色属性!$Y$8:$Y$107,MATCH(D124,角色属性!$I$8:$I$107,0),1)</f>
        <v>70</v>
      </c>
      <c r="J124" s="28">
        <f>H124*10*(1+VLOOKUP(I124,技能效果!$B$2:$D$101,3,FALSE))</f>
        <v>89345.520000000019</v>
      </c>
      <c r="K124" s="28">
        <f>H124*10*(1+VLOOKUP(I124,技能效果!$B$2:$D$101,3,FALSE))*(1+G124)</f>
        <v>273593.8995751139</v>
      </c>
      <c r="L124" s="2">
        <f t="shared" si="19"/>
        <v>130</v>
      </c>
      <c r="M124" s="28">
        <f t="shared" si="20"/>
        <v>109395.36000000002</v>
      </c>
      <c r="N124" s="28">
        <f t="shared" si="21"/>
        <v>312459.73577281425</v>
      </c>
      <c r="O124" s="62">
        <f t="shared" si="31"/>
        <v>276703</v>
      </c>
      <c r="P124" s="62">
        <f t="shared" si="32"/>
        <v>90950</v>
      </c>
      <c r="Q124" s="64">
        <f t="shared" si="30"/>
        <v>1943</v>
      </c>
      <c r="R124" s="67">
        <v>1</v>
      </c>
      <c r="S124" s="67">
        <v>1</v>
      </c>
      <c r="T124" s="67">
        <v>1</v>
      </c>
      <c r="U124" s="67">
        <v>1</v>
      </c>
      <c r="V124" s="67">
        <v>1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64">
        <f>INDEX(角色属性!AM$8:AM$107,MATCH($D124,角色属性!$I$8:$I$107,0),1)</f>
        <v>396920</v>
      </c>
      <c r="AC124" s="64">
        <f>INDEX(角色属性!AN$8:AN$107,MATCH($D124,角色属性!$I$8:$I$107,0),1)</f>
        <v>39692</v>
      </c>
      <c r="AD124" s="64">
        <f>INDEX(角色属性!AO$8:AO$107,MATCH($D124,角色属性!$I$8:$I$107,0),1)</f>
        <v>19846</v>
      </c>
      <c r="AE124" s="64">
        <f>INDEX(角色属性!AP$8:AP$107,MATCH($D124,角色属性!$I$8:$I$107,0),1)</f>
        <v>15876.8</v>
      </c>
      <c r="AF124" s="64">
        <f>INDEX(角色属性!AQ$8:AQ$107,MATCH($D124,角色属性!$I$8:$I$107,0),1)</f>
        <v>15876.8</v>
      </c>
      <c r="AG124" s="64">
        <f>$P124/10/(1+VLOOKUP(I124,技能效果!$B$2:$D$101,3,FALSE))*怪物属性规划!A$18*INDEX(怪物属性等级系数!$A$2:$A$101,MATCH(D124,怪物属性等级系数!$D$2:$D$101,0),1)*R124+W124</f>
        <v>101779.65803172314</v>
      </c>
      <c r="AH124" s="64">
        <f>$P124/10/(1+VLOOKUP($I124,技能效果!$B$2:$D$101,3,FALSE))*怪物属性规划!B$18*S124+X124</f>
        <v>7127.742946708463</v>
      </c>
      <c r="AI124" s="64">
        <f>$P124/10/(1+VLOOKUP($I124,技能效果!$B$2:$D$101,3,FALSE))*怪物属性规划!C$18*T124+Y124</f>
        <v>7127.742946708463</v>
      </c>
      <c r="AJ124" s="64">
        <f>$P124/10/(1+VLOOKUP($I124,技能效果!$B$2:$D$101,3,FALSE))*怪物属性规划!D$18*U124+Z124</f>
        <v>5702.1943573667704</v>
      </c>
      <c r="AK124" s="64">
        <f>$P124/10/(1+VLOOKUP($I124,技能效果!$B$2:$D$101,3,FALSE))*怪物属性规划!E$18*V124+AA124</f>
        <v>5702.1943573667704</v>
      </c>
      <c r="AL124" s="67">
        <f>INDEX(角色属性!BB$8:BB$107,MATCH($D124,角色属性!$I$8:$I$107,0),1)</f>
        <v>1.6900000000000006</v>
      </c>
      <c r="AM124" s="64">
        <f>INDEX(角色属性!BC$8:BC$107,MATCH($D124,角色属性!$I$8:$I$107,0),1)</f>
        <v>16809</v>
      </c>
      <c r="AN124" s="64">
        <f>INDEX(角色属性!BD$8:BD$107,MATCH($D124,角色属性!$I$8:$I$107,0),1)</f>
        <v>2684</v>
      </c>
      <c r="AO124" s="69">
        <f t="shared" si="22"/>
        <v>0.49709466516171091</v>
      </c>
      <c r="AP124" s="69">
        <f t="shared" si="23"/>
        <v>0.94516301895145671</v>
      </c>
      <c r="AQ124" s="64">
        <f>AL124*角色属性!$BA$1*(AC124*(1-AO124)+MAX(AF124-AJ124,0))</f>
        <v>101859.42377245697</v>
      </c>
      <c r="AR124" s="64">
        <f>角色属性!$BA$1*(AH124*(1-AP124)+MAX(AK124-AE124,0))</f>
        <v>781.72780977508012</v>
      </c>
      <c r="AS124" s="73">
        <f t="shared" si="24"/>
        <v>0.55512050203997043</v>
      </c>
      <c r="AT124" s="73">
        <f t="shared" si="25"/>
        <v>0.37008033469331364</v>
      </c>
      <c r="AU124" s="73">
        <f t="shared" si="26"/>
        <v>0.27756025101998522</v>
      </c>
      <c r="AV124" s="73">
        <f t="shared" si="27"/>
        <v>507.74706366683108</v>
      </c>
      <c r="AW124" s="73">
        <f t="shared" si="28"/>
        <v>338.49804244455402</v>
      </c>
      <c r="AX124" s="2" t="str">
        <f t="shared" si="29"/>
        <v>r_guanqia_122</v>
      </c>
      <c r="AY124" s="2">
        <f>ROUND(($P124*R124/10/$H124/(1+VLOOKUP($I124,技能效果!$B$2:$D$101,3,FALSE))-1)*10000,0)</f>
        <v>180</v>
      </c>
      <c r="AZ124" s="2">
        <f>ROUND(($P124*S124/10/$H124/(1+VLOOKUP($I124,技能效果!$B$2:$D$101,3,FALSE))-1)*10000,0)</f>
        <v>180</v>
      </c>
      <c r="BA124" s="2">
        <f>ROUND(($P124*T124/10/$H124/(1+VLOOKUP($I124,技能效果!$B$2:$D$101,3,FALSE))-1)*10000,0)</f>
        <v>180</v>
      </c>
      <c r="BB124" s="2">
        <f>ROUND(($P124*U124/10/$H124/(1+VLOOKUP($I124,技能效果!$B$2:$D$101,3,FALSE))-1)*10000,0)</f>
        <v>180</v>
      </c>
      <c r="BC124" s="2">
        <f>ROUND(($P124*V124/10/$H124/(1+VLOOKUP($I124,技能效果!$B$2:$D$101,3,FALSE))-1)*10000,0)</f>
        <v>180</v>
      </c>
    </row>
    <row r="125" spans="2:55" x14ac:dyDescent="0.15">
      <c r="B125" s="83"/>
      <c r="C125" s="2">
        <v>123</v>
      </c>
      <c r="D125" s="2">
        <f t="shared" si="33"/>
        <v>71</v>
      </c>
      <c r="E125" s="2">
        <v>2</v>
      </c>
      <c r="F125" s="28">
        <f>INDEX([3]宠物属性!$AL$8:$AL$107,MATCH(D125,[3]宠物属性!$I$8:$I$107,0),1)</f>
        <v>263693.94680567225</v>
      </c>
      <c r="G125" s="68">
        <f>F125/INDEX(角色属性!$AI$8:$AI$107,MATCH(D125,角色属性!$I$8:$I$107,0),1)*E125</f>
        <v>2.0661006513081075</v>
      </c>
      <c r="H125" s="2">
        <f>INDEX(角色属性!$AL$8:$AL$107,MATCH(D125,角色属性!$I$8:$I$107,0),1)</f>
        <v>7276</v>
      </c>
      <c r="I125" s="2">
        <f>INDEX(角色属性!$Y$8:$Y$107,MATCH(D125,角色属性!$I$8:$I$107,0),1)</f>
        <v>71</v>
      </c>
      <c r="J125" s="28">
        <f>H125*10*(1+VLOOKUP(I125,技能效果!$B$2:$D$101,3,FALSE))</f>
        <v>93132.800000000017</v>
      </c>
      <c r="K125" s="28">
        <f>H125*10*(1+VLOOKUP(I125,技能效果!$B$2:$D$101,3,FALSE))*(1+G125)</f>
        <v>285554.53873814776</v>
      </c>
      <c r="L125" s="2">
        <f t="shared" si="19"/>
        <v>130</v>
      </c>
      <c r="M125" s="28">
        <f t="shared" si="20"/>
        <v>109395.36000000002</v>
      </c>
      <c r="N125" s="28">
        <f t="shared" si="21"/>
        <v>312459.73577281425</v>
      </c>
      <c r="O125" s="62">
        <f t="shared" si="31"/>
        <v>279424</v>
      </c>
      <c r="P125" s="62">
        <f t="shared" si="32"/>
        <v>92353</v>
      </c>
      <c r="Q125" s="64">
        <f t="shared" si="30"/>
        <v>2721</v>
      </c>
      <c r="R125" s="67">
        <v>1</v>
      </c>
      <c r="S125" s="67">
        <v>1</v>
      </c>
      <c r="T125" s="67">
        <v>1</v>
      </c>
      <c r="U125" s="67">
        <v>1</v>
      </c>
      <c r="V125" s="67">
        <v>1</v>
      </c>
      <c r="W125" s="28">
        <v>0</v>
      </c>
      <c r="X125" s="28">
        <v>0</v>
      </c>
      <c r="Y125" s="28">
        <v>0</v>
      </c>
      <c r="Z125" s="28">
        <v>0</v>
      </c>
      <c r="AA125" s="28">
        <v>0</v>
      </c>
      <c r="AB125" s="64">
        <f>INDEX(角色属性!AM$8:AM$107,MATCH($D125,角色属性!$I$8:$I$107,0),1)</f>
        <v>398840</v>
      </c>
      <c r="AC125" s="64">
        <f>INDEX(角色属性!AN$8:AN$107,MATCH($D125,角色属性!$I$8:$I$107,0),1)</f>
        <v>39884</v>
      </c>
      <c r="AD125" s="64">
        <f>INDEX(角色属性!AO$8:AO$107,MATCH($D125,角色属性!$I$8:$I$107,0),1)</f>
        <v>19942</v>
      </c>
      <c r="AE125" s="64">
        <f>INDEX(角色属性!AP$8:AP$107,MATCH($D125,角色属性!$I$8:$I$107,0),1)</f>
        <v>15953.6</v>
      </c>
      <c r="AF125" s="64">
        <f>INDEX(角色属性!AQ$8:AQ$107,MATCH($D125,角色属性!$I$8:$I$107,0),1)</f>
        <v>15953.6</v>
      </c>
      <c r="AG125" s="64">
        <f>$P125/10/(1+VLOOKUP(I125,技能效果!$B$2:$D$101,3,FALSE))*怪物属性规划!A$18*INDEX(怪物属性等级系数!$A$2:$A$101,MATCH(D125,怪物属性等级系数!$D$2:$D$101,0),1)*R125+W125</f>
        <v>104269.00270522665</v>
      </c>
      <c r="AH125" s="64">
        <f>$P125/10/(1+VLOOKUP($I125,技能效果!$B$2:$D$101,3,FALSE))*怪物属性规划!B$18*S125+X125</f>
        <v>7215.0781249999982</v>
      </c>
      <c r="AI125" s="64">
        <f>$P125/10/(1+VLOOKUP($I125,技能效果!$B$2:$D$101,3,FALSE))*怪物属性规划!C$18*T125+Y125</f>
        <v>7215.0781249999982</v>
      </c>
      <c r="AJ125" s="64">
        <f>$P125/10/(1+VLOOKUP($I125,技能效果!$B$2:$D$101,3,FALSE))*怪物属性规划!D$18*U125+Z125</f>
        <v>5772.0624999999991</v>
      </c>
      <c r="AK125" s="64">
        <f>$P125/10/(1+VLOOKUP($I125,技能效果!$B$2:$D$101,3,FALSE))*怪物属性规划!E$18*V125+AA125</f>
        <v>5772.0624999999991</v>
      </c>
      <c r="AL125" s="67">
        <f>INDEX(角色属性!BB$8:BB$107,MATCH($D125,角色属性!$I$8:$I$107,0),1)</f>
        <v>1.7000000000000006</v>
      </c>
      <c r="AM125" s="64">
        <f>INDEX(角色属性!BC$8:BC$107,MATCH($D125,角色属性!$I$8:$I$107,0),1)</f>
        <v>17678</v>
      </c>
      <c r="AN125" s="64">
        <f>INDEX(角色属性!BD$8:BD$107,MATCH($D125,角色属性!$I$8:$I$107,0),1)</f>
        <v>2695</v>
      </c>
      <c r="AO125" s="69">
        <f t="shared" si="22"/>
        <v>0.48754019301770773</v>
      </c>
      <c r="AP125" s="69">
        <f t="shared" si="23"/>
        <v>0.94520113251608973</v>
      </c>
      <c r="AQ125" s="64">
        <f>AL125*角色属性!$BA$1*(AC125*(1-AO125)+MAX(AF125-AJ125,0))</f>
        <v>104109.64710171799</v>
      </c>
      <c r="AR125" s="64">
        <f>角色属性!$BA$1*(AH125*(1-AP125)+MAX(AK125-AE125,0))</f>
        <v>790.75622011586938</v>
      </c>
      <c r="AS125" s="73">
        <f t="shared" si="24"/>
        <v>0.55640591758542246</v>
      </c>
      <c r="AT125" s="73">
        <f t="shared" si="25"/>
        <v>0.37093727839028168</v>
      </c>
      <c r="AU125" s="73">
        <f t="shared" si="26"/>
        <v>0.27820295879271123</v>
      </c>
      <c r="AV125" s="73">
        <f t="shared" si="27"/>
        <v>504.37794841696984</v>
      </c>
      <c r="AW125" s="73">
        <f t="shared" si="28"/>
        <v>336.25196561131321</v>
      </c>
      <c r="AX125" s="2" t="str">
        <f t="shared" si="29"/>
        <v>r_guanqia_123</v>
      </c>
      <c r="AY125" s="2">
        <f>ROUND(($P125*R125/10/$H125/(1+VLOOKUP($I125,技能效果!$B$2:$D$101,3,FALSE))-1)*10000,0)</f>
        <v>-84</v>
      </c>
      <c r="AZ125" s="2">
        <f>ROUND(($P125*S125/10/$H125/(1+VLOOKUP($I125,技能效果!$B$2:$D$101,3,FALSE))-1)*10000,0)</f>
        <v>-84</v>
      </c>
      <c r="BA125" s="2">
        <f>ROUND(($P125*T125/10/$H125/(1+VLOOKUP($I125,技能效果!$B$2:$D$101,3,FALSE))-1)*10000,0)</f>
        <v>-84</v>
      </c>
      <c r="BB125" s="2">
        <f>ROUND(($P125*U125/10/$H125/(1+VLOOKUP($I125,技能效果!$B$2:$D$101,3,FALSE))-1)*10000,0)</f>
        <v>-84</v>
      </c>
      <c r="BC125" s="2">
        <f>ROUND(($P125*V125/10/$H125/(1+VLOOKUP($I125,技能效果!$B$2:$D$101,3,FALSE))-1)*10000,0)</f>
        <v>-84</v>
      </c>
    </row>
    <row r="126" spans="2:55" x14ac:dyDescent="0.15">
      <c r="B126" s="83"/>
      <c r="C126" s="2">
        <v>124</v>
      </c>
      <c r="D126" s="2">
        <f t="shared" si="33"/>
        <v>71</v>
      </c>
      <c r="E126" s="2">
        <v>2</v>
      </c>
      <c r="F126" s="28">
        <f>INDEX([3]宠物属性!$AL$8:$AL$107,MATCH(D126,[3]宠物属性!$I$8:$I$107,0),1)</f>
        <v>263693.94680567225</v>
      </c>
      <c r="G126" s="68">
        <f>F126/INDEX(角色属性!$AI$8:$AI$107,MATCH(D126,角色属性!$I$8:$I$107,0),1)*E126</f>
        <v>2.0661006513081075</v>
      </c>
      <c r="H126" s="2">
        <f>INDEX(角色属性!$AL$8:$AL$107,MATCH(D126,角色属性!$I$8:$I$107,0),1)</f>
        <v>7276</v>
      </c>
      <c r="I126" s="2">
        <f>INDEX(角色属性!$Y$8:$Y$107,MATCH(D126,角色属性!$I$8:$I$107,0),1)</f>
        <v>71</v>
      </c>
      <c r="J126" s="28">
        <f>H126*10*(1+VLOOKUP(I126,技能效果!$B$2:$D$101,3,FALSE))</f>
        <v>93132.800000000017</v>
      </c>
      <c r="K126" s="28">
        <f>H126*10*(1+VLOOKUP(I126,技能效果!$B$2:$D$101,3,FALSE))*(1+G126)</f>
        <v>285554.53873814776</v>
      </c>
      <c r="L126" s="2">
        <f t="shared" si="19"/>
        <v>130</v>
      </c>
      <c r="M126" s="28">
        <f t="shared" si="20"/>
        <v>109395.36000000002</v>
      </c>
      <c r="N126" s="28">
        <f t="shared" si="21"/>
        <v>312459.73577281425</v>
      </c>
      <c r="O126" s="62">
        <f t="shared" si="31"/>
        <v>282922</v>
      </c>
      <c r="P126" s="62">
        <f t="shared" si="32"/>
        <v>94157</v>
      </c>
      <c r="Q126" s="64">
        <f t="shared" si="30"/>
        <v>3498</v>
      </c>
      <c r="R126" s="67">
        <v>1</v>
      </c>
      <c r="S126" s="67">
        <v>1</v>
      </c>
      <c r="T126" s="67">
        <v>1</v>
      </c>
      <c r="U126" s="67">
        <v>1</v>
      </c>
      <c r="V126" s="67">
        <v>1</v>
      </c>
      <c r="W126" s="28">
        <v>0</v>
      </c>
      <c r="X126" s="28">
        <v>0</v>
      </c>
      <c r="Y126" s="28">
        <v>0</v>
      </c>
      <c r="Z126" s="28">
        <v>0</v>
      </c>
      <c r="AA126" s="28">
        <v>0</v>
      </c>
      <c r="AB126" s="64">
        <f>INDEX(角色属性!AM$8:AM$107,MATCH($D126,角色属性!$I$8:$I$107,0),1)</f>
        <v>398840</v>
      </c>
      <c r="AC126" s="64">
        <f>INDEX(角色属性!AN$8:AN$107,MATCH($D126,角色属性!$I$8:$I$107,0),1)</f>
        <v>39884</v>
      </c>
      <c r="AD126" s="64">
        <f>INDEX(角色属性!AO$8:AO$107,MATCH($D126,角色属性!$I$8:$I$107,0),1)</f>
        <v>19942</v>
      </c>
      <c r="AE126" s="64">
        <f>INDEX(角色属性!AP$8:AP$107,MATCH($D126,角色属性!$I$8:$I$107,0),1)</f>
        <v>15953.6</v>
      </c>
      <c r="AF126" s="64">
        <f>INDEX(角色属性!AQ$8:AQ$107,MATCH($D126,角色属性!$I$8:$I$107,0),1)</f>
        <v>15953.6</v>
      </c>
      <c r="AG126" s="64">
        <f>$P126/10/(1+VLOOKUP(I126,技能效果!$B$2:$D$101,3,FALSE))*怪物属性规划!A$18*INDEX(怪物属性等级系数!$A$2:$A$101,MATCH(D126,怪物属性等级系数!$D$2:$D$101,0),1)*R126+W126</f>
        <v>106305.76686968507</v>
      </c>
      <c r="AH126" s="64">
        <f>$P126/10/(1+VLOOKUP($I126,技能效果!$B$2:$D$101,3,FALSE))*怪物属性规划!B$18*S126+X126</f>
        <v>7356.0156249999991</v>
      </c>
      <c r="AI126" s="64">
        <f>$P126/10/(1+VLOOKUP($I126,技能效果!$B$2:$D$101,3,FALSE))*怪物属性规划!C$18*T126+Y126</f>
        <v>7356.0156249999991</v>
      </c>
      <c r="AJ126" s="64">
        <f>$P126/10/(1+VLOOKUP($I126,技能效果!$B$2:$D$101,3,FALSE))*怪物属性规划!D$18*U126+Z126</f>
        <v>5884.8125</v>
      </c>
      <c r="AK126" s="64">
        <f>$P126/10/(1+VLOOKUP($I126,技能效果!$B$2:$D$101,3,FALSE))*怪物属性规划!E$18*V126+AA126</f>
        <v>5884.8125</v>
      </c>
      <c r="AL126" s="67">
        <f>INDEX(角色属性!BB$8:BB$107,MATCH($D126,角色属性!$I$8:$I$107,0),1)</f>
        <v>1.7000000000000006</v>
      </c>
      <c r="AM126" s="64">
        <f>INDEX(角色属性!BC$8:BC$107,MATCH($D126,角色属性!$I$8:$I$107,0),1)</f>
        <v>17678</v>
      </c>
      <c r="AN126" s="64">
        <f>INDEX(角色属性!BD$8:BD$107,MATCH($D126,角色属性!$I$8:$I$107,0),1)</f>
        <v>2695</v>
      </c>
      <c r="AO126" s="69">
        <f t="shared" si="22"/>
        <v>0.49237455684982556</v>
      </c>
      <c r="AP126" s="69">
        <f t="shared" si="23"/>
        <v>0.94520113251608973</v>
      </c>
      <c r="AQ126" s="64">
        <f>AL126*角色属性!$BA$1*(AC126*(1-AO126)+MAX(AF126-AJ126,0))</f>
        <v>103070.73029364532</v>
      </c>
      <c r="AR126" s="64">
        <f>角色属性!$BA$1*(AH126*(1-AP126)+MAX(AK126-AE126,0))</f>
        <v>806.20265088789677</v>
      </c>
      <c r="AS126" s="73">
        <f t="shared" si="24"/>
        <v>0.57299253826756336</v>
      </c>
      <c r="AT126" s="73">
        <f t="shared" si="25"/>
        <v>0.38199502551170883</v>
      </c>
      <c r="AU126" s="73">
        <f t="shared" si="26"/>
        <v>0.28649626913378168</v>
      </c>
      <c r="AV126" s="73">
        <f t="shared" si="27"/>
        <v>494.7143246933569</v>
      </c>
      <c r="AW126" s="73">
        <f t="shared" si="28"/>
        <v>329.80954979557123</v>
      </c>
      <c r="AX126" s="2" t="str">
        <f t="shared" si="29"/>
        <v>r_guanqia_124</v>
      </c>
      <c r="AY126" s="2">
        <f>ROUND(($P126*R126/10/$H126/(1+VLOOKUP($I126,技能效果!$B$2:$D$101,3,FALSE))-1)*10000,0)</f>
        <v>110</v>
      </c>
      <c r="AZ126" s="2">
        <f>ROUND(($P126*S126/10/$H126/(1+VLOOKUP($I126,技能效果!$B$2:$D$101,3,FALSE))-1)*10000,0)</f>
        <v>110</v>
      </c>
      <c r="BA126" s="2">
        <f>ROUND(($P126*T126/10/$H126/(1+VLOOKUP($I126,技能效果!$B$2:$D$101,3,FALSE))-1)*10000,0)</f>
        <v>110</v>
      </c>
      <c r="BB126" s="2">
        <f>ROUND(($P126*U126/10/$H126/(1+VLOOKUP($I126,技能效果!$B$2:$D$101,3,FALSE))-1)*10000,0)</f>
        <v>110</v>
      </c>
      <c r="BC126" s="2">
        <f>ROUND(($P126*V126/10/$H126/(1+VLOOKUP($I126,技能效果!$B$2:$D$101,3,FALSE))-1)*10000,0)</f>
        <v>110</v>
      </c>
    </row>
    <row r="127" spans="2:55" x14ac:dyDescent="0.15">
      <c r="B127" s="83"/>
      <c r="C127" s="2">
        <v>125</v>
      </c>
      <c r="D127" s="2">
        <f t="shared" si="33"/>
        <v>72</v>
      </c>
      <c r="E127" s="2">
        <v>2</v>
      </c>
      <c r="F127" s="28">
        <f>INDEX([3]宠物属性!$AL$8:$AL$107,MATCH(D127,[3]宠物属性!$I$8:$I$107,0),1)</f>
        <v>266288.70636382455</v>
      </c>
      <c r="G127" s="68">
        <f>F127/INDEX(角色属性!$AI$8:$AI$107,MATCH(D127,角色属性!$I$8:$I$107,0),1)*E127</f>
        <v>2.069966645646049</v>
      </c>
      <c r="H127" s="2">
        <f>INDEX(角色属性!$AL$8:$AL$107,MATCH(D127,角色属性!$I$8:$I$107,0),1)</f>
        <v>7556</v>
      </c>
      <c r="I127" s="2">
        <f>INDEX(角色属性!$Y$8:$Y$107,MATCH(D127,角色属性!$I$8:$I$107,0),1)</f>
        <v>72</v>
      </c>
      <c r="J127" s="28">
        <f>H127*10*(1+VLOOKUP(I127,技能效果!$B$2:$D$101,3,FALSE))</f>
        <v>97019.040000000023</v>
      </c>
      <c r="K127" s="28">
        <f>H127*10*(1+VLOOKUP(I127,技能效果!$B$2:$D$101,3,FALSE))*(1+G127)</f>
        <v>297845.21679259994</v>
      </c>
      <c r="L127" s="2">
        <f t="shared" si="19"/>
        <v>130</v>
      </c>
      <c r="M127" s="28">
        <f t="shared" si="20"/>
        <v>109395.36000000002</v>
      </c>
      <c r="N127" s="28">
        <f t="shared" si="21"/>
        <v>312459.73577281425</v>
      </c>
      <c r="O127" s="62">
        <f t="shared" si="31"/>
        <v>289918</v>
      </c>
      <c r="P127" s="62">
        <f t="shared" si="32"/>
        <v>97766</v>
      </c>
      <c r="Q127" s="64">
        <f t="shared" si="30"/>
        <v>6996</v>
      </c>
      <c r="R127" s="67">
        <v>1</v>
      </c>
      <c r="S127" s="67">
        <v>1</v>
      </c>
      <c r="T127" s="67">
        <v>1</v>
      </c>
      <c r="U127" s="67">
        <v>1</v>
      </c>
      <c r="V127" s="67">
        <v>1</v>
      </c>
      <c r="W127" s="28">
        <v>0</v>
      </c>
      <c r="X127" s="28">
        <v>0</v>
      </c>
      <c r="Y127" s="28">
        <v>0</v>
      </c>
      <c r="Z127" s="28">
        <v>0</v>
      </c>
      <c r="AA127" s="28">
        <v>0</v>
      </c>
      <c r="AB127" s="64">
        <f>INDEX(角色属性!AM$8:AM$107,MATCH($D127,角色属性!$I$8:$I$107,0),1)</f>
        <v>400760</v>
      </c>
      <c r="AC127" s="64">
        <f>INDEX(角色属性!AN$8:AN$107,MATCH($D127,角色属性!$I$8:$I$107,0),1)</f>
        <v>40076</v>
      </c>
      <c r="AD127" s="64">
        <f>INDEX(角色属性!AO$8:AO$107,MATCH($D127,角色属性!$I$8:$I$107,0),1)</f>
        <v>20038</v>
      </c>
      <c r="AE127" s="64">
        <f>INDEX(角色属性!AP$8:AP$107,MATCH($D127,角色属性!$I$8:$I$107,0),1)</f>
        <v>16030.4</v>
      </c>
      <c r="AF127" s="64">
        <f>INDEX(角色属性!AQ$8:AQ$107,MATCH($D127,角色属性!$I$8:$I$107,0),1)</f>
        <v>16030.4</v>
      </c>
      <c r="AG127" s="64">
        <f>$P127/10/(1+VLOOKUP(I127,技能效果!$B$2:$D$101,3,FALSE))*怪物属性规划!A$18*INDEX(怪物属性等级系数!$A$2:$A$101,MATCH(D127,怪物属性等级系数!$D$2:$D$101,0),1)*R127+W127</f>
        <v>111314.02993916624</v>
      </c>
      <c r="AH127" s="64">
        <f>$P127/10/(1+VLOOKUP($I127,技能效果!$B$2:$D$101,3,FALSE))*怪物属性规划!B$18*S127+X127</f>
        <v>7614.1744548286588</v>
      </c>
      <c r="AI127" s="64">
        <f>$P127/10/(1+VLOOKUP($I127,技能效果!$B$2:$D$101,3,FALSE))*怪物属性规划!C$18*T127+Y127</f>
        <v>7614.1744548286588</v>
      </c>
      <c r="AJ127" s="64">
        <f>$P127/10/(1+VLOOKUP($I127,技能效果!$B$2:$D$101,3,FALSE))*怪物属性规划!D$18*U127+Z127</f>
        <v>6091.3395638629272</v>
      </c>
      <c r="AK127" s="64">
        <f>$P127/10/(1+VLOOKUP($I127,技能效果!$B$2:$D$101,3,FALSE))*怪物属性规划!E$18*V127+AA127</f>
        <v>6091.3395638629272</v>
      </c>
      <c r="AL127" s="67">
        <f>INDEX(角色属性!BB$8:BB$107,MATCH($D127,角色属性!$I$8:$I$107,0),1)</f>
        <v>1.7100000000000006</v>
      </c>
      <c r="AM127" s="64">
        <f>INDEX(角色属性!BC$8:BC$107,MATCH($D127,角色属性!$I$8:$I$107,0),1)</f>
        <v>18580</v>
      </c>
      <c r="AN127" s="64">
        <f>INDEX(角色属性!BD$8:BD$107,MATCH($D127,角色属性!$I$8:$I$107,0),1)</f>
        <v>2707</v>
      </c>
      <c r="AO127" s="69">
        <f t="shared" si="22"/>
        <v>0.48855804709443312</v>
      </c>
      <c r="AP127" s="69">
        <f t="shared" si="23"/>
        <v>0.94521975557403937</v>
      </c>
      <c r="AQ127" s="64">
        <f>AL127*角色属性!$BA$1*(AC127*(1-AO127)+MAX(AF127-AJ127,0))</f>
        <v>104089.7798414696</v>
      </c>
      <c r="AR127" s="64">
        <f>角色属性!$BA$1*(AH127*(1-AP127)+MAX(AK127-AE127,0))</f>
        <v>834.21267547483899</v>
      </c>
      <c r="AS127" s="73">
        <f t="shared" si="24"/>
        <v>0.59411334943897731</v>
      </c>
      <c r="AT127" s="73">
        <f t="shared" si="25"/>
        <v>0.3960755662926515</v>
      </c>
      <c r="AU127" s="73">
        <f t="shared" si="26"/>
        <v>0.29705667471948866</v>
      </c>
      <c r="AV127" s="73">
        <f t="shared" si="27"/>
        <v>480.40507149077416</v>
      </c>
      <c r="AW127" s="73">
        <f t="shared" si="28"/>
        <v>320.27004766051607</v>
      </c>
      <c r="AX127" s="2" t="str">
        <f t="shared" si="29"/>
        <v>r_guanqia_125</v>
      </c>
      <c r="AY127" s="2">
        <f>ROUND(($P127*R127/10/$H127/(1+VLOOKUP($I127,技能效果!$B$2:$D$101,3,FALSE))-1)*10000,0)</f>
        <v>77</v>
      </c>
      <c r="AZ127" s="2">
        <f>ROUND(($P127*S127/10/$H127/(1+VLOOKUP($I127,技能效果!$B$2:$D$101,3,FALSE))-1)*10000,0)</f>
        <v>77</v>
      </c>
      <c r="BA127" s="2">
        <f>ROUND(($P127*T127/10/$H127/(1+VLOOKUP($I127,技能效果!$B$2:$D$101,3,FALSE))-1)*10000,0)</f>
        <v>77</v>
      </c>
      <c r="BB127" s="2">
        <f>ROUND(($P127*U127/10/$H127/(1+VLOOKUP($I127,技能效果!$B$2:$D$101,3,FALSE))-1)*10000,0)</f>
        <v>77</v>
      </c>
      <c r="BC127" s="2">
        <f>ROUND(($P127*V127/10/$H127/(1+VLOOKUP($I127,技能效果!$B$2:$D$101,3,FALSE))-1)*10000,0)</f>
        <v>77</v>
      </c>
    </row>
    <row r="128" spans="2:55" x14ac:dyDescent="0.15">
      <c r="B128" s="83"/>
      <c r="C128" s="2">
        <v>126</v>
      </c>
      <c r="D128" s="2">
        <f t="shared" si="33"/>
        <v>72</v>
      </c>
      <c r="E128" s="2">
        <v>2</v>
      </c>
      <c r="F128" s="28">
        <f>INDEX([3]宠物属性!$AL$8:$AL$107,MATCH(D128,[3]宠物属性!$I$8:$I$107,0),1)</f>
        <v>266288.70636382455</v>
      </c>
      <c r="G128" s="68">
        <f>F128/INDEX(角色属性!$AI$8:$AI$107,MATCH(D128,角色属性!$I$8:$I$107,0),1)*E128</f>
        <v>2.069966645646049</v>
      </c>
      <c r="H128" s="2">
        <f>INDEX(角色属性!$AL$8:$AL$107,MATCH(D128,角色属性!$I$8:$I$107,0),1)</f>
        <v>7556</v>
      </c>
      <c r="I128" s="2">
        <f>INDEX(角色属性!$Y$8:$Y$107,MATCH(D128,角色属性!$I$8:$I$107,0),1)</f>
        <v>72</v>
      </c>
      <c r="J128" s="28">
        <f>H128*10*(1+VLOOKUP(I128,技能效果!$B$2:$D$101,3,FALSE))</f>
        <v>97019.040000000023</v>
      </c>
      <c r="K128" s="28">
        <f>H128*10*(1+VLOOKUP(I128,技能效果!$B$2:$D$101,3,FALSE))*(1+G128)</f>
        <v>297845.21679259994</v>
      </c>
      <c r="L128" s="2">
        <f t="shared" si="19"/>
        <v>130</v>
      </c>
      <c r="M128" s="28">
        <f t="shared" si="20"/>
        <v>109395.36000000002</v>
      </c>
      <c r="N128" s="28">
        <f t="shared" si="21"/>
        <v>312459.73577281425</v>
      </c>
      <c r="O128" s="62">
        <f t="shared" si="31"/>
        <v>291472</v>
      </c>
      <c r="P128" s="62">
        <f t="shared" si="32"/>
        <v>98568</v>
      </c>
      <c r="Q128" s="64">
        <f t="shared" si="30"/>
        <v>1554</v>
      </c>
      <c r="R128" s="67">
        <v>1</v>
      </c>
      <c r="S128" s="67">
        <v>1</v>
      </c>
      <c r="T128" s="67">
        <v>1</v>
      </c>
      <c r="U128" s="67">
        <v>1</v>
      </c>
      <c r="V128" s="67">
        <v>1</v>
      </c>
      <c r="W128" s="28">
        <v>0</v>
      </c>
      <c r="X128" s="28">
        <v>0</v>
      </c>
      <c r="Y128" s="28">
        <v>0</v>
      </c>
      <c r="Z128" s="28">
        <v>0</v>
      </c>
      <c r="AA128" s="28">
        <v>0</v>
      </c>
      <c r="AB128" s="64">
        <f>INDEX(角色属性!AM$8:AM$107,MATCH($D128,角色属性!$I$8:$I$107,0),1)</f>
        <v>400760</v>
      </c>
      <c r="AC128" s="64">
        <f>INDEX(角色属性!AN$8:AN$107,MATCH($D128,角色属性!$I$8:$I$107,0),1)</f>
        <v>40076</v>
      </c>
      <c r="AD128" s="64">
        <f>INDEX(角色属性!AO$8:AO$107,MATCH($D128,角色属性!$I$8:$I$107,0),1)</f>
        <v>20038</v>
      </c>
      <c r="AE128" s="64">
        <f>INDEX(角色属性!AP$8:AP$107,MATCH($D128,角色属性!$I$8:$I$107,0),1)</f>
        <v>16030.4</v>
      </c>
      <c r="AF128" s="64">
        <f>INDEX(角色属性!AQ$8:AQ$107,MATCH($D128,角色属性!$I$8:$I$107,0),1)</f>
        <v>16030.4</v>
      </c>
      <c r="AG128" s="64">
        <f>$P128/10/(1+VLOOKUP(I128,技能效果!$B$2:$D$101,3,FALSE))*怪物属性规划!A$18*INDEX(怪物属性等级系数!$A$2:$A$101,MATCH(D128,怪物属性等级系数!$D$2:$D$101,0),1)*R128+W128</f>
        <v>112227.16796272465</v>
      </c>
      <c r="AH128" s="64">
        <f>$P128/10/(1+VLOOKUP($I128,技能效果!$B$2:$D$101,3,FALSE))*怪物属性规划!B$18*S128+X128</f>
        <v>7676.6355140186897</v>
      </c>
      <c r="AI128" s="64">
        <f>$P128/10/(1+VLOOKUP($I128,技能效果!$B$2:$D$101,3,FALSE))*怪物属性规划!C$18*T128+Y128</f>
        <v>7676.6355140186897</v>
      </c>
      <c r="AJ128" s="64">
        <f>$P128/10/(1+VLOOKUP($I128,技能效果!$B$2:$D$101,3,FALSE))*怪物属性规划!D$18*U128+Z128</f>
        <v>6141.3084112149518</v>
      </c>
      <c r="AK128" s="64">
        <f>$P128/10/(1+VLOOKUP($I128,技能效果!$B$2:$D$101,3,FALSE))*怪物属性规划!E$18*V128+AA128</f>
        <v>6141.3084112149518</v>
      </c>
      <c r="AL128" s="67">
        <f>INDEX(角色属性!BB$8:BB$107,MATCH($D128,角色属性!$I$8:$I$107,0),1)</f>
        <v>1.7100000000000006</v>
      </c>
      <c r="AM128" s="64">
        <f>INDEX(角色属性!BC$8:BC$107,MATCH($D128,角色属性!$I$8:$I$107,0),1)</f>
        <v>18580</v>
      </c>
      <c r="AN128" s="64">
        <f>INDEX(角色属性!BD$8:BD$107,MATCH($D128,角色属性!$I$8:$I$107,0),1)</f>
        <v>2707</v>
      </c>
      <c r="AO128" s="69">
        <f t="shared" si="22"/>
        <v>0.49059960625170823</v>
      </c>
      <c r="AP128" s="69">
        <f t="shared" si="23"/>
        <v>0.94521975557403937</v>
      </c>
      <c r="AQ128" s="64">
        <f>AL128*角色属性!$BA$1*(AC128*(1-AO128)+MAX(AF128-AJ128,0))</f>
        <v>103639.07044875427</v>
      </c>
      <c r="AR128" s="64">
        <f>角色属性!$BA$1*(AH128*(1-AP128)+MAX(AK128-AE128,0))</f>
        <v>841.05593965390756</v>
      </c>
      <c r="AS128" s="73">
        <f t="shared" si="24"/>
        <v>0.60159191293390801</v>
      </c>
      <c r="AT128" s="73">
        <f t="shared" si="25"/>
        <v>0.40106127528927199</v>
      </c>
      <c r="AU128" s="73">
        <f t="shared" si="26"/>
        <v>0.30079595646695401</v>
      </c>
      <c r="AV128" s="73">
        <f t="shared" si="27"/>
        <v>476.49624847178626</v>
      </c>
      <c r="AW128" s="73">
        <f t="shared" si="28"/>
        <v>317.66416564785749</v>
      </c>
      <c r="AX128" s="2" t="str">
        <f t="shared" si="29"/>
        <v>r_guanqia_126</v>
      </c>
      <c r="AY128" s="2">
        <f>ROUND(($P128*R128/10/$H128/(1+VLOOKUP($I128,技能效果!$B$2:$D$101,3,FALSE))-1)*10000,0)</f>
        <v>160</v>
      </c>
      <c r="AZ128" s="2">
        <f>ROUND(($P128*S128/10/$H128/(1+VLOOKUP($I128,技能效果!$B$2:$D$101,3,FALSE))-1)*10000,0)</f>
        <v>160</v>
      </c>
      <c r="BA128" s="2">
        <f>ROUND(($P128*T128/10/$H128/(1+VLOOKUP($I128,技能效果!$B$2:$D$101,3,FALSE))-1)*10000,0)</f>
        <v>160</v>
      </c>
      <c r="BB128" s="2">
        <f>ROUND(($P128*U128/10/$H128/(1+VLOOKUP($I128,技能效果!$B$2:$D$101,3,FALSE))-1)*10000,0)</f>
        <v>160</v>
      </c>
      <c r="BC128" s="2">
        <f>ROUND(($P128*V128/10/$H128/(1+VLOOKUP($I128,技能效果!$B$2:$D$101,3,FALSE))-1)*10000,0)</f>
        <v>160</v>
      </c>
    </row>
    <row r="129" spans="2:55" x14ac:dyDescent="0.15">
      <c r="B129" s="83"/>
      <c r="C129" s="2">
        <v>127</v>
      </c>
      <c r="D129" s="2">
        <f t="shared" si="33"/>
        <v>72</v>
      </c>
      <c r="E129" s="2">
        <v>2</v>
      </c>
      <c r="F129" s="28">
        <f>INDEX([3]宠物属性!$AL$8:$AL$107,MATCH(D129,[3]宠物属性!$I$8:$I$107,0),1)</f>
        <v>266288.70636382455</v>
      </c>
      <c r="G129" s="68">
        <f>F129/INDEX(角色属性!$AI$8:$AI$107,MATCH(D129,角色属性!$I$8:$I$107,0),1)*E129</f>
        <v>2.069966645646049</v>
      </c>
      <c r="H129" s="2">
        <f>INDEX(角色属性!$AL$8:$AL$107,MATCH(D129,角色属性!$I$8:$I$107,0),1)</f>
        <v>7556</v>
      </c>
      <c r="I129" s="2">
        <f>INDEX(角色属性!$Y$8:$Y$107,MATCH(D129,角色属性!$I$8:$I$107,0),1)</f>
        <v>72</v>
      </c>
      <c r="J129" s="28">
        <f>H129*10*(1+VLOOKUP(I129,技能效果!$B$2:$D$101,3,FALSE))</f>
        <v>97019.040000000023</v>
      </c>
      <c r="K129" s="28">
        <f>H129*10*(1+VLOOKUP(I129,技能效果!$B$2:$D$101,3,FALSE))*(1+G129)</f>
        <v>297845.21679259994</v>
      </c>
      <c r="L129" s="2">
        <f t="shared" si="19"/>
        <v>130</v>
      </c>
      <c r="M129" s="28">
        <f t="shared" si="20"/>
        <v>109395.36000000002</v>
      </c>
      <c r="N129" s="28">
        <f t="shared" si="21"/>
        <v>312459.73577281425</v>
      </c>
      <c r="O129" s="62">
        <f t="shared" si="31"/>
        <v>293804</v>
      </c>
      <c r="P129" s="62">
        <f t="shared" si="32"/>
        <v>99771</v>
      </c>
      <c r="Q129" s="64">
        <f t="shared" si="30"/>
        <v>2332</v>
      </c>
      <c r="R129" s="67">
        <v>1</v>
      </c>
      <c r="S129" s="67">
        <v>1</v>
      </c>
      <c r="T129" s="67">
        <v>1</v>
      </c>
      <c r="U129" s="67">
        <v>1</v>
      </c>
      <c r="V129" s="67">
        <v>1</v>
      </c>
      <c r="W129" s="28">
        <v>0</v>
      </c>
      <c r="X129" s="28">
        <v>0</v>
      </c>
      <c r="Y129" s="28">
        <v>0</v>
      </c>
      <c r="Z129" s="28">
        <v>0</v>
      </c>
      <c r="AA129" s="28">
        <v>0</v>
      </c>
      <c r="AB129" s="64">
        <f>INDEX(角色属性!AM$8:AM$107,MATCH($D129,角色属性!$I$8:$I$107,0),1)</f>
        <v>400760</v>
      </c>
      <c r="AC129" s="64">
        <f>INDEX(角色属性!AN$8:AN$107,MATCH($D129,角色属性!$I$8:$I$107,0),1)</f>
        <v>40076</v>
      </c>
      <c r="AD129" s="64">
        <f>INDEX(角色属性!AO$8:AO$107,MATCH($D129,角色属性!$I$8:$I$107,0),1)</f>
        <v>20038</v>
      </c>
      <c r="AE129" s="64">
        <f>INDEX(角色属性!AP$8:AP$107,MATCH($D129,角色属性!$I$8:$I$107,0),1)</f>
        <v>16030.4</v>
      </c>
      <c r="AF129" s="64">
        <f>INDEX(角色属性!AQ$8:AQ$107,MATCH($D129,角色属性!$I$8:$I$107,0),1)</f>
        <v>16030.4</v>
      </c>
      <c r="AG129" s="64">
        <f>$P129/10/(1+VLOOKUP(I129,技能效果!$B$2:$D$101,3,FALSE))*怪物属性规划!A$18*INDEX(怪物属性等级系数!$A$2:$A$101,MATCH(D129,怪物属性等级系数!$D$2:$D$101,0),1)*R129+W129</f>
        <v>113596.87499806227</v>
      </c>
      <c r="AH129" s="64">
        <f>$P129/10/(1+VLOOKUP($I129,技能效果!$B$2:$D$101,3,FALSE))*怪物属性规划!B$18*S129+X129</f>
        <v>7770.327102803737</v>
      </c>
      <c r="AI129" s="64">
        <f>$P129/10/(1+VLOOKUP($I129,技能效果!$B$2:$D$101,3,FALSE))*怪物属性规划!C$18*T129+Y129</f>
        <v>7770.327102803737</v>
      </c>
      <c r="AJ129" s="64">
        <f>$P129/10/(1+VLOOKUP($I129,技能效果!$B$2:$D$101,3,FALSE))*怪物属性规划!D$18*U129+Z129</f>
        <v>6216.26168224299</v>
      </c>
      <c r="AK129" s="64">
        <f>$P129/10/(1+VLOOKUP($I129,技能效果!$B$2:$D$101,3,FALSE))*怪物属性规划!E$18*V129+AA129</f>
        <v>6216.26168224299</v>
      </c>
      <c r="AL129" s="67">
        <f>INDEX(角色属性!BB$8:BB$107,MATCH($D129,角色属性!$I$8:$I$107,0),1)</f>
        <v>1.7100000000000006</v>
      </c>
      <c r="AM129" s="64">
        <f>INDEX(角色属性!BC$8:BC$107,MATCH($D129,角色属性!$I$8:$I$107,0),1)</f>
        <v>18580</v>
      </c>
      <c r="AN129" s="64">
        <f>INDEX(角色属性!BD$8:BD$107,MATCH($D129,角色属性!$I$8:$I$107,0),1)</f>
        <v>2707</v>
      </c>
      <c r="AO129" s="69">
        <f t="shared" si="22"/>
        <v>0.49363156649617507</v>
      </c>
      <c r="AP129" s="69">
        <f t="shared" si="23"/>
        <v>0.94521975557403937</v>
      </c>
      <c r="AQ129" s="64">
        <f>AL129*角色属性!$BA$1*(AC129*(1-AO129)+MAX(AF129-AJ129,0))</f>
        <v>102967.1700332886</v>
      </c>
      <c r="AR129" s="64">
        <f>角色属性!$BA$1*(AH129*(1-AP129)+MAX(AK129-AE129,0))</f>
        <v>851.32083592251047</v>
      </c>
      <c r="AS129" s="73">
        <f t="shared" si="24"/>
        <v>0.61290773533467646</v>
      </c>
      <c r="AT129" s="73">
        <f t="shared" si="25"/>
        <v>0.40860515688978433</v>
      </c>
      <c r="AU129" s="73">
        <f t="shared" si="26"/>
        <v>0.30645386766733823</v>
      </c>
      <c r="AV129" s="73">
        <f t="shared" si="27"/>
        <v>470.75084162098233</v>
      </c>
      <c r="AW129" s="73">
        <f t="shared" si="28"/>
        <v>313.83389441398822</v>
      </c>
      <c r="AX129" s="2" t="str">
        <f t="shared" si="29"/>
        <v>r_guanqia_127</v>
      </c>
      <c r="AY129" s="2">
        <f>ROUND(($P129*R129/10/$H129/(1+VLOOKUP($I129,技能效果!$B$2:$D$101,3,FALSE))-1)*10000,0)</f>
        <v>284</v>
      </c>
      <c r="AZ129" s="2">
        <f>ROUND(($P129*S129/10/$H129/(1+VLOOKUP($I129,技能效果!$B$2:$D$101,3,FALSE))-1)*10000,0)</f>
        <v>284</v>
      </c>
      <c r="BA129" s="2">
        <f>ROUND(($P129*T129/10/$H129/(1+VLOOKUP($I129,技能效果!$B$2:$D$101,3,FALSE))-1)*10000,0)</f>
        <v>284</v>
      </c>
      <c r="BB129" s="2">
        <f>ROUND(($P129*U129/10/$H129/(1+VLOOKUP($I129,技能效果!$B$2:$D$101,3,FALSE))-1)*10000,0)</f>
        <v>284</v>
      </c>
      <c r="BC129" s="2">
        <f>ROUND(($P129*V129/10/$H129/(1+VLOOKUP($I129,技能效果!$B$2:$D$101,3,FALSE))-1)*10000,0)</f>
        <v>284</v>
      </c>
    </row>
    <row r="130" spans="2:55" x14ac:dyDescent="0.15">
      <c r="B130" s="83"/>
      <c r="C130" s="2">
        <v>128</v>
      </c>
      <c r="D130" s="2">
        <f t="shared" si="33"/>
        <v>73</v>
      </c>
      <c r="E130" s="2">
        <v>2</v>
      </c>
      <c r="F130" s="28">
        <f>INDEX([3]宠物属性!$AL$8:$AL$107,MATCH(D130,[3]宠物属性!$I$8:$I$107,0),1)</f>
        <v>268894.91428197676</v>
      </c>
      <c r="G130" s="68">
        <f>F130/INDEX(角色属性!$AI$8:$AI$107,MATCH(D130,角色属性!$I$8:$I$107,0),1)*E130</f>
        <v>2.0737989806956181</v>
      </c>
      <c r="H130" s="2">
        <f>INDEX(角色属性!$AL$8:$AL$107,MATCH(D130,角色属性!$I$8:$I$107,0),1)</f>
        <v>7844</v>
      </c>
      <c r="I130" s="2">
        <f>INDEX(角色属性!$Y$8:$Y$107,MATCH(D130,角色属性!$I$8:$I$107,0),1)</f>
        <v>73</v>
      </c>
      <c r="J130" s="28">
        <f>H130*10*(1+VLOOKUP(I130,技能效果!$B$2:$D$101,3,FALSE))</f>
        <v>101030.72000000002</v>
      </c>
      <c r="K130" s="28">
        <f>H130*10*(1+VLOOKUP(I130,技能效果!$B$2:$D$101,3,FALSE))*(1+G130)</f>
        <v>310548.12415494444</v>
      </c>
      <c r="L130" s="2">
        <f t="shared" si="19"/>
        <v>130</v>
      </c>
      <c r="M130" s="28">
        <f t="shared" si="20"/>
        <v>109395.36000000002</v>
      </c>
      <c r="N130" s="28">
        <f t="shared" si="21"/>
        <v>312459.73577281425</v>
      </c>
      <c r="O130" s="62">
        <f t="shared" si="31"/>
        <v>296913</v>
      </c>
      <c r="P130" s="62">
        <f t="shared" si="32"/>
        <v>101375</v>
      </c>
      <c r="Q130" s="64">
        <f t="shared" si="30"/>
        <v>3109</v>
      </c>
      <c r="R130" s="67">
        <v>1</v>
      </c>
      <c r="S130" s="67">
        <v>1</v>
      </c>
      <c r="T130" s="67">
        <v>1</v>
      </c>
      <c r="U130" s="67">
        <v>1</v>
      </c>
      <c r="V130" s="67">
        <v>1</v>
      </c>
      <c r="W130" s="28">
        <v>0</v>
      </c>
      <c r="X130" s="28">
        <v>0</v>
      </c>
      <c r="Y130" s="28">
        <v>0</v>
      </c>
      <c r="Z130" s="28">
        <v>0</v>
      </c>
      <c r="AA130" s="28">
        <v>0</v>
      </c>
      <c r="AB130" s="64">
        <f>INDEX(角色属性!AM$8:AM$107,MATCH($D130,角色属性!$I$8:$I$107,0),1)</f>
        <v>402680</v>
      </c>
      <c r="AC130" s="64">
        <f>INDEX(角色属性!AN$8:AN$107,MATCH($D130,角色属性!$I$8:$I$107,0),1)</f>
        <v>40268</v>
      </c>
      <c r="AD130" s="64">
        <f>INDEX(角色属性!AO$8:AO$107,MATCH($D130,角色属性!$I$8:$I$107,0),1)</f>
        <v>20134</v>
      </c>
      <c r="AE130" s="64">
        <f>INDEX(角色属性!AP$8:AP$107,MATCH($D130,角色属性!$I$8:$I$107,0),1)</f>
        <v>16107.2</v>
      </c>
      <c r="AF130" s="64">
        <f>INDEX(角色属性!AQ$8:AQ$107,MATCH($D130,角色属性!$I$8:$I$107,0),1)</f>
        <v>16107.2</v>
      </c>
      <c r="AG130" s="64">
        <f>$P130/10/(1+VLOOKUP(I130,技能效果!$B$2:$D$101,3,FALSE))*怪物属性规划!A$18*INDEX(怪物属性等级系数!$A$2:$A$101,MATCH(D130,怪物属性等级系数!$D$2:$D$101,0),1)*R130+W130</f>
        <v>116426.76012478548</v>
      </c>
      <c r="AH130" s="64">
        <f>$P130/10/(1+VLOOKUP($I130,技能效果!$B$2:$D$101,3,FALSE))*怪物属性规划!B$18*S130+X130</f>
        <v>7870.729813664595</v>
      </c>
      <c r="AI130" s="64">
        <f>$P130/10/(1+VLOOKUP($I130,技能效果!$B$2:$D$101,3,FALSE))*怪物属性规划!C$18*T130+Y130</f>
        <v>7870.729813664595</v>
      </c>
      <c r="AJ130" s="64">
        <f>$P130/10/(1+VLOOKUP($I130,技能效果!$B$2:$D$101,3,FALSE))*怪物属性规划!D$18*U130+Z130</f>
        <v>6296.5838509316764</v>
      </c>
      <c r="AK130" s="64">
        <f>$P130/10/(1+VLOOKUP($I130,技能效果!$B$2:$D$101,3,FALSE))*怪物属性规划!E$18*V130+AA130</f>
        <v>6296.5838509316764</v>
      </c>
      <c r="AL130" s="67">
        <f>INDEX(角色属性!BB$8:BB$107,MATCH($D130,角色属性!$I$8:$I$107,0),1)</f>
        <v>1.7200000000000006</v>
      </c>
      <c r="AM130" s="64">
        <f>INDEX(角色属性!BC$8:BC$107,MATCH($D130,角色属性!$I$8:$I$107,0),1)</f>
        <v>19521</v>
      </c>
      <c r="AN130" s="64">
        <f>INDEX(角色属性!BD$8:BD$107,MATCH($D130,角色属性!$I$8:$I$107,0),1)</f>
        <v>2718</v>
      </c>
      <c r="AO130" s="69">
        <f t="shared" si="22"/>
        <v>0.48449455892542331</v>
      </c>
      <c r="AP130" s="69">
        <f t="shared" si="23"/>
        <v>0.94525723964040975</v>
      </c>
      <c r="AQ130" s="64">
        <f>AL130*角色属性!$BA$1*(AC130*(1-AO130)+MAX(AF130-AJ130,0))</f>
        <v>105157.32302089231</v>
      </c>
      <c r="AR130" s="64">
        <f>角色属性!$BA$1*(AH130*(1-AP130)+MAX(AK130-AE130,0))</f>
        <v>861.7309520890467</v>
      </c>
      <c r="AS130" s="73">
        <f t="shared" si="24"/>
        <v>0.61509300108189213</v>
      </c>
      <c r="AT130" s="73">
        <f t="shared" si="25"/>
        <v>0.41006200072126148</v>
      </c>
      <c r="AU130" s="73">
        <f t="shared" si="26"/>
        <v>0.30754650054094607</v>
      </c>
      <c r="AV130" s="73">
        <f t="shared" si="27"/>
        <v>467.29202313530129</v>
      </c>
      <c r="AW130" s="73">
        <f t="shared" si="28"/>
        <v>311.52801542353416</v>
      </c>
      <c r="AX130" s="2" t="str">
        <f t="shared" si="29"/>
        <v>r_guanqia_128</v>
      </c>
      <c r="AY130" s="2">
        <f>ROUND(($P130*R130/10/$H130/(1+VLOOKUP($I130,技能效果!$B$2:$D$101,3,FALSE))-1)*10000,0)</f>
        <v>34</v>
      </c>
      <c r="AZ130" s="2">
        <f>ROUND(($P130*S130/10/$H130/(1+VLOOKUP($I130,技能效果!$B$2:$D$101,3,FALSE))-1)*10000,0)</f>
        <v>34</v>
      </c>
      <c r="BA130" s="2">
        <f>ROUND(($P130*T130/10/$H130/(1+VLOOKUP($I130,技能效果!$B$2:$D$101,3,FALSE))-1)*10000,0)</f>
        <v>34</v>
      </c>
      <c r="BB130" s="2">
        <f>ROUND(($P130*U130/10/$H130/(1+VLOOKUP($I130,技能效果!$B$2:$D$101,3,FALSE))-1)*10000,0)</f>
        <v>34</v>
      </c>
      <c r="BC130" s="2">
        <f>ROUND(($P130*V130/10/$H130/(1+VLOOKUP($I130,技能效果!$B$2:$D$101,3,FALSE))-1)*10000,0)</f>
        <v>34</v>
      </c>
    </row>
    <row r="131" spans="2:55" x14ac:dyDescent="0.15">
      <c r="B131" s="83"/>
      <c r="C131" s="2">
        <v>129</v>
      </c>
      <c r="D131" s="2">
        <f t="shared" si="33"/>
        <v>73</v>
      </c>
      <c r="E131" s="2">
        <v>2</v>
      </c>
      <c r="F131" s="28">
        <f>INDEX([3]宠物属性!$AL$8:$AL$107,MATCH(D131,[3]宠物属性!$I$8:$I$107,0),1)</f>
        <v>268894.91428197676</v>
      </c>
      <c r="G131" s="68">
        <f>F131/INDEX(角色属性!$AI$8:$AI$107,MATCH(D131,角色属性!$I$8:$I$107,0),1)*E131</f>
        <v>2.0737989806956181</v>
      </c>
      <c r="H131" s="2">
        <f>INDEX(角色属性!$AL$8:$AL$107,MATCH(D131,角色属性!$I$8:$I$107,0),1)</f>
        <v>7844</v>
      </c>
      <c r="I131" s="2">
        <f>INDEX(角色属性!$Y$8:$Y$107,MATCH(D131,角色属性!$I$8:$I$107,0),1)</f>
        <v>73</v>
      </c>
      <c r="J131" s="28">
        <f>H131*10*(1+VLOOKUP(I131,技能效果!$B$2:$D$101,3,FALSE))</f>
        <v>101030.72000000002</v>
      </c>
      <c r="K131" s="28">
        <f>H131*10*(1+VLOOKUP(I131,技能效果!$B$2:$D$101,3,FALSE))*(1+G131)</f>
        <v>310548.12415494444</v>
      </c>
      <c r="L131" s="2">
        <f t="shared" si="19"/>
        <v>130</v>
      </c>
      <c r="M131" s="28">
        <f t="shared" si="20"/>
        <v>109395.36000000002</v>
      </c>
      <c r="N131" s="28">
        <f t="shared" si="21"/>
        <v>312459.73577281425</v>
      </c>
      <c r="O131" s="62">
        <f t="shared" si="31"/>
        <v>300800</v>
      </c>
      <c r="P131" s="62">
        <f t="shared" si="32"/>
        <v>103380</v>
      </c>
      <c r="Q131" s="64">
        <f t="shared" si="30"/>
        <v>3887</v>
      </c>
      <c r="R131" s="67">
        <v>1</v>
      </c>
      <c r="S131" s="67">
        <v>1</v>
      </c>
      <c r="T131" s="67">
        <v>1</v>
      </c>
      <c r="U131" s="67">
        <v>1</v>
      </c>
      <c r="V131" s="67">
        <v>1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64">
        <f>INDEX(角色属性!AM$8:AM$107,MATCH($D131,角色属性!$I$8:$I$107,0),1)</f>
        <v>402680</v>
      </c>
      <c r="AC131" s="64">
        <f>INDEX(角色属性!AN$8:AN$107,MATCH($D131,角色属性!$I$8:$I$107,0),1)</f>
        <v>40268</v>
      </c>
      <c r="AD131" s="64">
        <f>INDEX(角色属性!AO$8:AO$107,MATCH($D131,角色属性!$I$8:$I$107,0),1)</f>
        <v>20134</v>
      </c>
      <c r="AE131" s="64">
        <f>INDEX(角色属性!AP$8:AP$107,MATCH($D131,角色属性!$I$8:$I$107,0),1)</f>
        <v>16107.2</v>
      </c>
      <c r="AF131" s="64">
        <f>INDEX(角色属性!AQ$8:AQ$107,MATCH($D131,角色属性!$I$8:$I$107,0),1)</f>
        <v>16107.2</v>
      </c>
      <c r="AG131" s="64">
        <f>$P131/10/(1+VLOOKUP(I131,技能效果!$B$2:$D$101,3,FALSE))*怪物属性规划!A$18*INDEX(怪物属性等级系数!$A$2:$A$101,MATCH(D131,怪物属性等级系数!$D$2:$D$101,0),1)*R131+W131</f>
        <v>118729.45461603276</v>
      </c>
      <c r="AH131" s="64">
        <f>$P131/10/(1+VLOOKUP($I131,技能效果!$B$2:$D$101,3,FALSE))*怪物属性规划!B$18*S131+X131</f>
        <v>8026.3975155279486</v>
      </c>
      <c r="AI131" s="64">
        <f>$P131/10/(1+VLOOKUP($I131,技能效果!$B$2:$D$101,3,FALSE))*怪物属性规划!C$18*T131+Y131</f>
        <v>8026.3975155279486</v>
      </c>
      <c r="AJ131" s="64">
        <f>$P131/10/(1+VLOOKUP($I131,技能效果!$B$2:$D$101,3,FALSE))*怪物属性规划!D$18*U131+Z131</f>
        <v>6421.1180124223592</v>
      </c>
      <c r="AK131" s="64">
        <f>$P131/10/(1+VLOOKUP($I131,技能效果!$B$2:$D$101,3,FALSE))*怪物属性规划!E$18*V131+AA131</f>
        <v>6421.1180124223592</v>
      </c>
      <c r="AL131" s="67">
        <f>INDEX(角色属性!BB$8:BB$107,MATCH($D131,角色属性!$I$8:$I$107,0),1)</f>
        <v>1.7200000000000006</v>
      </c>
      <c r="AM131" s="64">
        <f>INDEX(角色属性!BC$8:BC$107,MATCH($D131,角色属性!$I$8:$I$107,0),1)</f>
        <v>19521</v>
      </c>
      <c r="AN131" s="64">
        <f>INDEX(角色属性!BD$8:BD$107,MATCH($D131,角色属性!$I$8:$I$107,0),1)</f>
        <v>2718</v>
      </c>
      <c r="AO131" s="69">
        <f t="shared" si="22"/>
        <v>0.48938743159890369</v>
      </c>
      <c r="AP131" s="69">
        <f t="shared" si="23"/>
        <v>0.94525723964040975</v>
      </c>
      <c r="AQ131" s="64">
        <f>AL131*角色属性!$BA$1*(AC131*(1-AO131)+MAX(AF131-AJ131,0))</f>
        <v>104051.15538831831</v>
      </c>
      <c r="AR131" s="64">
        <f>角色属性!$BA$1*(AH131*(1-AP131)+MAX(AK131-AE131,0))</f>
        <v>878.77431148671405</v>
      </c>
      <c r="AS131" s="73">
        <f t="shared" si="24"/>
        <v>0.63392672454095145</v>
      </c>
      <c r="AT131" s="73">
        <f t="shared" si="25"/>
        <v>0.42261781636063434</v>
      </c>
      <c r="AU131" s="73">
        <f t="shared" si="26"/>
        <v>0.31696336227047572</v>
      </c>
      <c r="AV131" s="73">
        <f t="shared" si="27"/>
        <v>458.22914340627949</v>
      </c>
      <c r="AW131" s="73">
        <f t="shared" si="28"/>
        <v>305.48609560418629</v>
      </c>
      <c r="AX131" s="2" t="str">
        <f t="shared" si="29"/>
        <v>r_guanqia_129</v>
      </c>
      <c r="AY131" s="2">
        <f>ROUND(($P131*R131/10/$H131/(1+VLOOKUP($I131,技能效果!$B$2:$D$101,3,FALSE))-1)*10000,0)</f>
        <v>233</v>
      </c>
      <c r="AZ131" s="2">
        <f>ROUND(($P131*S131/10/$H131/(1+VLOOKUP($I131,技能效果!$B$2:$D$101,3,FALSE))-1)*10000,0)</f>
        <v>233</v>
      </c>
      <c r="BA131" s="2">
        <f>ROUND(($P131*T131/10/$H131/(1+VLOOKUP($I131,技能效果!$B$2:$D$101,3,FALSE))-1)*10000,0)</f>
        <v>233</v>
      </c>
      <c r="BB131" s="2">
        <f>ROUND(($P131*U131/10/$H131/(1+VLOOKUP($I131,技能效果!$B$2:$D$101,3,FALSE))-1)*10000,0)</f>
        <v>233</v>
      </c>
      <c r="BC131" s="2">
        <f>ROUND(($P131*V131/10/$H131/(1+VLOOKUP($I131,技能效果!$B$2:$D$101,3,FALSE))-1)*10000,0)</f>
        <v>233</v>
      </c>
    </row>
    <row r="132" spans="2:55" x14ac:dyDescent="0.15">
      <c r="B132" s="83"/>
      <c r="C132" s="2">
        <v>130</v>
      </c>
      <c r="D132" s="2">
        <f t="shared" si="33"/>
        <v>75</v>
      </c>
      <c r="E132" s="2">
        <v>2</v>
      </c>
      <c r="F132" s="28">
        <f>INDEX([3]宠物属性!$AL$8:$AL$107,MATCH(D132,[3]宠物属性!$I$8:$I$107,0),1)</f>
        <v>287407.90159433859</v>
      </c>
      <c r="G132" s="68">
        <f>F132/INDEX(角色属性!$AI$8:$AI$107,MATCH(D132,角色属性!$I$8:$I$107,0),1)*E132</f>
        <v>1.8562430415039013</v>
      </c>
      <c r="H132" s="2">
        <f>INDEX(角色属性!$AL$8:$AL$107,MATCH(D132,角色属性!$I$8:$I$107,0),1)</f>
        <v>8441</v>
      </c>
      <c r="I132" s="2">
        <f>INDEX(角色属性!$Y$8:$Y$107,MATCH(D132,角色属性!$I$8:$I$107,0),1)</f>
        <v>75</v>
      </c>
      <c r="J132" s="28">
        <f>H132*10*(1+VLOOKUP(I132,技能效果!$B$2:$D$101,3,FALSE))</f>
        <v>109395.36000000002</v>
      </c>
      <c r="K132" s="28">
        <f>H132*10*(1+VLOOKUP(I132,技能效果!$B$2:$D$101,3,FALSE))*(1+G132)</f>
        <v>312459.73577281425</v>
      </c>
      <c r="L132" s="2">
        <f t="shared" ref="L132:L195" si="34">(INT((C132-1)/10)+1)*10</f>
        <v>130</v>
      </c>
      <c r="M132" s="28">
        <f t="shared" ref="M132:M195" si="35">INDEX($J$3:$J$202,MATCH(L132,$C$3:$C$202,0),1)</f>
        <v>109395.36000000002</v>
      </c>
      <c r="N132" s="28">
        <f t="shared" ref="N132:N195" si="36">INDEX($K$3:$K$202,MATCH(L132,$C$3:$C$202,0),1)</f>
        <v>312459.73577281425</v>
      </c>
      <c r="O132" s="62">
        <f t="shared" si="31"/>
        <v>312460</v>
      </c>
      <c r="P132" s="62">
        <f t="shared" si="32"/>
        <v>109395</v>
      </c>
      <c r="Q132" s="64">
        <f t="shared" si="30"/>
        <v>11660</v>
      </c>
      <c r="R132" s="67">
        <v>1</v>
      </c>
      <c r="S132" s="67">
        <v>1</v>
      </c>
      <c r="T132" s="67">
        <v>1</v>
      </c>
      <c r="U132" s="67">
        <v>1</v>
      </c>
      <c r="V132" s="67">
        <v>1</v>
      </c>
      <c r="W132" s="28">
        <v>0</v>
      </c>
      <c r="X132" s="28">
        <v>0</v>
      </c>
      <c r="Y132" s="28">
        <v>0</v>
      </c>
      <c r="Z132" s="28">
        <v>0</v>
      </c>
      <c r="AA132" s="28">
        <v>0</v>
      </c>
      <c r="AB132" s="64">
        <f>INDEX(角色属性!AM$8:AM$107,MATCH($D132,角色属性!$I$8:$I$107,0),1)</f>
        <v>477880</v>
      </c>
      <c r="AC132" s="64">
        <f>INDEX(角色属性!AN$8:AN$107,MATCH($D132,角色属性!$I$8:$I$107,0),1)</f>
        <v>47788</v>
      </c>
      <c r="AD132" s="64">
        <f>INDEX(角色属性!AO$8:AO$107,MATCH($D132,角色属性!$I$8:$I$107,0),1)</f>
        <v>23894</v>
      </c>
      <c r="AE132" s="64">
        <f>INDEX(角色属性!AP$8:AP$107,MATCH($D132,角色属性!$I$8:$I$107,0),1)</f>
        <v>19115.2</v>
      </c>
      <c r="AF132" s="64">
        <f>INDEX(角色属性!AQ$8:AQ$107,MATCH($D132,角色属性!$I$8:$I$107,0),1)</f>
        <v>19115.2</v>
      </c>
      <c r="AG132" s="64">
        <f>$P132/10/(1+VLOOKUP(I132,技能效果!$B$2:$D$101,3,FALSE))*怪物属性规划!A$18*INDEX(怪物属性等级系数!$A$2:$A$101,MATCH(D132,怪物属性等级系数!$D$2:$D$101,0),1)*R132+W132</f>
        <v>127770.92877077006</v>
      </c>
      <c r="AH132" s="64">
        <f>$P132/10/(1+VLOOKUP($I132,技能效果!$B$2:$D$101,3,FALSE))*怪物属性规划!B$18*S132+X132</f>
        <v>8440.9722222222208</v>
      </c>
      <c r="AI132" s="64">
        <f>$P132/10/(1+VLOOKUP($I132,技能效果!$B$2:$D$101,3,FALSE))*怪物属性规划!C$18*T132+Y132</f>
        <v>8440.9722222222208</v>
      </c>
      <c r="AJ132" s="64">
        <f>$P132/10/(1+VLOOKUP($I132,技能效果!$B$2:$D$101,3,FALSE))*怪物属性规划!D$18*U132+Z132</f>
        <v>6752.7777777777774</v>
      </c>
      <c r="AK132" s="64">
        <f>$P132/10/(1+VLOOKUP($I132,技能效果!$B$2:$D$101,3,FALSE))*怪物属性规划!E$18*V132+AA132</f>
        <v>6752.7777777777774</v>
      </c>
      <c r="AL132" s="67">
        <f>INDEX(角色属性!BB$8:BB$107,MATCH($D132,角色属性!$I$8:$I$107,0),1)</f>
        <v>1.7400000000000007</v>
      </c>
      <c r="AM132" s="64">
        <f>INDEX(角色属性!BC$8:BC$107,MATCH($D132,角色属性!$I$8:$I$107,0),1)</f>
        <v>21519</v>
      </c>
      <c r="AN132" s="64">
        <f>INDEX(角色属性!BD$8:BD$107,MATCH($D132,角色属性!$I$8:$I$107,0),1)</f>
        <v>2841</v>
      </c>
      <c r="AO132" s="69">
        <f t="shared" ref="AO132:AO195" si="37">1*AI132/(AI132+0+0.429*AM132)</f>
        <v>0.47762984114368628</v>
      </c>
      <c r="AP132" s="69">
        <f t="shared" ref="AP132:AP195" si="38">1*AD132/(AD132+0+0.429*AN132)</f>
        <v>0.95146739774702038</v>
      </c>
      <c r="AQ132" s="64">
        <f>AL132*角色属性!$BA$1*(AC132*(1-AO132)+MAX(AF132-AJ132,0))</f>
        <v>129892.55686029418</v>
      </c>
      <c r="AR132" s="64">
        <f>角色属性!$BA$1*(AH132*(1-AP132)+MAX(AK132-AE132,0))</f>
        <v>819.32469497912109</v>
      </c>
      <c r="AS132" s="73">
        <f t="shared" ref="AS132:AS195" si="39">AG132/(AQ132*1.8)</f>
        <v>0.54648126908026828</v>
      </c>
      <c r="AT132" s="73">
        <f t="shared" ref="AT132:AT195" si="40">AG132/(AQ132*1.8*1.5)</f>
        <v>0.36432084605351217</v>
      </c>
      <c r="AU132" s="73">
        <f t="shared" ref="AU132:AU195" si="41">AG132/(AQ132*1.8*2)</f>
        <v>0.27324063454013414</v>
      </c>
      <c r="AV132" s="73">
        <f t="shared" ref="AV132:AV195" si="42">AB132/AR132</f>
        <v>583.26082800687198</v>
      </c>
      <c r="AW132" s="73">
        <f t="shared" ref="AW132:AW195" si="43">AB132/(AR132*1.5)</f>
        <v>388.8405520045813</v>
      </c>
      <c r="AX132" s="2" t="str">
        <f t="shared" ref="AX132:AX195" si="44">"r_guanqia_"&amp;C132</f>
        <v>r_guanqia_130</v>
      </c>
      <c r="AY132" s="2">
        <f>ROUND(($P132*R132/10/$H132/(1+VLOOKUP($I132,技能效果!$B$2:$D$101,3,FALSE))-1)*10000,0)</f>
        <v>0</v>
      </c>
      <c r="AZ132" s="2">
        <f>ROUND(($P132*S132/10/$H132/(1+VLOOKUP($I132,技能效果!$B$2:$D$101,3,FALSE))-1)*10000,0)</f>
        <v>0</v>
      </c>
      <c r="BA132" s="2">
        <f>ROUND(($P132*T132/10/$H132/(1+VLOOKUP($I132,技能效果!$B$2:$D$101,3,FALSE))-1)*10000,0)</f>
        <v>0</v>
      </c>
      <c r="BB132" s="2">
        <f>ROUND(($P132*U132/10/$H132/(1+VLOOKUP($I132,技能效果!$B$2:$D$101,3,FALSE))-1)*10000,0)</f>
        <v>0</v>
      </c>
      <c r="BC132" s="2">
        <f>ROUND(($P132*V132/10/$H132/(1+VLOOKUP($I132,技能效果!$B$2:$D$101,3,FALSE))-1)*10000,0)</f>
        <v>0</v>
      </c>
    </row>
    <row r="133" spans="2:55" x14ac:dyDescent="0.15">
      <c r="B133" s="83" t="s">
        <v>125</v>
      </c>
      <c r="C133" s="2">
        <v>131</v>
      </c>
      <c r="D133" s="2">
        <f t="shared" si="33"/>
        <v>75</v>
      </c>
      <c r="E133" s="2">
        <v>2</v>
      </c>
      <c r="F133" s="28">
        <f>INDEX([3]宠物属性!$AL$8:$AL$107,MATCH(D133,[3]宠物属性!$I$8:$I$107,0),1)</f>
        <v>287407.90159433859</v>
      </c>
      <c r="G133" s="68">
        <f>F133/INDEX(角色属性!$AI$8:$AI$107,MATCH(D133,角色属性!$I$8:$I$107,0),1)*E133</f>
        <v>1.8562430415039013</v>
      </c>
      <c r="H133" s="2">
        <f>INDEX(角色属性!$AL$8:$AL$107,MATCH(D133,角色属性!$I$8:$I$107,0),1)</f>
        <v>8441</v>
      </c>
      <c r="I133" s="2">
        <f>INDEX(角色属性!$Y$8:$Y$107,MATCH(D133,角色属性!$I$8:$I$107,0),1)</f>
        <v>75</v>
      </c>
      <c r="J133" s="28">
        <f>H133*10*(1+VLOOKUP(I133,技能效果!$B$2:$D$101,3,FALSE))</f>
        <v>109395.36000000002</v>
      </c>
      <c r="K133" s="28">
        <f>H133*10*(1+VLOOKUP(I133,技能效果!$B$2:$D$101,3,FALSE))*(1+G133)</f>
        <v>312459.73577281425</v>
      </c>
      <c r="L133" s="2">
        <f t="shared" si="34"/>
        <v>140</v>
      </c>
      <c r="M133" s="28">
        <f t="shared" si="35"/>
        <v>132534.36000000002</v>
      </c>
      <c r="N133" s="28">
        <f t="shared" si="36"/>
        <v>353302.1269870759</v>
      </c>
      <c r="O133" s="62">
        <f t="shared" si="31"/>
        <v>313685</v>
      </c>
      <c r="P133" s="62">
        <f t="shared" si="32"/>
        <v>110090</v>
      </c>
      <c r="Q133" s="64">
        <f t="shared" ref="Q133:Q196" si="45">O133-O132</f>
        <v>1225</v>
      </c>
      <c r="R133" s="67">
        <v>1</v>
      </c>
      <c r="S133" s="67">
        <v>1</v>
      </c>
      <c r="T133" s="67">
        <v>1</v>
      </c>
      <c r="U133" s="67">
        <v>1</v>
      </c>
      <c r="V133" s="67">
        <v>1</v>
      </c>
      <c r="W133" s="28">
        <v>0</v>
      </c>
      <c r="X133" s="28">
        <v>0</v>
      </c>
      <c r="Y133" s="28">
        <v>0</v>
      </c>
      <c r="Z133" s="28">
        <v>0</v>
      </c>
      <c r="AA133" s="28">
        <v>0</v>
      </c>
      <c r="AB133" s="64">
        <f>INDEX(角色属性!AM$8:AM$107,MATCH($D133,角色属性!$I$8:$I$107,0),1)</f>
        <v>477880</v>
      </c>
      <c r="AC133" s="64">
        <f>INDEX(角色属性!AN$8:AN$107,MATCH($D133,角色属性!$I$8:$I$107,0),1)</f>
        <v>47788</v>
      </c>
      <c r="AD133" s="64">
        <f>INDEX(角色属性!AO$8:AO$107,MATCH($D133,角色属性!$I$8:$I$107,0),1)</f>
        <v>23894</v>
      </c>
      <c r="AE133" s="64">
        <f>INDEX(角色属性!AP$8:AP$107,MATCH($D133,角色属性!$I$8:$I$107,0),1)</f>
        <v>19115.2</v>
      </c>
      <c r="AF133" s="64">
        <f>INDEX(角色属性!AQ$8:AQ$107,MATCH($D133,角色属性!$I$8:$I$107,0),1)</f>
        <v>19115.2</v>
      </c>
      <c r="AG133" s="64">
        <f>$P133/10/(1+VLOOKUP(I133,技能效果!$B$2:$D$101,3,FALSE))*怪物属性规划!A$18*INDEX(怪物属性等级系数!$A$2:$A$101,MATCH(D133,怪物属性等级系数!$D$2:$D$101,0),1)*R133+W133</f>
        <v>128582.67332486931</v>
      </c>
      <c r="AH133" s="64">
        <f>$P133/10/(1+VLOOKUP($I133,技能效果!$B$2:$D$101,3,FALSE))*怪物属性规划!B$18*S133+X133</f>
        <v>8494.5987654320979</v>
      </c>
      <c r="AI133" s="64">
        <f>$P133/10/(1+VLOOKUP($I133,技能效果!$B$2:$D$101,3,FALSE))*怪物属性规划!C$18*T133+Y133</f>
        <v>8494.5987654320979</v>
      </c>
      <c r="AJ133" s="64">
        <f>$P133/10/(1+VLOOKUP($I133,技能效果!$B$2:$D$101,3,FALSE))*怪物属性规划!D$18*U133+Z133</f>
        <v>6795.6790123456785</v>
      </c>
      <c r="AK133" s="64">
        <f>$P133/10/(1+VLOOKUP($I133,技能效果!$B$2:$D$101,3,FALSE))*怪物属性规划!E$18*V133+AA133</f>
        <v>6795.6790123456785</v>
      </c>
      <c r="AL133" s="67">
        <f>INDEX(角色属性!BB$8:BB$107,MATCH($D133,角色属性!$I$8:$I$107,0),1)</f>
        <v>1.7400000000000007</v>
      </c>
      <c r="AM133" s="64">
        <f>INDEX(角色属性!BC$8:BC$107,MATCH($D133,角色属性!$I$8:$I$107,0),1)</f>
        <v>21519</v>
      </c>
      <c r="AN133" s="64">
        <f>INDEX(角色属性!BD$8:BD$107,MATCH($D133,角色属性!$I$8:$I$107,0),1)</f>
        <v>2841</v>
      </c>
      <c r="AO133" s="69">
        <f t="shared" si="37"/>
        <v>0.47921014754047908</v>
      </c>
      <c r="AP133" s="69">
        <f t="shared" si="38"/>
        <v>0.95146739774702038</v>
      </c>
      <c r="AQ133" s="64">
        <f>AL133*角色属性!$BA$1*(AC133*(1-AO133)+MAX(AF133-AJ133,0))</f>
        <v>129480.45207032493</v>
      </c>
      <c r="AR133" s="64">
        <f>角色属性!$BA$1*(AH133*(1-AP133)+MAX(AK133-AE133,0))</f>
        <v>824.52996636273542</v>
      </c>
      <c r="AS133" s="73">
        <f t="shared" si="39"/>
        <v>0.55170349942103825</v>
      </c>
      <c r="AT133" s="73">
        <f t="shared" si="40"/>
        <v>0.36780233294735887</v>
      </c>
      <c r="AU133" s="73">
        <f t="shared" si="41"/>
        <v>0.27585174971051912</v>
      </c>
      <c r="AV133" s="73">
        <f t="shared" si="42"/>
        <v>579.57869270425795</v>
      </c>
      <c r="AW133" s="73">
        <f t="shared" si="43"/>
        <v>386.38579513617202</v>
      </c>
      <c r="AX133" s="2" t="str">
        <f t="shared" si="44"/>
        <v>r_guanqia_131</v>
      </c>
      <c r="AY133" s="2">
        <f>ROUND(($P133*R133/10/$H133/(1+VLOOKUP($I133,技能效果!$B$2:$D$101,3,FALSE))-1)*10000,0)</f>
        <v>63</v>
      </c>
      <c r="AZ133" s="2">
        <f>ROUND(($P133*S133/10/$H133/(1+VLOOKUP($I133,技能效果!$B$2:$D$101,3,FALSE))-1)*10000,0)</f>
        <v>63</v>
      </c>
      <c r="BA133" s="2">
        <f>ROUND(($P133*T133/10/$H133/(1+VLOOKUP($I133,技能效果!$B$2:$D$101,3,FALSE))-1)*10000,0)</f>
        <v>63</v>
      </c>
      <c r="BB133" s="2">
        <f>ROUND(($P133*U133/10/$H133/(1+VLOOKUP($I133,技能效果!$B$2:$D$101,3,FALSE))-1)*10000,0)</f>
        <v>63</v>
      </c>
      <c r="BC133" s="2">
        <f>ROUND(($P133*V133/10/$H133/(1+VLOOKUP($I133,技能效果!$B$2:$D$101,3,FALSE))-1)*10000,0)</f>
        <v>63</v>
      </c>
    </row>
    <row r="134" spans="2:55" x14ac:dyDescent="0.15">
      <c r="B134" s="83"/>
      <c r="C134" s="2">
        <v>132</v>
      </c>
      <c r="D134" s="2">
        <f t="shared" si="33"/>
        <v>75</v>
      </c>
      <c r="E134" s="2">
        <v>2</v>
      </c>
      <c r="F134" s="28">
        <f>INDEX([3]宠物属性!$AL$8:$AL$107,MATCH(D134,[3]宠物属性!$I$8:$I$107,0),1)</f>
        <v>287407.90159433859</v>
      </c>
      <c r="G134" s="68">
        <f>F134/INDEX(角色属性!$AI$8:$AI$107,MATCH(D134,角色属性!$I$8:$I$107,0),1)*E134</f>
        <v>1.8562430415039013</v>
      </c>
      <c r="H134" s="2">
        <f>INDEX(角色属性!$AL$8:$AL$107,MATCH(D134,角色属性!$I$8:$I$107,0),1)</f>
        <v>8441</v>
      </c>
      <c r="I134" s="2">
        <f>INDEX(角色属性!$Y$8:$Y$107,MATCH(D134,角色属性!$I$8:$I$107,0),1)</f>
        <v>75</v>
      </c>
      <c r="J134" s="28">
        <f>H134*10*(1+VLOOKUP(I134,技能效果!$B$2:$D$101,3,FALSE))</f>
        <v>109395.36000000002</v>
      </c>
      <c r="K134" s="28">
        <f>H134*10*(1+VLOOKUP(I134,技能效果!$B$2:$D$101,3,FALSE))*(1+G134)</f>
        <v>312459.73577281425</v>
      </c>
      <c r="L134" s="2">
        <f t="shared" si="34"/>
        <v>140</v>
      </c>
      <c r="M134" s="28">
        <f t="shared" si="35"/>
        <v>132534.36000000002</v>
      </c>
      <c r="N134" s="28">
        <f t="shared" si="36"/>
        <v>353302.1269870759</v>
      </c>
      <c r="O134" s="62">
        <f t="shared" si="31"/>
        <v>315727</v>
      </c>
      <c r="P134" s="62">
        <f t="shared" si="32"/>
        <v>111246</v>
      </c>
      <c r="Q134" s="64">
        <f t="shared" si="45"/>
        <v>2042</v>
      </c>
      <c r="R134" s="67">
        <v>1</v>
      </c>
      <c r="S134" s="67">
        <v>1</v>
      </c>
      <c r="T134" s="67">
        <v>1</v>
      </c>
      <c r="U134" s="67">
        <v>1</v>
      </c>
      <c r="V134" s="67">
        <v>1</v>
      </c>
      <c r="W134" s="28">
        <v>0</v>
      </c>
      <c r="X134" s="28">
        <v>0</v>
      </c>
      <c r="Y134" s="28">
        <v>0</v>
      </c>
      <c r="Z134" s="28">
        <v>0</v>
      </c>
      <c r="AA134" s="28">
        <v>0</v>
      </c>
      <c r="AB134" s="64">
        <f>INDEX(角色属性!AM$8:AM$107,MATCH($D134,角色属性!$I$8:$I$107,0),1)</f>
        <v>477880</v>
      </c>
      <c r="AC134" s="64">
        <f>INDEX(角色属性!AN$8:AN$107,MATCH($D134,角色属性!$I$8:$I$107,0),1)</f>
        <v>47788</v>
      </c>
      <c r="AD134" s="64">
        <f>INDEX(角色属性!AO$8:AO$107,MATCH($D134,角色属性!$I$8:$I$107,0),1)</f>
        <v>23894</v>
      </c>
      <c r="AE134" s="64">
        <f>INDEX(角色属性!AP$8:AP$107,MATCH($D134,角色属性!$I$8:$I$107,0),1)</f>
        <v>19115.2</v>
      </c>
      <c r="AF134" s="64">
        <f>INDEX(角色属性!AQ$8:AQ$107,MATCH($D134,角色属性!$I$8:$I$107,0),1)</f>
        <v>19115.2</v>
      </c>
      <c r="AG134" s="64">
        <f>$P134/10/(1+VLOOKUP(I134,技能效果!$B$2:$D$101,3,FALSE))*怪物属性规划!A$18*INDEX(怪物属性等级系数!$A$2:$A$101,MATCH(D134,怪物属性等级系数!$D$2:$D$101,0),1)*R134+W134</f>
        <v>129932.85563355808</v>
      </c>
      <c r="AH134" s="64">
        <f>$P134/10/(1+VLOOKUP($I134,技能效果!$B$2:$D$101,3,FALSE))*怪物属性规划!B$18*S134+X134</f>
        <v>8583.7962962962956</v>
      </c>
      <c r="AI134" s="64">
        <f>$P134/10/(1+VLOOKUP($I134,技能效果!$B$2:$D$101,3,FALSE))*怪物属性规划!C$18*T134+Y134</f>
        <v>8583.7962962962956</v>
      </c>
      <c r="AJ134" s="64">
        <f>$P134/10/(1+VLOOKUP($I134,技能效果!$B$2:$D$101,3,FALSE))*怪物属性规划!D$18*U134+Z134</f>
        <v>6867.0370370370365</v>
      </c>
      <c r="AK134" s="64">
        <f>$P134/10/(1+VLOOKUP($I134,技能效果!$B$2:$D$101,3,FALSE))*怪物属性规划!E$18*V134+AA134</f>
        <v>6867.0370370370365</v>
      </c>
      <c r="AL134" s="67">
        <f>INDEX(角色属性!BB$8:BB$107,MATCH($D134,角色属性!$I$8:$I$107,0),1)</f>
        <v>1.7400000000000007</v>
      </c>
      <c r="AM134" s="64">
        <f>INDEX(角色属性!BC$8:BC$107,MATCH($D134,角色属性!$I$8:$I$107,0),1)</f>
        <v>21519</v>
      </c>
      <c r="AN134" s="64">
        <f>INDEX(角色属性!BD$8:BD$107,MATCH($D134,角色属性!$I$8:$I$107,0),1)</f>
        <v>2841</v>
      </c>
      <c r="AO134" s="69">
        <f t="shared" si="37"/>
        <v>0.48181761330689715</v>
      </c>
      <c r="AP134" s="69">
        <f t="shared" si="38"/>
        <v>0.95146739774702038</v>
      </c>
      <c r="AQ134" s="64">
        <f>AL134*角色属性!$BA$1*(AC134*(1-AO134)+MAX(AF134-AJ134,0))</f>
        <v>128798.49874672035</v>
      </c>
      <c r="AR134" s="64">
        <f>角色属性!$BA$1*(AH134*(1-AP134)+MAX(AK134-AE134,0))</f>
        <v>833.18794293749534</v>
      </c>
      <c r="AS134" s="73">
        <f t="shared" si="39"/>
        <v>0.56044845630049889</v>
      </c>
      <c r="AT134" s="73">
        <f t="shared" si="40"/>
        <v>0.37363230420033255</v>
      </c>
      <c r="AU134" s="73">
        <f t="shared" si="41"/>
        <v>0.28022422815024944</v>
      </c>
      <c r="AV134" s="73">
        <f t="shared" si="42"/>
        <v>573.55606745241857</v>
      </c>
      <c r="AW134" s="73">
        <f t="shared" si="43"/>
        <v>382.37071163494574</v>
      </c>
      <c r="AX134" s="2" t="str">
        <f t="shared" si="44"/>
        <v>r_guanqia_132</v>
      </c>
      <c r="AY134" s="2">
        <f>ROUND(($P134*R134/10/$H134/(1+VLOOKUP($I134,技能效果!$B$2:$D$101,3,FALSE))-1)*10000,0)</f>
        <v>169</v>
      </c>
      <c r="AZ134" s="2">
        <f>ROUND(($P134*S134/10/$H134/(1+VLOOKUP($I134,技能效果!$B$2:$D$101,3,FALSE))-1)*10000,0)</f>
        <v>169</v>
      </c>
      <c r="BA134" s="2">
        <f>ROUND(($P134*T134/10/$H134/(1+VLOOKUP($I134,技能效果!$B$2:$D$101,3,FALSE))-1)*10000,0)</f>
        <v>169</v>
      </c>
      <c r="BB134" s="2">
        <f>ROUND(($P134*U134/10/$H134/(1+VLOOKUP($I134,技能效果!$B$2:$D$101,3,FALSE))-1)*10000,0)</f>
        <v>169</v>
      </c>
      <c r="BC134" s="2">
        <f>ROUND(($P134*V134/10/$H134/(1+VLOOKUP($I134,技能效果!$B$2:$D$101,3,FALSE))-1)*10000,0)</f>
        <v>169</v>
      </c>
    </row>
    <row r="135" spans="2:55" x14ac:dyDescent="0.15">
      <c r="B135" s="83"/>
      <c r="C135" s="2">
        <v>133</v>
      </c>
      <c r="D135" s="2">
        <f t="shared" si="33"/>
        <v>76</v>
      </c>
      <c r="E135" s="2">
        <v>2</v>
      </c>
      <c r="F135" s="28">
        <f>INDEX([3]宠物属性!$AL$8:$AL$107,MATCH(D135,[3]宠物属性!$I$8:$I$107,0),1)</f>
        <v>290151.34722217923</v>
      </c>
      <c r="G135" s="68">
        <f>F135/INDEX(角色属性!$AI$8:$AI$107,MATCH(D135,角色属性!$I$8:$I$107,0),1)*E135</f>
        <v>1.8605647217160797</v>
      </c>
      <c r="H135" s="2">
        <f>INDEX(角色属性!$AL$8:$AL$107,MATCH(D135,角色属性!$I$8:$I$107,0),1)</f>
        <v>8752</v>
      </c>
      <c r="I135" s="2">
        <f>INDEX(角色属性!$Y$8:$Y$107,MATCH(D135,角色属性!$I$8:$I$107,0),1)</f>
        <v>76</v>
      </c>
      <c r="J135" s="28">
        <f>H135*10*(1+VLOOKUP(I135,技能效果!$B$2:$D$101,3,FALSE))</f>
        <v>113776.00000000003</v>
      </c>
      <c r="K135" s="28">
        <f>H135*10*(1+VLOOKUP(I135,技能效果!$B$2:$D$101,3,FALSE))*(1+G135)</f>
        <v>325463.61177796876</v>
      </c>
      <c r="L135" s="2">
        <f t="shared" si="34"/>
        <v>140</v>
      </c>
      <c r="M135" s="28">
        <f t="shared" si="35"/>
        <v>132534.36000000002</v>
      </c>
      <c r="N135" s="28">
        <f t="shared" si="36"/>
        <v>353302.1269870759</v>
      </c>
      <c r="O135" s="62">
        <f t="shared" si="31"/>
        <v>318586</v>
      </c>
      <c r="P135" s="62">
        <f t="shared" si="32"/>
        <v>112866</v>
      </c>
      <c r="Q135" s="64">
        <f t="shared" si="45"/>
        <v>2859</v>
      </c>
      <c r="R135" s="67">
        <v>1</v>
      </c>
      <c r="S135" s="67">
        <v>1</v>
      </c>
      <c r="T135" s="67">
        <v>1</v>
      </c>
      <c r="U135" s="67">
        <v>1</v>
      </c>
      <c r="V135" s="67">
        <v>1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64">
        <f>INDEX(角色属性!AM$8:AM$107,MATCH($D135,角色属性!$I$8:$I$107,0),1)</f>
        <v>479839.99999999994</v>
      </c>
      <c r="AC135" s="64">
        <f>INDEX(角色属性!AN$8:AN$107,MATCH($D135,角色属性!$I$8:$I$107,0),1)</f>
        <v>47984</v>
      </c>
      <c r="AD135" s="64">
        <f>INDEX(角色属性!AO$8:AO$107,MATCH($D135,角色属性!$I$8:$I$107,0),1)</f>
        <v>23992</v>
      </c>
      <c r="AE135" s="64">
        <f>INDEX(角色属性!AP$8:AP$107,MATCH($D135,角色属性!$I$8:$I$107,0),1)</f>
        <v>19193.599999999999</v>
      </c>
      <c r="AF135" s="64">
        <f>INDEX(角色属性!AQ$8:AQ$107,MATCH($D135,角色属性!$I$8:$I$107,0),1)</f>
        <v>19193.599999999999</v>
      </c>
      <c r="AG135" s="64">
        <f>$P135/10/(1+VLOOKUP(I135,技能效果!$B$2:$D$101,3,FALSE))*怪物属性规划!A$18*INDEX(怪物属性等级系数!$A$2:$A$101,MATCH(D135,怪物属性等级系数!$D$2:$D$101,0),1)*R135+W135</f>
        <v>132955.7993922375</v>
      </c>
      <c r="AH135" s="64">
        <f>$P135/10/(1+VLOOKUP($I135,技能效果!$B$2:$D$101,3,FALSE))*怪物属性规划!B$18*S135+X135</f>
        <v>8681.9999999999982</v>
      </c>
      <c r="AI135" s="64">
        <f>$P135/10/(1+VLOOKUP($I135,技能效果!$B$2:$D$101,3,FALSE))*怪物属性规划!C$18*T135+Y135</f>
        <v>8681.9999999999982</v>
      </c>
      <c r="AJ135" s="64">
        <f>$P135/10/(1+VLOOKUP($I135,技能效果!$B$2:$D$101,3,FALSE))*怪物属性规划!D$18*U135+Z135</f>
        <v>6945.5999999999985</v>
      </c>
      <c r="AK135" s="64">
        <f>$P135/10/(1+VLOOKUP($I135,技能效果!$B$2:$D$101,3,FALSE))*怪物属性规划!E$18*V135+AA135</f>
        <v>6945.5999999999985</v>
      </c>
      <c r="AL135" s="67">
        <f>INDEX(角色属性!BB$8:BB$107,MATCH($D135,角色属性!$I$8:$I$107,0),1)</f>
        <v>1.7500000000000007</v>
      </c>
      <c r="AM135" s="64">
        <f>INDEX(角色属性!BC$8:BC$107,MATCH($D135,角色属性!$I$8:$I$107,0),1)</f>
        <v>22582</v>
      </c>
      <c r="AN135" s="64">
        <f>INDEX(角色属性!BD$8:BD$107,MATCH($D135,角色属性!$I$8:$I$107,0),1)</f>
        <v>2852</v>
      </c>
      <c r="AO135" s="69">
        <f t="shared" si="37"/>
        <v>0.47262668403877295</v>
      </c>
      <c r="AP135" s="69">
        <f t="shared" si="38"/>
        <v>0.95147795555021131</v>
      </c>
      <c r="AQ135" s="64">
        <f>AL135*角色属性!$BA$1*(AC135*(1-AO135)+MAX(AF135-AJ135,0))</f>
        <v>131437.18417579238</v>
      </c>
      <c r="AR135" s="64">
        <f>角色属性!$BA$1*(AH135*(1-AP135)+MAX(AK135-AE135,0))</f>
        <v>842.53677982613067</v>
      </c>
      <c r="AS135" s="73">
        <f t="shared" si="39"/>
        <v>0.56197440213643557</v>
      </c>
      <c r="AT135" s="73">
        <f t="shared" si="40"/>
        <v>0.37464960142429038</v>
      </c>
      <c r="AU135" s="73">
        <f t="shared" si="41"/>
        <v>0.28098720106821778</v>
      </c>
      <c r="AV135" s="73">
        <f t="shared" si="42"/>
        <v>569.5181640604718</v>
      </c>
      <c r="AW135" s="73">
        <f t="shared" si="43"/>
        <v>379.67877604031452</v>
      </c>
      <c r="AX135" s="2" t="str">
        <f t="shared" si="44"/>
        <v>r_guanqia_133</v>
      </c>
      <c r="AY135" s="2">
        <f>ROUND(($P135*R135/10/$H135/(1+VLOOKUP($I135,技能效果!$B$2:$D$101,3,FALSE))-1)*10000,0)</f>
        <v>-80</v>
      </c>
      <c r="AZ135" s="2">
        <f>ROUND(($P135*S135/10/$H135/(1+VLOOKUP($I135,技能效果!$B$2:$D$101,3,FALSE))-1)*10000,0)</f>
        <v>-80</v>
      </c>
      <c r="BA135" s="2">
        <f>ROUND(($P135*T135/10/$H135/(1+VLOOKUP($I135,技能效果!$B$2:$D$101,3,FALSE))-1)*10000,0)</f>
        <v>-80</v>
      </c>
      <c r="BB135" s="2">
        <f>ROUND(($P135*U135/10/$H135/(1+VLOOKUP($I135,技能效果!$B$2:$D$101,3,FALSE))-1)*10000,0)</f>
        <v>-80</v>
      </c>
      <c r="BC135" s="2">
        <f>ROUND(($P135*V135/10/$H135/(1+VLOOKUP($I135,技能效果!$B$2:$D$101,3,FALSE))-1)*10000,0)</f>
        <v>-80</v>
      </c>
    </row>
    <row r="136" spans="2:55" x14ac:dyDescent="0.15">
      <c r="B136" s="83"/>
      <c r="C136" s="2">
        <v>134</v>
      </c>
      <c r="D136" s="2">
        <f t="shared" si="33"/>
        <v>76</v>
      </c>
      <c r="E136" s="2">
        <v>2</v>
      </c>
      <c r="F136" s="28">
        <f>INDEX([3]宠物属性!$AL$8:$AL$107,MATCH(D136,[3]宠物属性!$I$8:$I$107,0),1)</f>
        <v>290151.34722217923</v>
      </c>
      <c r="G136" s="68">
        <f>F136/INDEX(角色属性!$AI$8:$AI$107,MATCH(D136,角色属性!$I$8:$I$107,0),1)*E136</f>
        <v>1.8605647217160797</v>
      </c>
      <c r="H136" s="2">
        <f>INDEX(角色属性!$AL$8:$AL$107,MATCH(D136,角色属性!$I$8:$I$107,0),1)</f>
        <v>8752</v>
      </c>
      <c r="I136" s="2">
        <f>INDEX(角色属性!$Y$8:$Y$107,MATCH(D136,角色属性!$I$8:$I$107,0),1)</f>
        <v>76</v>
      </c>
      <c r="J136" s="28">
        <f>H136*10*(1+VLOOKUP(I136,技能效果!$B$2:$D$101,3,FALSE))</f>
        <v>113776.00000000003</v>
      </c>
      <c r="K136" s="28">
        <f>H136*10*(1+VLOOKUP(I136,技能效果!$B$2:$D$101,3,FALSE))*(1+G136)</f>
        <v>325463.61177796876</v>
      </c>
      <c r="L136" s="2">
        <f t="shared" si="34"/>
        <v>140</v>
      </c>
      <c r="M136" s="28">
        <f t="shared" si="35"/>
        <v>132534.36000000002</v>
      </c>
      <c r="N136" s="28">
        <f t="shared" si="36"/>
        <v>353302.1269870759</v>
      </c>
      <c r="O136" s="62">
        <f t="shared" si="31"/>
        <v>322262</v>
      </c>
      <c r="P136" s="62">
        <f t="shared" si="32"/>
        <v>114949</v>
      </c>
      <c r="Q136" s="64">
        <f t="shared" si="45"/>
        <v>3676</v>
      </c>
      <c r="R136" s="67">
        <v>1</v>
      </c>
      <c r="S136" s="67">
        <v>1</v>
      </c>
      <c r="T136" s="67">
        <v>1</v>
      </c>
      <c r="U136" s="67">
        <v>1</v>
      </c>
      <c r="V136" s="67">
        <v>1</v>
      </c>
      <c r="W136" s="28">
        <v>0</v>
      </c>
      <c r="X136" s="28">
        <v>0</v>
      </c>
      <c r="Y136" s="28">
        <v>0</v>
      </c>
      <c r="Z136" s="28">
        <v>0</v>
      </c>
      <c r="AA136" s="28">
        <v>0</v>
      </c>
      <c r="AB136" s="64">
        <f>INDEX(角色属性!AM$8:AM$107,MATCH($D136,角色属性!$I$8:$I$107,0),1)</f>
        <v>479839.99999999994</v>
      </c>
      <c r="AC136" s="64">
        <f>INDEX(角色属性!AN$8:AN$107,MATCH($D136,角色属性!$I$8:$I$107,0),1)</f>
        <v>47984</v>
      </c>
      <c r="AD136" s="64">
        <f>INDEX(角色属性!AO$8:AO$107,MATCH($D136,角色属性!$I$8:$I$107,0),1)</f>
        <v>23992</v>
      </c>
      <c r="AE136" s="64">
        <f>INDEX(角色属性!AP$8:AP$107,MATCH($D136,角色属性!$I$8:$I$107,0),1)</f>
        <v>19193.599999999999</v>
      </c>
      <c r="AF136" s="64">
        <f>INDEX(角色属性!AQ$8:AQ$107,MATCH($D136,角色属性!$I$8:$I$107,0),1)</f>
        <v>19193.599999999999</v>
      </c>
      <c r="AG136" s="64">
        <f>$P136/10/(1+VLOOKUP(I136,技能效果!$B$2:$D$101,3,FALSE))*怪物属性规划!A$18*INDEX(怪物属性等级系数!$A$2:$A$101,MATCH(D136,怪物属性等级系数!$D$2:$D$101,0),1)*R136+W136</f>
        <v>135409.5669585022</v>
      </c>
      <c r="AH136" s="64">
        <f>$P136/10/(1+VLOOKUP($I136,技能效果!$B$2:$D$101,3,FALSE))*怪物属性规划!B$18*S136+X136</f>
        <v>8842.2307692307677</v>
      </c>
      <c r="AI136" s="64">
        <f>$P136/10/(1+VLOOKUP($I136,技能效果!$B$2:$D$101,3,FALSE))*怪物属性规划!C$18*T136+Y136</f>
        <v>8842.2307692307677</v>
      </c>
      <c r="AJ136" s="64">
        <f>$P136/10/(1+VLOOKUP($I136,技能效果!$B$2:$D$101,3,FALSE))*怪物属性规划!D$18*U136+Z136</f>
        <v>7073.7846153846149</v>
      </c>
      <c r="AK136" s="64">
        <f>$P136/10/(1+VLOOKUP($I136,技能效果!$B$2:$D$101,3,FALSE))*怪物属性规划!E$18*V136+AA136</f>
        <v>7073.7846153846149</v>
      </c>
      <c r="AL136" s="67">
        <f>INDEX(角色属性!BB$8:BB$107,MATCH($D136,角色属性!$I$8:$I$107,0),1)</f>
        <v>1.7500000000000007</v>
      </c>
      <c r="AM136" s="64">
        <f>INDEX(角色属性!BC$8:BC$107,MATCH($D136,角色属性!$I$8:$I$107,0),1)</f>
        <v>22582</v>
      </c>
      <c r="AN136" s="64">
        <f>INDEX(角色属性!BD$8:BD$107,MATCH($D136,角色属性!$I$8:$I$107,0),1)</f>
        <v>2852</v>
      </c>
      <c r="AO136" s="69">
        <f t="shared" si="37"/>
        <v>0.47718695646863868</v>
      </c>
      <c r="AP136" s="69">
        <f t="shared" si="38"/>
        <v>0.95147795555021131</v>
      </c>
      <c r="AQ136" s="64">
        <f>AL136*角色属性!$BA$1*(AC136*(1-AO136)+MAX(AF136-AJ136,0))</f>
        <v>130222.66762898485</v>
      </c>
      <c r="AR136" s="64">
        <f>角色属性!$BA$1*(AH136*(1-AP136)+MAX(AK136-AE136,0))</f>
        <v>858.08622883980911</v>
      </c>
      <c r="AS136" s="73">
        <f t="shared" si="39"/>
        <v>0.57768388997756792</v>
      </c>
      <c r="AT136" s="73">
        <f t="shared" si="40"/>
        <v>0.38512259331837861</v>
      </c>
      <c r="AU136" s="73">
        <f t="shared" si="41"/>
        <v>0.28884194498878396</v>
      </c>
      <c r="AV136" s="73">
        <f t="shared" si="42"/>
        <v>559.19787997154583</v>
      </c>
      <c r="AW136" s="73">
        <f t="shared" si="43"/>
        <v>372.79858664769722</v>
      </c>
      <c r="AX136" s="2" t="str">
        <f t="shared" si="44"/>
        <v>r_guanqia_134</v>
      </c>
      <c r="AY136" s="2">
        <f>ROUND(($P136*R136/10/$H136/(1+VLOOKUP($I136,技能效果!$B$2:$D$101,3,FALSE))-1)*10000,0)</f>
        <v>103</v>
      </c>
      <c r="AZ136" s="2">
        <f>ROUND(($P136*S136/10/$H136/(1+VLOOKUP($I136,技能效果!$B$2:$D$101,3,FALSE))-1)*10000,0)</f>
        <v>103</v>
      </c>
      <c r="BA136" s="2">
        <f>ROUND(($P136*T136/10/$H136/(1+VLOOKUP($I136,技能效果!$B$2:$D$101,3,FALSE))-1)*10000,0)</f>
        <v>103</v>
      </c>
      <c r="BB136" s="2">
        <f>ROUND(($P136*U136/10/$H136/(1+VLOOKUP($I136,技能效果!$B$2:$D$101,3,FALSE))-1)*10000,0)</f>
        <v>103</v>
      </c>
      <c r="BC136" s="2">
        <f>ROUND(($P136*V136/10/$H136/(1+VLOOKUP($I136,技能效果!$B$2:$D$101,3,FALSE))-1)*10000,0)</f>
        <v>103</v>
      </c>
    </row>
    <row r="137" spans="2:55" x14ac:dyDescent="0.15">
      <c r="B137" s="83"/>
      <c r="C137" s="2">
        <v>135</v>
      </c>
      <c r="D137" s="2">
        <f t="shared" si="33"/>
        <v>77</v>
      </c>
      <c r="E137" s="2">
        <v>2</v>
      </c>
      <c r="F137" s="28">
        <f>INDEX([3]宠物属性!$AL$8:$AL$107,MATCH(D137,[3]宠物属性!$I$8:$I$107,0),1)</f>
        <v>292906.63061001973</v>
      </c>
      <c r="G137" s="68">
        <f>F137/INDEX(角色属性!$AI$8:$AI$107,MATCH(D137,角色属性!$I$8:$I$107,0),1)*E137</f>
        <v>1.8648538749756132</v>
      </c>
      <c r="H137" s="2">
        <f>INDEX(角色属性!$AL$8:$AL$107,MATCH(D137,角色属性!$I$8:$I$107,0),1)</f>
        <v>9070</v>
      </c>
      <c r="I137" s="2">
        <f>INDEX(角色属性!$Y$8:$Y$107,MATCH(D137,角色属性!$I$8:$I$107,0),1)</f>
        <v>77</v>
      </c>
      <c r="J137" s="28">
        <f>H137*10*(1+VLOOKUP(I137,技能效果!$B$2:$D$101,3,FALSE))</f>
        <v>118272.80000000002</v>
      </c>
      <c r="K137" s="28">
        <f>H137*10*(1+VLOOKUP(I137,技能效果!$B$2:$D$101,3,FALSE))*(1+G137)</f>
        <v>338834.28938421572</v>
      </c>
      <c r="L137" s="2">
        <f t="shared" si="34"/>
        <v>140</v>
      </c>
      <c r="M137" s="28">
        <f t="shared" si="35"/>
        <v>132534.36000000002</v>
      </c>
      <c r="N137" s="28">
        <f t="shared" si="36"/>
        <v>353302.1269870759</v>
      </c>
      <c r="O137" s="62">
        <f t="shared" si="31"/>
        <v>329614</v>
      </c>
      <c r="P137" s="62">
        <f t="shared" si="32"/>
        <v>119114</v>
      </c>
      <c r="Q137" s="64">
        <f t="shared" si="45"/>
        <v>7352</v>
      </c>
      <c r="R137" s="67">
        <v>1</v>
      </c>
      <c r="S137" s="67">
        <v>1</v>
      </c>
      <c r="T137" s="67">
        <v>1</v>
      </c>
      <c r="U137" s="67">
        <v>1</v>
      </c>
      <c r="V137" s="67">
        <v>1</v>
      </c>
      <c r="W137" s="28">
        <v>0</v>
      </c>
      <c r="X137" s="28">
        <v>0</v>
      </c>
      <c r="Y137" s="28">
        <v>0</v>
      </c>
      <c r="Z137" s="28">
        <v>0</v>
      </c>
      <c r="AA137" s="28">
        <v>0</v>
      </c>
      <c r="AB137" s="64">
        <f>INDEX(角色属性!AM$8:AM$107,MATCH($D137,角色属性!$I$8:$I$107,0),1)</f>
        <v>481800</v>
      </c>
      <c r="AC137" s="64">
        <f>INDEX(角色属性!AN$8:AN$107,MATCH($D137,角色属性!$I$8:$I$107,0),1)</f>
        <v>48180</v>
      </c>
      <c r="AD137" s="64">
        <f>INDEX(角色属性!AO$8:AO$107,MATCH($D137,角色属性!$I$8:$I$107,0),1)</f>
        <v>24090</v>
      </c>
      <c r="AE137" s="64">
        <f>INDEX(角色属性!AP$8:AP$107,MATCH($D137,角色属性!$I$8:$I$107,0),1)</f>
        <v>19272</v>
      </c>
      <c r="AF137" s="64">
        <f>INDEX(角色属性!AQ$8:AQ$107,MATCH($D137,角色属性!$I$8:$I$107,0),1)</f>
        <v>19272</v>
      </c>
      <c r="AG137" s="64">
        <f>$P137/10/(1+VLOOKUP(I137,技能效果!$B$2:$D$101,3,FALSE))*怪物属性规划!A$18*INDEX(怪物属性等级系数!$A$2:$A$101,MATCH(D137,怪物属性等级系数!$D$2:$D$101,0),1)*R137+W137</f>
        <v>141474.86512761255</v>
      </c>
      <c r="AH137" s="64">
        <f>$P137/10/(1+VLOOKUP($I137,技能效果!$B$2:$D$101,3,FALSE))*怪物属性规划!B$18*S137+X137</f>
        <v>9134.5092024539863</v>
      </c>
      <c r="AI137" s="64">
        <f>$P137/10/(1+VLOOKUP($I137,技能效果!$B$2:$D$101,3,FALSE))*怪物属性规划!C$18*T137+Y137</f>
        <v>9134.5092024539863</v>
      </c>
      <c r="AJ137" s="64">
        <f>$P137/10/(1+VLOOKUP($I137,技能效果!$B$2:$D$101,3,FALSE))*怪物属性规划!D$18*U137+Z137</f>
        <v>7307.6073619631898</v>
      </c>
      <c r="AK137" s="64">
        <f>$P137/10/(1+VLOOKUP($I137,技能效果!$B$2:$D$101,3,FALSE))*怪物属性规划!E$18*V137+AA137</f>
        <v>7307.6073619631898</v>
      </c>
      <c r="AL137" s="67">
        <f>INDEX(角色属性!BB$8:BB$107,MATCH($D137,角色属性!$I$8:$I$107,0),1)</f>
        <v>1.7600000000000007</v>
      </c>
      <c r="AM137" s="64">
        <f>INDEX(角色属性!BC$8:BC$107,MATCH($D137,角色属性!$I$8:$I$107,0),1)</f>
        <v>23686</v>
      </c>
      <c r="AN137" s="64">
        <f>INDEX(角色属性!BD$8:BD$107,MATCH($D137,角色属性!$I$8:$I$107,0),1)</f>
        <v>2862</v>
      </c>
      <c r="AO137" s="69">
        <f t="shared" si="37"/>
        <v>0.47339357199146209</v>
      </c>
      <c r="AP137" s="69">
        <f t="shared" si="38"/>
        <v>0.95150455027723979</v>
      </c>
      <c r="AQ137" s="64">
        <f>AL137*角色属性!$BA$1*(AC137*(1-AO137)+MAX(AF137-AJ137,0))</f>
        <v>131423.74199499839</v>
      </c>
      <c r="AR137" s="64">
        <f>角色属性!$BA$1*(AH137*(1-AP137)+MAX(AK137-AE137,0))</f>
        <v>885.96426353939546</v>
      </c>
      <c r="AS137" s="73">
        <f t="shared" si="39"/>
        <v>0.5980437484127431</v>
      </c>
      <c r="AT137" s="73">
        <f t="shared" si="40"/>
        <v>0.39869583227516214</v>
      </c>
      <c r="AU137" s="73">
        <f t="shared" si="41"/>
        <v>0.29902187420637155</v>
      </c>
      <c r="AV137" s="73">
        <f t="shared" si="42"/>
        <v>543.81425959013995</v>
      </c>
      <c r="AW137" s="73">
        <f t="shared" si="43"/>
        <v>362.54283972676001</v>
      </c>
      <c r="AX137" s="2" t="str">
        <f t="shared" si="44"/>
        <v>r_guanqia_135</v>
      </c>
      <c r="AY137" s="2">
        <f>ROUND(($P137*R137/10/$H137/(1+VLOOKUP($I137,技能效果!$B$2:$D$101,3,FALSE))-1)*10000,0)</f>
        <v>71</v>
      </c>
      <c r="AZ137" s="2">
        <f>ROUND(($P137*S137/10/$H137/(1+VLOOKUP($I137,技能效果!$B$2:$D$101,3,FALSE))-1)*10000,0)</f>
        <v>71</v>
      </c>
      <c r="BA137" s="2">
        <f>ROUND(($P137*T137/10/$H137/(1+VLOOKUP($I137,技能效果!$B$2:$D$101,3,FALSE))-1)*10000,0)</f>
        <v>71</v>
      </c>
      <c r="BB137" s="2">
        <f>ROUND(($P137*U137/10/$H137/(1+VLOOKUP($I137,技能效果!$B$2:$D$101,3,FALSE))-1)*10000,0)</f>
        <v>71</v>
      </c>
      <c r="BC137" s="2">
        <f>ROUND(($P137*V137/10/$H137/(1+VLOOKUP($I137,技能效果!$B$2:$D$101,3,FALSE))-1)*10000,0)</f>
        <v>71</v>
      </c>
    </row>
    <row r="138" spans="2:55" x14ac:dyDescent="0.15">
      <c r="B138" s="83"/>
      <c r="C138" s="2">
        <v>136</v>
      </c>
      <c r="D138" s="2">
        <f t="shared" si="33"/>
        <v>77</v>
      </c>
      <c r="E138" s="2">
        <v>2</v>
      </c>
      <c r="F138" s="28">
        <f>INDEX([3]宠物属性!$AL$8:$AL$107,MATCH(D138,[3]宠物属性!$I$8:$I$107,0),1)</f>
        <v>292906.63061001973</v>
      </c>
      <c r="G138" s="68">
        <f>F138/INDEX(角色属性!$AI$8:$AI$107,MATCH(D138,角色属性!$I$8:$I$107,0),1)*E138</f>
        <v>1.8648538749756132</v>
      </c>
      <c r="H138" s="2">
        <f>INDEX(角色属性!$AL$8:$AL$107,MATCH(D138,角色属性!$I$8:$I$107,0),1)</f>
        <v>9070</v>
      </c>
      <c r="I138" s="2">
        <f>INDEX(角色属性!$Y$8:$Y$107,MATCH(D138,角色属性!$I$8:$I$107,0),1)</f>
        <v>77</v>
      </c>
      <c r="J138" s="28">
        <f>H138*10*(1+VLOOKUP(I138,技能效果!$B$2:$D$101,3,FALSE))</f>
        <v>118272.80000000002</v>
      </c>
      <c r="K138" s="28">
        <f>H138*10*(1+VLOOKUP(I138,技能效果!$B$2:$D$101,3,FALSE))*(1+G138)</f>
        <v>338834.28938421572</v>
      </c>
      <c r="L138" s="2">
        <f t="shared" si="34"/>
        <v>140</v>
      </c>
      <c r="M138" s="28">
        <f t="shared" si="35"/>
        <v>132534.36000000002</v>
      </c>
      <c r="N138" s="28">
        <f t="shared" si="36"/>
        <v>353302.1269870759</v>
      </c>
      <c r="O138" s="62">
        <f t="shared" si="31"/>
        <v>331247</v>
      </c>
      <c r="P138" s="62">
        <f t="shared" si="32"/>
        <v>120039</v>
      </c>
      <c r="Q138" s="64">
        <f t="shared" si="45"/>
        <v>1633</v>
      </c>
      <c r="R138" s="67">
        <v>1</v>
      </c>
      <c r="S138" s="67">
        <v>1</v>
      </c>
      <c r="T138" s="67">
        <v>1</v>
      </c>
      <c r="U138" s="67">
        <v>1</v>
      </c>
      <c r="V138" s="67">
        <v>1</v>
      </c>
      <c r="W138" s="28">
        <v>0</v>
      </c>
      <c r="X138" s="28">
        <v>0</v>
      </c>
      <c r="Y138" s="28">
        <v>0</v>
      </c>
      <c r="Z138" s="28">
        <v>0</v>
      </c>
      <c r="AA138" s="28">
        <v>0</v>
      </c>
      <c r="AB138" s="64">
        <f>INDEX(角色属性!AM$8:AM$107,MATCH($D138,角色属性!$I$8:$I$107,0),1)</f>
        <v>481800</v>
      </c>
      <c r="AC138" s="64">
        <f>INDEX(角色属性!AN$8:AN$107,MATCH($D138,角色属性!$I$8:$I$107,0),1)</f>
        <v>48180</v>
      </c>
      <c r="AD138" s="64">
        <f>INDEX(角色属性!AO$8:AO$107,MATCH($D138,角色属性!$I$8:$I$107,0),1)</f>
        <v>24090</v>
      </c>
      <c r="AE138" s="64">
        <f>INDEX(角色属性!AP$8:AP$107,MATCH($D138,角色属性!$I$8:$I$107,0),1)</f>
        <v>19272</v>
      </c>
      <c r="AF138" s="64">
        <f>INDEX(角色属性!AQ$8:AQ$107,MATCH($D138,角色属性!$I$8:$I$107,0),1)</f>
        <v>19272</v>
      </c>
      <c r="AG138" s="64">
        <f>$P138/10/(1+VLOOKUP(I138,技能效果!$B$2:$D$101,3,FALSE))*怪物属性规划!A$18*INDEX(怪物属性等级系数!$A$2:$A$101,MATCH(D138,怪物属性等级系数!$D$2:$D$101,0),1)*R138+W138</f>
        <v>142573.51222403313</v>
      </c>
      <c r="AH138" s="64">
        <f>$P138/10/(1+VLOOKUP($I138,技能效果!$B$2:$D$101,3,FALSE))*怪物属性规划!B$18*S138+X138</f>
        <v>9205.4447852760713</v>
      </c>
      <c r="AI138" s="64">
        <f>$P138/10/(1+VLOOKUP($I138,技能效果!$B$2:$D$101,3,FALSE))*怪物属性规划!C$18*T138+Y138</f>
        <v>9205.4447852760713</v>
      </c>
      <c r="AJ138" s="64">
        <f>$P138/10/(1+VLOOKUP($I138,技能效果!$B$2:$D$101,3,FALSE))*怪物属性规划!D$18*U138+Z138</f>
        <v>7364.3558282208578</v>
      </c>
      <c r="AK138" s="64">
        <f>$P138/10/(1+VLOOKUP($I138,技能效果!$B$2:$D$101,3,FALSE))*怪物属性规划!E$18*V138+AA138</f>
        <v>7364.3558282208578</v>
      </c>
      <c r="AL138" s="67">
        <f>INDEX(角色属性!BB$8:BB$107,MATCH($D138,角色属性!$I$8:$I$107,0),1)</f>
        <v>1.7600000000000007</v>
      </c>
      <c r="AM138" s="64">
        <f>INDEX(角色属性!BC$8:BC$107,MATCH($D138,角色属性!$I$8:$I$107,0),1)</f>
        <v>23686</v>
      </c>
      <c r="AN138" s="64">
        <f>INDEX(角色属性!BD$8:BD$107,MATCH($D138,角色属性!$I$8:$I$107,0),1)</f>
        <v>2862</v>
      </c>
      <c r="AO138" s="69">
        <f t="shared" si="37"/>
        <v>0.47532240132627201</v>
      </c>
      <c r="AP138" s="69">
        <f t="shared" si="38"/>
        <v>0.95150455027723979</v>
      </c>
      <c r="AQ138" s="64">
        <f>AL138*角色属性!$BA$1*(AC138*(1-AO138)+MAX(AF138-AJ138,0))</f>
        <v>130896.87028309538</v>
      </c>
      <c r="AR138" s="64">
        <f>角色属性!$BA$1*(AH138*(1-AP138)+MAX(AK138-AE138,0))</f>
        <v>892.84436952000169</v>
      </c>
      <c r="AS138" s="73">
        <f t="shared" si="39"/>
        <v>0.60511383213230829</v>
      </c>
      <c r="AT138" s="73">
        <f t="shared" si="40"/>
        <v>0.40340922142153884</v>
      </c>
      <c r="AU138" s="73">
        <f t="shared" si="41"/>
        <v>0.30255691606615415</v>
      </c>
      <c r="AV138" s="73">
        <f t="shared" si="42"/>
        <v>539.62371993118859</v>
      </c>
      <c r="AW138" s="73">
        <f t="shared" si="43"/>
        <v>359.74914662079237</v>
      </c>
      <c r="AX138" s="2" t="str">
        <f t="shared" si="44"/>
        <v>r_guanqia_136</v>
      </c>
      <c r="AY138" s="2">
        <f>ROUND(($P138*R138/10/$H138/(1+VLOOKUP($I138,技能效果!$B$2:$D$101,3,FALSE))-1)*10000,0)</f>
        <v>149</v>
      </c>
      <c r="AZ138" s="2">
        <f>ROUND(($P138*S138/10/$H138/(1+VLOOKUP($I138,技能效果!$B$2:$D$101,3,FALSE))-1)*10000,0)</f>
        <v>149</v>
      </c>
      <c r="BA138" s="2">
        <f>ROUND(($P138*T138/10/$H138/(1+VLOOKUP($I138,技能效果!$B$2:$D$101,3,FALSE))-1)*10000,0)</f>
        <v>149</v>
      </c>
      <c r="BB138" s="2">
        <f>ROUND(($P138*U138/10/$H138/(1+VLOOKUP($I138,技能效果!$B$2:$D$101,3,FALSE))-1)*10000,0)</f>
        <v>149</v>
      </c>
      <c r="BC138" s="2">
        <f>ROUND(($P138*V138/10/$H138/(1+VLOOKUP($I138,技能效果!$B$2:$D$101,3,FALSE))-1)*10000,0)</f>
        <v>149</v>
      </c>
    </row>
    <row r="139" spans="2:55" x14ac:dyDescent="0.15">
      <c r="B139" s="83"/>
      <c r="C139" s="2">
        <v>137</v>
      </c>
      <c r="D139" s="2">
        <f t="shared" si="33"/>
        <v>77</v>
      </c>
      <c r="E139" s="2">
        <v>2</v>
      </c>
      <c r="F139" s="28">
        <f>INDEX([3]宠物属性!$AL$8:$AL$107,MATCH(D139,[3]宠物属性!$I$8:$I$107,0),1)</f>
        <v>292906.63061001973</v>
      </c>
      <c r="G139" s="68">
        <f>F139/INDEX(角色属性!$AI$8:$AI$107,MATCH(D139,角色属性!$I$8:$I$107,0),1)*E139</f>
        <v>1.8648538749756132</v>
      </c>
      <c r="H139" s="2">
        <f>INDEX(角色属性!$AL$8:$AL$107,MATCH(D139,角色属性!$I$8:$I$107,0),1)</f>
        <v>9070</v>
      </c>
      <c r="I139" s="2">
        <f>INDEX(角色属性!$Y$8:$Y$107,MATCH(D139,角色属性!$I$8:$I$107,0),1)</f>
        <v>77</v>
      </c>
      <c r="J139" s="28">
        <f>H139*10*(1+VLOOKUP(I139,技能效果!$B$2:$D$101,3,FALSE))</f>
        <v>118272.80000000002</v>
      </c>
      <c r="K139" s="28">
        <f>H139*10*(1+VLOOKUP(I139,技能效果!$B$2:$D$101,3,FALSE))*(1+G139)</f>
        <v>338834.28938421572</v>
      </c>
      <c r="L139" s="2">
        <f t="shared" si="34"/>
        <v>140</v>
      </c>
      <c r="M139" s="28">
        <f t="shared" si="35"/>
        <v>132534.36000000002</v>
      </c>
      <c r="N139" s="28">
        <f t="shared" si="36"/>
        <v>353302.1269870759</v>
      </c>
      <c r="O139" s="62">
        <f t="shared" si="31"/>
        <v>333698</v>
      </c>
      <c r="P139" s="62">
        <f t="shared" si="32"/>
        <v>121428</v>
      </c>
      <c r="Q139" s="64">
        <f t="shared" si="45"/>
        <v>2451</v>
      </c>
      <c r="R139" s="67">
        <v>1</v>
      </c>
      <c r="S139" s="67">
        <v>1</v>
      </c>
      <c r="T139" s="67">
        <v>1</v>
      </c>
      <c r="U139" s="67">
        <v>1</v>
      </c>
      <c r="V139" s="67">
        <v>1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64">
        <f>INDEX(角色属性!AM$8:AM$107,MATCH($D139,角色属性!$I$8:$I$107,0),1)</f>
        <v>481800</v>
      </c>
      <c r="AC139" s="64">
        <f>INDEX(角色属性!AN$8:AN$107,MATCH($D139,角色属性!$I$8:$I$107,0),1)</f>
        <v>48180</v>
      </c>
      <c r="AD139" s="64">
        <f>INDEX(角色属性!AO$8:AO$107,MATCH($D139,角色属性!$I$8:$I$107,0),1)</f>
        <v>24090</v>
      </c>
      <c r="AE139" s="64">
        <f>INDEX(角色属性!AP$8:AP$107,MATCH($D139,角色属性!$I$8:$I$107,0),1)</f>
        <v>19272</v>
      </c>
      <c r="AF139" s="64">
        <f>INDEX(角色属性!AQ$8:AQ$107,MATCH($D139,角色属性!$I$8:$I$107,0),1)</f>
        <v>19272</v>
      </c>
      <c r="AG139" s="64">
        <f>$P139/10/(1+VLOOKUP(I139,技能效果!$B$2:$D$101,3,FALSE))*怪物属性规划!A$18*INDEX(怪物属性等级系数!$A$2:$A$101,MATCH(D139,怪物属性等级系数!$D$2:$D$101,0),1)*R139+W139</f>
        <v>144223.26445855008</v>
      </c>
      <c r="AH139" s="64">
        <f>$P139/10/(1+VLOOKUP($I139,技能效果!$B$2:$D$101,3,FALSE))*怪物属性规划!B$18*S139+X139</f>
        <v>9311.9631901840457</v>
      </c>
      <c r="AI139" s="64">
        <f>$P139/10/(1+VLOOKUP($I139,技能效果!$B$2:$D$101,3,FALSE))*怪物属性规划!C$18*T139+Y139</f>
        <v>9311.9631901840457</v>
      </c>
      <c r="AJ139" s="64">
        <f>$P139/10/(1+VLOOKUP($I139,技能效果!$B$2:$D$101,3,FALSE))*怪物属性规划!D$18*U139+Z139</f>
        <v>7449.5705521472373</v>
      </c>
      <c r="AK139" s="64">
        <f>$P139/10/(1+VLOOKUP($I139,技能效果!$B$2:$D$101,3,FALSE))*怪物属性规划!E$18*V139+AA139</f>
        <v>7449.5705521472373</v>
      </c>
      <c r="AL139" s="67">
        <f>INDEX(角色属性!BB$8:BB$107,MATCH($D139,角色属性!$I$8:$I$107,0),1)</f>
        <v>1.7600000000000007</v>
      </c>
      <c r="AM139" s="64">
        <f>INDEX(角色属性!BC$8:BC$107,MATCH($D139,角色属性!$I$8:$I$107,0),1)</f>
        <v>23686</v>
      </c>
      <c r="AN139" s="64">
        <f>INDEX(角色属性!BD$8:BD$107,MATCH($D139,角色属性!$I$8:$I$107,0),1)</f>
        <v>2862</v>
      </c>
      <c r="AO139" s="69">
        <f t="shared" si="37"/>
        <v>0.4781923793867397</v>
      </c>
      <c r="AP139" s="69">
        <f t="shared" si="38"/>
        <v>0.95150455027723979</v>
      </c>
      <c r="AQ139" s="64">
        <f>AL139*角色属性!$BA$1*(AC139*(1-AO139)+MAX(AF139-AJ139,0))</f>
        <v>130110.18454367878</v>
      </c>
      <c r="AR139" s="64">
        <f>角色属性!$BA$1*(AH139*(1-AP139)+MAX(AK139-AE139,0))</f>
        <v>903.17568541952835</v>
      </c>
      <c r="AS139" s="73">
        <f t="shared" si="39"/>
        <v>0.6158167870664073</v>
      </c>
      <c r="AT139" s="73">
        <f t="shared" si="40"/>
        <v>0.41054452471093822</v>
      </c>
      <c r="AU139" s="73">
        <f t="shared" si="41"/>
        <v>0.30790839353320365</v>
      </c>
      <c r="AV139" s="73">
        <f t="shared" si="42"/>
        <v>533.45103037866011</v>
      </c>
      <c r="AW139" s="73">
        <f t="shared" si="43"/>
        <v>355.63402025244005</v>
      </c>
      <c r="AX139" s="2" t="str">
        <f t="shared" si="44"/>
        <v>r_guanqia_137</v>
      </c>
      <c r="AY139" s="2">
        <f>ROUND(($P139*R139/10/$H139/(1+VLOOKUP($I139,技能效果!$B$2:$D$101,3,FALSE))-1)*10000,0)</f>
        <v>267</v>
      </c>
      <c r="AZ139" s="2">
        <f>ROUND(($P139*S139/10/$H139/(1+VLOOKUP($I139,技能效果!$B$2:$D$101,3,FALSE))-1)*10000,0)</f>
        <v>267</v>
      </c>
      <c r="BA139" s="2">
        <f>ROUND(($P139*T139/10/$H139/(1+VLOOKUP($I139,技能效果!$B$2:$D$101,3,FALSE))-1)*10000,0)</f>
        <v>267</v>
      </c>
      <c r="BB139" s="2">
        <f>ROUND(($P139*U139/10/$H139/(1+VLOOKUP($I139,技能效果!$B$2:$D$101,3,FALSE))-1)*10000,0)</f>
        <v>267</v>
      </c>
      <c r="BC139" s="2">
        <f>ROUND(($P139*V139/10/$H139/(1+VLOOKUP($I139,技能效果!$B$2:$D$101,3,FALSE))-1)*10000,0)</f>
        <v>267</v>
      </c>
    </row>
    <row r="140" spans="2:55" x14ac:dyDescent="0.15">
      <c r="B140" s="83"/>
      <c r="C140" s="2">
        <v>138</v>
      </c>
      <c r="D140" s="2">
        <f t="shared" si="33"/>
        <v>78</v>
      </c>
      <c r="E140" s="2">
        <v>2</v>
      </c>
      <c r="F140" s="28">
        <f>INDEX([3]宠物属性!$AL$8:$AL$107,MATCH(D140,[3]宠物属性!$I$8:$I$107,0),1)</f>
        <v>295673.7517578603</v>
      </c>
      <c r="G140" s="68">
        <f>F140/INDEX(角色属性!$AI$8:$AI$107,MATCH(D140,角色属性!$I$8:$I$107,0),1)*E140</f>
        <v>1.8691108725651375</v>
      </c>
      <c r="H140" s="2">
        <f>INDEX(角色属性!$AL$8:$AL$107,MATCH(D140,角色属性!$I$8:$I$107,0),1)</f>
        <v>9395</v>
      </c>
      <c r="I140" s="2">
        <f>INDEX(角色属性!$Y$8:$Y$107,MATCH(D140,角色属性!$I$8:$I$107,0),1)</f>
        <v>78</v>
      </c>
      <c r="J140" s="28">
        <f>H140*10*(1+VLOOKUP(I140,技能效果!$B$2:$D$101,3,FALSE))</f>
        <v>122886.60000000002</v>
      </c>
      <c r="K140" s="28">
        <f>H140*10*(1+VLOOKUP(I140,技能效果!$B$2:$D$101,3,FALSE))*(1+G140)</f>
        <v>352575.28015256306</v>
      </c>
      <c r="L140" s="2">
        <f t="shared" si="34"/>
        <v>140</v>
      </c>
      <c r="M140" s="28">
        <f t="shared" si="35"/>
        <v>132534.36000000002</v>
      </c>
      <c r="N140" s="28">
        <f t="shared" si="36"/>
        <v>353302.1269870759</v>
      </c>
      <c r="O140" s="62">
        <f t="shared" si="31"/>
        <v>336965</v>
      </c>
      <c r="P140" s="62">
        <f t="shared" si="32"/>
        <v>123279</v>
      </c>
      <c r="Q140" s="64">
        <f t="shared" si="45"/>
        <v>3267</v>
      </c>
      <c r="R140" s="67">
        <v>1</v>
      </c>
      <c r="S140" s="67">
        <v>1</v>
      </c>
      <c r="T140" s="67">
        <v>1</v>
      </c>
      <c r="U140" s="67">
        <v>1</v>
      </c>
      <c r="V140" s="67">
        <v>1</v>
      </c>
      <c r="W140" s="28">
        <v>0</v>
      </c>
      <c r="X140" s="28">
        <v>0</v>
      </c>
      <c r="Y140" s="28">
        <v>0</v>
      </c>
      <c r="Z140" s="28">
        <v>0</v>
      </c>
      <c r="AA140" s="28">
        <v>0</v>
      </c>
      <c r="AB140" s="64">
        <f>INDEX(角色属性!AM$8:AM$107,MATCH($D140,角色属性!$I$8:$I$107,0),1)</f>
        <v>483760.00000000006</v>
      </c>
      <c r="AC140" s="64">
        <f>INDEX(角色属性!AN$8:AN$107,MATCH($D140,角色属性!$I$8:$I$107,0),1)</f>
        <v>48376</v>
      </c>
      <c r="AD140" s="64">
        <f>INDEX(角色属性!AO$8:AO$107,MATCH($D140,角色属性!$I$8:$I$107,0),1)</f>
        <v>24188</v>
      </c>
      <c r="AE140" s="64">
        <f>INDEX(角色属性!AP$8:AP$107,MATCH($D140,角色属性!$I$8:$I$107,0),1)</f>
        <v>19350.400000000001</v>
      </c>
      <c r="AF140" s="64">
        <f>INDEX(角色属性!AQ$8:AQ$107,MATCH($D140,角色属性!$I$8:$I$107,0),1)</f>
        <v>19350.400000000001</v>
      </c>
      <c r="AG140" s="64">
        <f>$P140/10/(1+VLOOKUP(I140,技能效果!$B$2:$D$101,3,FALSE))*怪物属性规划!A$18*INDEX(怪物属性等级系数!$A$2:$A$101,MATCH(D140,怪物属性等级系数!$D$2:$D$101,0),1)*R140+W140</f>
        <v>147641.23150582635</v>
      </c>
      <c r="AH140" s="64">
        <f>$P140/10/(1+VLOOKUP($I140,技能效果!$B$2:$D$101,3,FALSE))*怪物属性规划!B$18*S140+X140</f>
        <v>9424.9999999999982</v>
      </c>
      <c r="AI140" s="64">
        <f>$P140/10/(1+VLOOKUP($I140,技能效果!$B$2:$D$101,3,FALSE))*怪物属性规划!C$18*T140+Y140</f>
        <v>9424.9999999999982</v>
      </c>
      <c r="AJ140" s="64">
        <f>$P140/10/(1+VLOOKUP($I140,技能效果!$B$2:$D$101,3,FALSE))*怪物属性规划!D$18*U140+Z140</f>
        <v>7539.9999999999991</v>
      </c>
      <c r="AK140" s="64">
        <f>$P140/10/(1+VLOOKUP($I140,技能效果!$B$2:$D$101,3,FALSE))*怪物属性规划!E$18*V140+AA140</f>
        <v>7539.9999999999991</v>
      </c>
      <c r="AL140" s="67">
        <f>INDEX(角色属性!BB$8:BB$107,MATCH($D140,角色属性!$I$8:$I$107,0),1)</f>
        <v>1.7700000000000007</v>
      </c>
      <c r="AM140" s="64">
        <f>INDEX(角色属性!BC$8:BC$107,MATCH($D140,角色属性!$I$8:$I$107,0),1)</f>
        <v>24832</v>
      </c>
      <c r="AN140" s="64">
        <f>INDEX(角色属性!BD$8:BD$107,MATCH($D140,角色属性!$I$8:$I$107,0),1)</f>
        <v>2873</v>
      </c>
      <c r="AO140" s="69">
        <f t="shared" si="37"/>
        <v>0.46942094821736574</v>
      </c>
      <c r="AP140" s="69">
        <f t="shared" si="38"/>
        <v>0.95151487280923519</v>
      </c>
      <c r="AQ140" s="64">
        <f>AL140*角色属性!$BA$1*(AC140*(1-AO140)+MAX(AF140-AJ140,0))</f>
        <v>132671.03041999001</v>
      </c>
      <c r="AR140" s="64">
        <f>角色属性!$BA$1*(AH140*(1-AP140)+MAX(AK140-AE140,0))</f>
        <v>913.9446475459165</v>
      </c>
      <c r="AS140" s="73">
        <f t="shared" si="39"/>
        <v>0.61824277788805859</v>
      </c>
      <c r="AT140" s="73">
        <f t="shared" si="40"/>
        <v>0.41216185192537241</v>
      </c>
      <c r="AU140" s="73">
        <f t="shared" si="41"/>
        <v>0.3091213889440293</v>
      </c>
      <c r="AV140" s="73">
        <f t="shared" si="42"/>
        <v>529.30995471002632</v>
      </c>
      <c r="AW140" s="73">
        <f t="shared" si="43"/>
        <v>352.87330314001753</v>
      </c>
      <c r="AX140" s="2" t="str">
        <f t="shared" si="44"/>
        <v>r_guanqia_138</v>
      </c>
      <c r="AY140" s="2">
        <f>ROUND(($P140*R140/10/$H140/(1+VLOOKUP($I140,技能效果!$B$2:$D$101,3,FALSE))-1)*10000,0)</f>
        <v>32</v>
      </c>
      <c r="AZ140" s="2">
        <f>ROUND(($P140*S140/10/$H140/(1+VLOOKUP($I140,技能效果!$B$2:$D$101,3,FALSE))-1)*10000,0)</f>
        <v>32</v>
      </c>
      <c r="BA140" s="2">
        <f>ROUND(($P140*T140/10/$H140/(1+VLOOKUP($I140,技能效果!$B$2:$D$101,3,FALSE))-1)*10000,0)</f>
        <v>32</v>
      </c>
      <c r="BB140" s="2">
        <f>ROUND(($P140*U140/10/$H140/(1+VLOOKUP($I140,技能效果!$B$2:$D$101,3,FALSE))-1)*10000,0)</f>
        <v>32</v>
      </c>
      <c r="BC140" s="2">
        <f>ROUND(($P140*V140/10/$H140/(1+VLOOKUP($I140,技能效果!$B$2:$D$101,3,FALSE))-1)*10000,0)</f>
        <v>32</v>
      </c>
    </row>
    <row r="141" spans="2:55" x14ac:dyDescent="0.15">
      <c r="B141" s="83"/>
      <c r="C141" s="2">
        <v>139</v>
      </c>
      <c r="D141" s="2">
        <f t="shared" si="33"/>
        <v>78</v>
      </c>
      <c r="E141" s="2">
        <v>2</v>
      </c>
      <c r="F141" s="28">
        <f>INDEX([3]宠物属性!$AL$8:$AL$107,MATCH(D141,[3]宠物属性!$I$8:$I$107,0),1)</f>
        <v>295673.7517578603</v>
      </c>
      <c r="G141" s="68">
        <f>F141/INDEX(角色属性!$AI$8:$AI$107,MATCH(D141,角色属性!$I$8:$I$107,0),1)*E141</f>
        <v>1.8691108725651375</v>
      </c>
      <c r="H141" s="2">
        <f>INDEX(角色属性!$AL$8:$AL$107,MATCH(D141,角色属性!$I$8:$I$107,0),1)</f>
        <v>9395</v>
      </c>
      <c r="I141" s="2">
        <f>INDEX(角色属性!$Y$8:$Y$107,MATCH(D141,角色属性!$I$8:$I$107,0),1)</f>
        <v>78</v>
      </c>
      <c r="J141" s="28">
        <f>H141*10*(1+VLOOKUP(I141,技能效果!$B$2:$D$101,3,FALSE))</f>
        <v>122886.60000000002</v>
      </c>
      <c r="K141" s="28">
        <f>H141*10*(1+VLOOKUP(I141,技能效果!$B$2:$D$101,3,FALSE))*(1+G141)</f>
        <v>352575.28015256306</v>
      </c>
      <c r="L141" s="2">
        <f t="shared" si="34"/>
        <v>140</v>
      </c>
      <c r="M141" s="28">
        <f t="shared" si="35"/>
        <v>132534.36000000002</v>
      </c>
      <c r="N141" s="28">
        <f t="shared" si="36"/>
        <v>353302.1269870759</v>
      </c>
      <c r="O141" s="62">
        <f t="shared" si="31"/>
        <v>341049</v>
      </c>
      <c r="P141" s="62">
        <f t="shared" si="32"/>
        <v>125593</v>
      </c>
      <c r="Q141" s="64">
        <f t="shared" si="45"/>
        <v>4084</v>
      </c>
      <c r="R141" s="67">
        <v>1</v>
      </c>
      <c r="S141" s="67">
        <v>1</v>
      </c>
      <c r="T141" s="67">
        <v>1</v>
      </c>
      <c r="U141" s="67">
        <v>1</v>
      </c>
      <c r="V141" s="67">
        <v>1</v>
      </c>
      <c r="W141" s="28">
        <v>0</v>
      </c>
      <c r="X141" s="28">
        <v>0</v>
      </c>
      <c r="Y141" s="28">
        <v>0</v>
      </c>
      <c r="Z141" s="28">
        <v>0</v>
      </c>
      <c r="AA141" s="28">
        <v>0</v>
      </c>
      <c r="AB141" s="64">
        <f>INDEX(角色属性!AM$8:AM$107,MATCH($D141,角色属性!$I$8:$I$107,0),1)</f>
        <v>483760.00000000006</v>
      </c>
      <c r="AC141" s="64">
        <f>INDEX(角色属性!AN$8:AN$107,MATCH($D141,角色属性!$I$8:$I$107,0),1)</f>
        <v>48376</v>
      </c>
      <c r="AD141" s="64">
        <f>INDEX(角色属性!AO$8:AO$107,MATCH($D141,角色属性!$I$8:$I$107,0),1)</f>
        <v>24188</v>
      </c>
      <c r="AE141" s="64">
        <f>INDEX(角色属性!AP$8:AP$107,MATCH($D141,角色属性!$I$8:$I$107,0),1)</f>
        <v>19350.400000000001</v>
      </c>
      <c r="AF141" s="64">
        <f>INDEX(角色属性!AQ$8:AQ$107,MATCH($D141,角色属性!$I$8:$I$107,0),1)</f>
        <v>19350.400000000001</v>
      </c>
      <c r="AG141" s="64">
        <f>$P141/10/(1+VLOOKUP(I141,技能效果!$B$2:$D$101,3,FALSE))*怪物属性规划!A$18*INDEX(怪物属性等级系数!$A$2:$A$101,MATCH(D141,怪物属性等级系数!$D$2:$D$101,0),1)*R141+W141</f>
        <v>150412.52109857518</v>
      </c>
      <c r="AH141" s="64">
        <f>$P141/10/(1+VLOOKUP($I141,技能效果!$B$2:$D$101,3,FALSE))*怪物属性规划!B$18*S141+X141</f>
        <v>9601.9113149847071</v>
      </c>
      <c r="AI141" s="64">
        <f>$P141/10/(1+VLOOKUP($I141,技能效果!$B$2:$D$101,3,FALSE))*怪物属性规划!C$18*T141+Y141</f>
        <v>9601.9113149847071</v>
      </c>
      <c r="AJ141" s="64">
        <f>$P141/10/(1+VLOOKUP($I141,技能效果!$B$2:$D$101,3,FALSE))*怪物属性规划!D$18*U141+Z141</f>
        <v>7681.5290519877663</v>
      </c>
      <c r="AK141" s="64">
        <f>$P141/10/(1+VLOOKUP($I141,技能效果!$B$2:$D$101,3,FALSE))*怪物属性规划!E$18*V141+AA141</f>
        <v>7681.5290519877663</v>
      </c>
      <c r="AL141" s="67">
        <f>INDEX(角色属性!BB$8:BB$107,MATCH($D141,角色属性!$I$8:$I$107,0),1)</f>
        <v>1.7700000000000007</v>
      </c>
      <c r="AM141" s="64">
        <f>INDEX(角色属性!BC$8:BC$107,MATCH($D141,角色属性!$I$8:$I$107,0),1)</f>
        <v>24832</v>
      </c>
      <c r="AN141" s="64">
        <f>INDEX(角色属性!BD$8:BD$107,MATCH($D141,角色属性!$I$8:$I$107,0),1)</f>
        <v>2873</v>
      </c>
      <c r="AO141" s="69">
        <f t="shared" si="37"/>
        <v>0.47405517099714189</v>
      </c>
      <c r="AP141" s="69">
        <f t="shared" si="38"/>
        <v>0.95151487280923519</v>
      </c>
      <c r="AQ141" s="64">
        <f>AL141*角色属性!$BA$1*(AC141*(1-AO141)+MAX(AF141-AJ141,0))</f>
        <v>131376.40210532496</v>
      </c>
      <c r="AR141" s="64">
        <f>角色属性!$BA$1*(AH141*(1-AP141)+MAX(AK141-AE141,0))</f>
        <v>931.09978276295465</v>
      </c>
      <c r="AS141" s="73">
        <f t="shared" si="39"/>
        <v>0.63605419529177143</v>
      </c>
      <c r="AT141" s="73">
        <f t="shared" si="40"/>
        <v>0.42403613019451425</v>
      </c>
      <c r="AU141" s="73">
        <f t="shared" si="41"/>
        <v>0.31802709764588571</v>
      </c>
      <c r="AV141" s="73">
        <f t="shared" si="42"/>
        <v>519.55763383864814</v>
      </c>
      <c r="AW141" s="73">
        <f t="shared" si="43"/>
        <v>346.37175589243208</v>
      </c>
      <c r="AX141" s="2" t="str">
        <f t="shared" si="44"/>
        <v>r_guanqia_139</v>
      </c>
      <c r="AY141" s="2">
        <f>ROUND(($P141*R141/10/$H141/(1+VLOOKUP($I141,技能效果!$B$2:$D$101,3,FALSE))-1)*10000,0)</f>
        <v>220</v>
      </c>
      <c r="AZ141" s="2">
        <f>ROUND(($P141*S141/10/$H141/(1+VLOOKUP($I141,技能效果!$B$2:$D$101,3,FALSE))-1)*10000,0)</f>
        <v>220</v>
      </c>
      <c r="BA141" s="2">
        <f>ROUND(($P141*T141/10/$H141/(1+VLOOKUP($I141,技能效果!$B$2:$D$101,3,FALSE))-1)*10000,0)</f>
        <v>220</v>
      </c>
      <c r="BB141" s="2">
        <f>ROUND(($P141*U141/10/$H141/(1+VLOOKUP($I141,技能效果!$B$2:$D$101,3,FALSE))-1)*10000,0)</f>
        <v>220</v>
      </c>
      <c r="BC141" s="2">
        <f>ROUND(($P141*V141/10/$H141/(1+VLOOKUP($I141,技能效果!$B$2:$D$101,3,FALSE))-1)*10000,0)</f>
        <v>220</v>
      </c>
    </row>
    <row r="142" spans="2:55" x14ac:dyDescent="0.15">
      <c r="B142" s="83"/>
      <c r="C142" s="2">
        <v>140</v>
      </c>
      <c r="D142" s="2">
        <f t="shared" si="33"/>
        <v>80</v>
      </c>
      <c r="E142" s="2">
        <v>2</v>
      </c>
      <c r="F142" s="28">
        <f>INDEX([3]宠物属性!$AL$8:$AL$107,MATCH(D142,[3]宠物属性!$I$8:$I$107,0),1)</f>
        <v>315050.57562687469</v>
      </c>
      <c r="G142" s="68">
        <f>F142/INDEX(角色属性!$AI$8:$AI$107,MATCH(D142,角色属性!$I$8:$I$107,0),1)*E142</f>
        <v>1.6657398653984963</v>
      </c>
      <c r="H142" s="2">
        <f>INDEX(角色属性!$AL$8:$AL$107,MATCH(D142,角色属性!$I$8:$I$107,0),1)</f>
        <v>10071</v>
      </c>
      <c r="I142" s="2">
        <f>INDEX(角色属性!$Y$8:$Y$107,MATCH(D142,角色属性!$I$8:$I$107,0),1)</f>
        <v>80</v>
      </c>
      <c r="J142" s="28">
        <f>H142*10*(1+VLOOKUP(I142,技能效果!$B$2:$D$101,3,FALSE))</f>
        <v>132534.36000000002</v>
      </c>
      <c r="K142" s="28">
        <f>H142*10*(1+VLOOKUP(I142,技能效果!$B$2:$D$101,3,FALSE))*(1+G142)</f>
        <v>353302.1269870759</v>
      </c>
      <c r="L142" s="2">
        <f t="shared" si="34"/>
        <v>140</v>
      </c>
      <c r="M142" s="28">
        <f t="shared" si="35"/>
        <v>132534.36000000002</v>
      </c>
      <c r="N142" s="28">
        <f t="shared" si="36"/>
        <v>353302.1269870759</v>
      </c>
      <c r="O142" s="62">
        <f t="shared" ref="O142:O202" si="46">ROUND((N142-N132)*VLOOKUP(INT(RIGHT(C142,1)),$BF$4:$BH$13,3,FALSE)+N132,0)</f>
        <v>353302</v>
      </c>
      <c r="P142" s="62">
        <f t="shared" ref="P142:P202" si="47">ROUND((M142-M132)*VLOOKUP(INT(RIGHT(C142,1)),$BF$4:$BH$13,3,FALSE)+M132,0)</f>
        <v>132534</v>
      </c>
      <c r="Q142" s="64">
        <f t="shared" si="45"/>
        <v>12253</v>
      </c>
      <c r="R142" s="67">
        <v>1</v>
      </c>
      <c r="S142" s="67">
        <v>1</v>
      </c>
      <c r="T142" s="67">
        <v>1</v>
      </c>
      <c r="U142" s="67">
        <v>1</v>
      </c>
      <c r="V142" s="67">
        <v>1</v>
      </c>
      <c r="W142" s="28">
        <v>0</v>
      </c>
      <c r="X142" s="28">
        <v>0</v>
      </c>
      <c r="Y142" s="28">
        <v>0</v>
      </c>
      <c r="Z142" s="28">
        <v>0</v>
      </c>
      <c r="AA142" s="28">
        <v>0</v>
      </c>
      <c r="AB142" s="64">
        <f>INDEX(角色属性!AM$8:AM$107,MATCH($D142,角色属性!$I$8:$I$107,0),1)</f>
        <v>574880</v>
      </c>
      <c r="AC142" s="64">
        <f>INDEX(角色属性!AN$8:AN$107,MATCH($D142,角色属性!$I$8:$I$107,0),1)</f>
        <v>57488</v>
      </c>
      <c r="AD142" s="64">
        <f>INDEX(角色属性!AO$8:AO$107,MATCH($D142,角色属性!$I$8:$I$107,0),1)</f>
        <v>28744</v>
      </c>
      <c r="AE142" s="64">
        <f>INDEX(角色属性!AP$8:AP$107,MATCH($D142,角色属性!$I$8:$I$107,0),1)</f>
        <v>22995.200000000001</v>
      </c>
      <c r="AF142" s="64">
        <f>INDEX(角色属性!AQ$8:AQ$107,MATCH($D142,角色属性!$I$8:$I$107,0),1)</f>
        <v>22995.200000000001</v>
      </c>
      <c r="AG142" s="64">
        <f>$P142/10/(1+VLOOKUP(I142,技能效果!$B$2:$D$101,3,FALSE))*怪物属性规划!A$18*INDEX(怪物属性等级系数!$A$2:$A$101,MATCH(D142,怪物属性等级系数!$D$2:$D$101,0),1)*R142+W142</f>
        <v>161331.09235534395</v>
      </c>
      <c r="AH142" s="64">
        <f>$P142/10/(1+VLOOKUP($I142,技能效果!$B$2:$D$101,3,FALSE))*怪物属性规划!B$18*S142+X142</f>
        <v>10070.972644376898</v>
      </c>
      <c r="AI142" s="64">
        <f>$P142/10/(1+VLOOKUP($I142,技能效果!$B$2:$D$101,3,FALSE))*怪物属性规划!C$18*T142+Y142</f>
        <v>10070.972644376898</v>
      </c>
      <c r="AJ142" s="64">
        <f>$P142/10/(1+VLOOKUP($I142,技能效果!$B$2:$D$101,3,FALSE))*怪物属性规划!D$18*U142+Z142</f>
        <v>8056.7781155015182</v>
      </c>
      <c r="AK142" s="64">
        <f>$P142/10/(1+VLOOKUP($I142,技能效果!$B$2:$D$101,3,FALSE))*怪物属性规划!E$18*V142+AA142</f>
        <v>8056.7781155015182</v>
      </c>
      <c r="AL142" s="67">
        <f>INDEX(角色属性!BB$8:BB$107,MATCH($D142,角色属性!$I$8:$I$107,0),1)</f>
        <v>1.7900000000000007</v>
      </c>
      <c r="AM142" s="64">
        <f>INDEX(角色属性!BC$8:BC$107,MATCH($D142,角色属性!$I$8:$I$107,0),1)</f>
        <v>27269</v>
      </c>
      <c r="AN142" s="64">
        <f>INDEX(角色属性!BD$8:BD$107,MATCH($D142,角色属性!$I$8:$I$107,0),1)</f>
        <v>2993</v>
      </c>
      <c r="AO142" s="69">
        <f t="shared" si="37"/>
        <v>0.46262114881648253</v>
      </c>
      <c r="AP142" s="69">
        <f t="shared" si="38"/>
        <v>0.95724000505261808</v>
      </c>
      <c r="AQ142" s="64">
        <f>AL142*角色属性!$BA$1*(AC142*(1-AO142)+MAX(AF142-AJ142,0))</f>
        <v>164075.90106718487</v>
      </c>
      <c r="AR142" s="64">
        <f>角色属性!$BA$1*(AH142*(1-AP142)+MAX(AK142-AE142,0))</f>
        <v>861.26947877755538</v>
      </c>
      <c r="AS142" s="73">
        <f t="shared" si="39"/>
        <v>0.54626172435376252</v>
      </c>
      <c r="AT142" s="73">
        <f t="shared" si="40"/>
        <v>0.36417448290250831</v>
      </c>
      <c r="AU142" s="73">
        <f t="shared" si="41"/>
        <v>0.27313086217688126</v>
      </c>
      <c r="AV142" s="73">
        <f t="shared" si="42"/>
        <v>667.4798238711038</v>
      </c>
      <c r="AW142" s="73">
        <f t="shared" si="43"/>
        <v>444.98654924740248</v>
      </c>
      <c r="AX142" s="2" t="str">
        <f t="shared" si="44"/>
        <v>r_guanqia_140</v>
      </c>
      <c r="AY142" s="2">
        <f>ROUND(($P142*R142/10/$H142/(1+VLOOKUP($I142,技能效果!$B$2:$D$101,3,FALSE))-1)*10000,0)</f>
        <v>0</v>
      </c>
      <c r="AZ142" s="2">
        <f>ROUND(($P142*S142/10/$H142/(1+VLOOKUP($I142,技能效果!$B$2:$D$101,3,FALSE))-1)*10000,0)</f>
        <v>0</v>
      </c>
      <c r="BA142" s="2">
        <f>ROUND(($P142*T142/10/$H142/(1+VLOOKUP($I142,技能效果!$B$2:$D$101,3,FALSE))-1)*10000,0)</f>
        <v>0</v>
      </c>
      <c r="BB142" s="2">
        <f>ROUND(($P142*U142/10/$H142/(1+VLOOKUP($I142,技能效果!$B$2:$D$101,3,FALSE))-1)*10000,0)</f>
        <v>0</v>
      </c>
      <c r="BC142" s="2">
        <f>ROUND(($P142*V142/10/$H142/(1+VLOOKUP($I142,技能效果!$B$2:$D$101,3,FALSE))-1)*10000,0)</f>
        <v>0</v>
      </c>
    </row>
    <row r="143" spans="2:55" x14ac:dyDescent="0.15">
      <c r="B143" s="83" t="s">
        <v>126</v>
      </c>
      <c r="C143" s="2">
        <v>141</v>
      </c>
      <c r="D143" s="2">
        <f t="shared" si="33"/>
        <v>80</v>
      </c>
      <c r="E143" s="2">
        <v>2</v>
      </c>
      <c r="F143" s="28">
        <f>INDEX([3]宠物属性!$AL$8:$AL$107,MATCH(D143,[3]宠物属性!$I$8:$I$107,0),1)</f>
        <v>315050.57562687469</v>
      </c>
      <c r="G143" s="68">
        <f>F143/INDEX(角色属性!$AI$8:$AI$107,MATCH(D143,角色属性!$I$8:$I$107,0),1)*E143</f>
        <v>1.6657398653984963</v>
      </c>
      <c r="H143" s="2">
        <f>INDEX(角色属性!$AL$8:$AL$107,MATCH(D143,角色属性!$I$8:$I$107,0),1)</f>
        <v>10071</v>
      </c>
      <c r="I143" s="2">
        <f>INDEX(角色属性!$Y$8:$Y$107,MATCH(D143,角色属性!$I$8:$I$107,0),1)</f>
        <v>80</v>
      </c>
      <c r="J143" s="28">
        <f>H143*10*(1+VLOOKUP(I143,技能效果!$B$2:$D$101,3,FALSE))</f>
        <v>132534.36000000002</v>
      </c>
      <c r="K143" s="28">
        <f>H143*10*(1+VLOOKUP(I143,技能效果!$B$2:$D$101,3,FALSE))*(1+G143)</f>
        <v>353302.1269870759</v>
      </c>
      <c r="L143" s="2">
        <f t="shared" si="34"/>
        <v>150</v>
      </c>
      <c r="M143" s="28">
        <f t="shared" si="35"/>
        <v>159037.44000000003</v>
      </c>
      <c r="N143" s="28">
        <f t="shared" si="36"/>
        <v>401357.6587789043</v>
      </c>
      <c r="O143" s="62">
        <f t="shared" si="46"/>
        <v>354744</v>
      </c>
      <c r="P143" s="62">
        <f t="shared" si="47"/>
        <v>133329</v>
      </c>
      <c r="Q143" s="64">
        <f t="shared" si="45"/>
        <v>1442</v>
      </c>
      <c r="R143" s="67">
        <v>1</v>
      </c>
      <c r="S143" s="67">
        <v>1</v>
      </c>
      <c r="T143" s="67">
        <v>1</v>
      </c>
      <c r="U143" s="67">
        <v>1</v>
      </c>
      <c r="V143" s="67">
        <v>1</v>
      </c>
      <c r="W143" s="28">
        <v>0</v>
      </c>
      <c r="X143" s="28">
        <v>0</v>
      </c>
      <c r="Y143" s="28">
        <v>0</v>
      </c>
      <c r="Z143" s="28">
        <v>0</v>
      </c>
      <c r="AA143" s="28">
        <v>0</v>
      </c>
      <c r="AB143" s="64">
        <f>INDEX(角色属性!AM$8:AM$107,MATCH($D143,角色属性!$I$8:$I$107,0),1)</f>
        <v>574880</v>
      </c>
      <c r="AC143" s="64">
        <f>INDEX(角色属性!AN$8:AN$107,MATCH($D143,角色属性!$I$8:$I$107,0),1)</f>
        <v>57488</v>
      </c>
      <c r="AD143" s="64">
        <f>INDEX(角色属性!AO$8:AO$107,MATCH($D143,角色属性!$I$8:$I$107,0),1)</f>
        <v>28744</v>
      </c>
      <c r="AE143" s="64">
        <f>INDEX(角色属性!AP$8:AP$107,MATCH($D143,角色属性!$I$8:$I$107,0),1)</f>
        <v>22995.200000000001</v>
      </c>
      <c r="AF143" s="64">
        <f>INDEX(角色属性!AQ$8:AQ$107,MATCH($D143,角色属性!$I$8:$I$107,0),1)</f>
        <v>22995.200000000001</v>
      </c>
      <c r="AG143" s="64">
        <f>$P143/10/(1+VLOOKUP(I143,技能效果!$B$2:$D$101,3,FALSE))*怪物属性规划!A$18*INDEX(怪物属性等级系数!$A$2:$A$101,MATCH(D143,怪物属性等级系数!$D$2:$D$101,0),1)*R143+W143</f>
        <v>162298.83058419463</v>
      </c>
      <c r="AH143" s="64">
        <f>$P143/10/(1+VLOOKUP($I143,技能效果!$B$2:$D$101,3,FALSE))*怪物属性规划!B$18*S143+X143</f>
        <v>10131.382978723403</v>
      </c>
      <c r="AI143" s="64">
        <f>$P143/10/(1+VLOOKUP($I143,技能效果!$B$2:$D$101,3,FALSE))*怪物属性规划!C$18*T143+Y143</f>
        <v>10131.382978723403</v>
      </c>
      <c r="AJ143" s="64">
        <f>$P143/10/(1+VLOOKUP($I143,技能效果!$B$2:$D$101,3,FALSE))*怪物属性规划!D$18*U143+Z143</f>
        <v>8105.1063829787226</v>
      </c>
      <c r="AK143" s="64">
        <f>$P143/10/(1+VLOOKUP($I143,技能效果!$B$2:$D$101,3,FALSE))*怪物属性规划!E$18*V143+AA143</f>
        <v>8105.1063829787226</v>
      </c>
      <c r="AL143" s="67">
        <f>INDEX(角色属性!BB$8:BB$107,MATCH($D143,角色属性!$I$8:$I$107,0),1)</f>
        <v>1.7900000000000007</v>
      </c>
      <c r="AM143" s="64">
        <f>INDEX(角色属性!BC$8:BC$107,MATCH($D143,角色属性!$I$8:$I$107,0),1)</f>
        <v>27269</v>
      </c>
      <c r="AN143" s="64">
        <f>INDEX(角色属性!BD$8:BD$107,MATCH($D143,角色属性!$I$8:$I$107,0),1)</f>
        <v>2993</v>
      </c>
      <c r="AO143" s="69">
        <f t="shared" si="37"/>
        <v>0.46410825634362879</v>
      </c>
      <c r="AP143" s="69">
        <f t="shared" si="38"/>
        <v>0.95724000505261808</v>
      </c>
      <c r="AQ143" s="64">
        <f>AL143*角色属性!$BA$1*(AC143*(1-AO143)+MAX(AF143-AJ143,0))</f>
        <v>163596.82867129278</v>
      </c>
      <c r="AR143" s="64">
        <f>角色属性!$BA$1*(AH143*(1-AP143)+MAX(AK143-AE143,0))</f>
        <v>866.4357699604077</v>
      </c>
      <c r="AS143" s="73">
        <f t="shared" si="39"/>
        <v>0.5511477069789994</v>
      </c>
      <c r="AT143" s="73">
        <f t="shared" si="40"/>
        <v>0.36743180465266628</v>
      </c>
      <c r="AU143" s="73">
        <f t="shared" si="41"/>
        <v>0.2755738534894997</v>
      </c>
      <c r="AV143" s="73">
        <f t="shared" si="42"/>
        <v>663.49984607199383</v>
      </c>
      <c r="AW143" s="73">
        <f t="shared" si="43"/>
        <v>442.33323071466265</v>
      </c>
      <c r="AX143" s="2" t="str">
        <f t="shared" si="44"/>
        <v>r_guanqia_141</v>
      </c>
      <c r="AY143" s="2">
        <f>ROUND(($P143*R143/10/$H143/(1+VLOOKUP($I143,技能效果!$B$2:$D$101,3,FALSE))-1)*10000,0)</f>
        <v>60</v>
      </c>
      <c r="AZ143" s="2">
        <f>ROUND(($P143*S143/10/$H143/(1+VLOOKUP($I143,技能效果!$B$2:$D$101,3,FALSE))-1)*10000,0)</f>
        <v>60</v>
      </c>
      <c r="BA143" s="2">
        <f>ROUND(($P143*T143/10/$H143/(1+VLOOKUP($I143,技能效果!$B$2:$D$101,3,FALSE))-1)*10000,0)</f>
        <v>60</v>
      </c>
      <c r="BB143" s="2">
        <f>ROUND(($P143*U143/10/$H143/(1+VLOOKUP($I143,技能效果!$B$2:$D$101,3,FALSE))-1)*10000,0)</f>
        <v>60</v>
      </c>
      <c r="BC143" s="2">
        <f>ROUND(($P143*V143/10/$H143/(1+VLOOKUP($I143,技能效果!$B$2:$D$101,3,FALSE))-1)*10000,0)</f>
        <v>60</v>
      </c>
    </row>
    <row r="144" spans="2:55" x14ac:dyDescent="0.15">
      <c r="B144" s="83"/>
      <c r="C144" s="2">
        <v>142</v>
      </c>
      <c r="D144" s="2">
        <f t="shared" si="33"/>
        <v>80</v>
      </c>
      <c r="E144" s="2">
        <v>2</v>
      </c>
      <c r="F144" s="28">
        <f>INDEX([3]宠物属性!$AL$8:$AL$107,MATCH(D144,[3]宠物属性!$I$8:$I$107,0),1)</f>
        <v>315050.57562687469</v>
      </c>
      <c r="G144" s="68">
        <f>F144/INDEX(角色属性!$AI$8:$AI$107,MATCH(D144,角色属性!$I$8:$I$107,0),1)*E144</f>
        <v>1.6657398653984963</v>
      </c>
      <c r="H144" s="2">
        <f>INDEX(角色属性!$AL$8:$AL$107,MATCH(D144,角色属性!$I$8:$I$107,0),1)</f>
        <v>10071</v>
      </c>
      <c r="I144" s="2">
        <f>INDEX(角色属性!$Y$8:$Y$107,MATCH(D144,角色属性!$I$8:$I$107,0),1)</f>
        <v>80</v>
      </c>
      <c r="J144" s="28">
        <f>H144*10*(1+VLOOKUP(I144,技能效果!$B$2:$D$101,3,FALSE))</f>
        <v>132534.36000000002</v>
      </c>
      <c r="K144" s="28">
        <f>H144*10*(1+VLOOKUP(I144,技能效果!$B$2:$D$101,3,FALSE))*(1+G144)</f>
        <v>353302.1269870759</v>
      </c>
      <c r="L144" s="2">
        <f t="shared" si="34"/>
        <v>150</v>
      </c>
      <c r="M144" s="28">
        <f t="shared" si="35"/>
        <v>159037.44000000003</v>
      </c>
      <c r="N144" s="28">
        <f t="shared" si="36"/>
        <v>401357.6587789043</v>
      </c>
      <c r="O144" s="62">
        <f t="shared" si="46"/>
        <v>357147</v>
      </c>
      <c r="P144" s="62">
        <f t="shared" si="47"/>
        <v>134655</v>
      </c>
      <c r="Q144" s="64">
        <f t="shared" si="45"/>
        <v>2403</v>
      </c>
      <c r="R144" s="67">
        <v>1</v>
      </c>
      <c r="S144" s="67">
        <v>1</v>
      </c>
      <c r="T144" s="67">
        <v>1</v>
      </c>
      <c r="U144" s="67">
        <v>1</v>
      </c>
      <c r="V144" s="67">
        <v>1</v>
      </c>
      <c r="W144" s="28">
        <v>0</v>
      </c>
      <c r="X144" s="28">
        <v>0</v>
      </c>
      <c r="Y144" s="28">
        <v>0</v>
      </c>
      <c r="Z144" s="28">
        <v>0</v>
      </c>
      <c r="AA144" s="28">
        <v>0</v>
      </c>
      <c r="AB144" s="64">
        <f>INDEX(角色属性!AM$8:AM$107,MATCH($D144,角色属性!$I$8:$I$107,0),1)</f>
        <v>574880</v>
      </c>
      <c r="AC144" s="64">
        <f>INDEX(角色属性!AN$8:AN$107,MATCH($D144,角色属性!$I$8:$I$107,0),1)</f>
        <v>57488</v>
      </c>
      <c r="AD144" s="64">
        <f>INDEX(角色属性!AO$8:AO$107,MATCH($D144,角色属性!$I$8:$I$107,0),1)</f>
        <v>28744</v>
      </c>
      <c r="AE144" s="64">
        <f>INDEX(角色属性!AP$8:AP$107,MATCH($D144,角色属性!$I$8:$I$107,0),1)</f>
        <v>22995.200000000001</v>
      </c>
      <c r="AF144" s="64">
        <f>INDEX(角色属性!AQ$8:AQ$107,MATCH($D144,角色属性!$I$8:$I$107,0),1)</f>
        <v>22995.200000000001</v>
      </c>
      <c r="AG144" s="64">
        <f>$P144/10/(1+VLOOKUP(I144,技能效果!$B$2:$D$101,3,FALSE))*怪物属性规划!A$18*INDEX(怪物属性等级系数!$A$2:$A$101,MATCH(D144,怪物属性等级系数!$D$2:$D$101,0),1)*R144+W144</f>
        <v>163912.94491307015</v>
      </c>
      <c r="AH144" s="64">
        <f>$P144/10/(1+VLOOKUP($I144,技能效果!$B$2:$D$101,3,FALSE))*怪物属性规划!B$18*S144+X144</f>
        <v>10232.142857142855</v>
      </c>
      <c r="AI144" s="64">
        <f>$P144/10/(1+VLOOKUP($I144,技能效果!$B$2:$D$101,3,FALSE))*怪物属性规划!C$18*T144+Y144</f>
        <v>10232.142857142855</v>
      </c>
      <c r="AJ144" s="64">
        <f>$P144/10/(1+VLOOKUP($I144,技能效果!$B$2:$D$101,3,FALSE))*怪物属性规划!D$18*U144+Z144</f>
        <v>8185.7142857142844</v>
      </c>
      <c r="AK144" s="64">
        <f>$P144/10/(1+VLOOKUP($I144,技能效果!$B$2:$D$101,3,FALSE))*怪物属性规划!E$18*V144+AA144</f>
        <v>8185.7142857142844</v>
      </c>
      <c r="AL144" s="67">
        <f>INDEX(角色属性!BB$8:BB$107,MATCH($D144,角色属性!$I$8:$I$107,0),1)</f>
        <v>1.7900000000000007</v>
      </c>
      <c r="AM144" s="64">
        <f>INDEX(角色属性!BC$8:BC$107,MATCH($D144,角色属性!$I$8:$I$107,0),1)</f>
        <v>27269</v>
      </c>
      <c r="AN144" s="64">
        <f>INDEX(角色属性!BD$8:BD$107,MATCH($D144,角色属性!$I$8:$I$107,0),1)</f>
        <v>2993</v>
      </c>
      <c r="AO144" s="69">
        <f t="shared" si="37"/>
        <v>0.46657041082956141</v>
      </c>
      <c r="AP144" s="69">
        <f t="shared" si="38"/>
        <v>0.95724000505261808</v>
      </c>
      <c r="AQ144" s="64">
        <f>AL144*角色属性!$BA$1*(AC144*(1-AO144)+MAX(AF144-AJ144,0))</f>
        <v>162801.52365272693</v>
      </c>
      <c r="AR144" s="64">
        <f>角色属性!$BA$1*(AH144*(1-AP144)+MAX(AK144-AE144,0))</f>
        <v>875.0527537446369</v>
      </c>
      <c r="AS144" s="73">
        <f t="shared" si="39"/>
        <v>0.55934824890321322</v>
      </c>
      <c r="AT144" s="73">
        <f t="shared" si="40"/>
        <v>0.37289883260214218</v>
      </c>
      <c r="AU144" s="73">
        <f t="shared" si="41"/>
        <v>0.27967412445160661</v>
      </c>
      <c r="AV144" s="73">
        <f t="shared" si="42"/>
        <v>656.96610580322215</v>
      </c>
      <c r="AW144" s="73">
        <f t="shared" si="43"/>
        <v>437.97740386881475</v>
      </c>
      <c r="AX144" s="2" t="str">
        <f t="shared" si="44"/>
        <v>r_guanqia_142</v>
      </c>
      <c r="AY144" s="2">
        <f>ROUND(($P144*R144/10/$H144/(1+VLOOKUP($I144,技能效果!$B$2:$D$101,3,FALSE))-1)*10000,0)</f>
        <v>160</v>
      </c>
      <c r="AZ144" s="2">
        <f>ROUND(($P144*S144/10/$H144/(1+VLOOKUP($I144,技能效果!$B$2:$D$101,3,FALSE))-1)*10000,0)</f>
        <v>160</v>
      </c>
      <c r="BA144" s="2">
        <f>ROUND(($P144*T144/10/$H144/(1+VLOOKUP($I144,技能效果!$B$2:$D$101,3,FALSE))-1)*10000,0)</f>
        <v>160</v>
      </c>
      <c r="BB144" s="2">
        <f>ROUND(($P144*U144/10/$H144/(1+VLOOKUP($I144,技能效果!$B$2:$D$101,3,FALSE))-1)*10000,0)</f>
        <v>160</v>
      </c>
      <c r="BC144" s="2">
        <f>ROUND(($P144*V144/10/$H144/(1+VLOOKUP($I144,技能效果!$B$2:$D$101,3,FALSE))-1)*10000,0)</f>
        <v>160</v>
      </c>
    </row>
    <row r="145" spans="2:55" x14ac:dyDescent="0.15">
      <c r="B145" s="83"/>
      <c r="C145" s="2">
        <v>143</v>
      </c>
      <c r="D145" s="2">
        <f t="shared" si="33"/>
        <v>81</v>
      </c>
      <c r="E145" s="2">
        <v>2</v>
      </c>
      <c r="F145" s="28">
        <f>INDEX([3]宠物属性!$AL$8:$AL$107,MATCH(D145,[3]宠物属性!$I$8:$I$107,0),1)</f>
        <v>317958.12306804856</v>
      </c>
      <c r="G145" s="68">
        <f>F145/INDEX(角色属性!$AI$8:$AI$107,MATCH(D145,角色属性!$I$8:$I$107,0),1)*E145</f>
        <v>1.6711927426415707</v>
      </c>
      <c r="H145" s="2">
        <f>INDEX(角色属性!$AL$8:$AL$107,MATCH(D145,角色属性!$I$8:$I$107,0),1)</f>
        <v>10421</v>
      </c>
      <c r="I145" s="2">
        <f>INDEX(角色属性!$Y$8:$Y$107,MATCH(D145,角色属性!$I$8:$I$107,0),1)</f>
        <v>81</v>
      </c>
      <c r="J145" s="28">
        <f>H145*10*(1+VLOOKUP(I145,技能效果!$B$2:$D$101,3,FALSE))</f>
        <v>137557.20000000004</v>
      </c>
      <c r="K145" s="28">
        <f>H145*10*(1+VLOOKUP(I145,技能效果!$B$2:$D$101,3,FALSE))*(1+G145)</f>
        <v>367441.79433809523</v>
      </c>
      <c r="L145" s="2">
        <f t="shared" si="34"/>
        <v>150</v>
      </c>
      <c r="M145" s="28">
        <f t="shared" si="35"/>
        <v>159037.44000000003</v>
      </c>
      <c r="N145" s="28">
        <f t="shared" si="36"/>
        <v>401357.6587789043</v>
      </c>
      <c r="O145" s="62">
        <f t="shared" si="46"/>
        <v>360510</v>
      </c>
      <c r="P145" s="62">
        <f t="shared" si="47"/>
        <v>136510</v>
      </c>
      <c r="Q145" s="64">
        <f t="shared" si="45"/>
        <v>3363</v>
      </c>
      <c r="R145" s="67">
        <v>1</v>
      </c>
      <c r="S145" s="67">
        <v>1</v>
      </c>
      <c r="T145" s="67">
        <v>1</v>
      </c>
      <c r="U145" s="67">
        <v>1</v>
      </c>
      <c r="V145" s="67">
        <v>1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64">
        <f>INDEX(角色属性!AM$8:AM$107,MATCH($D145,角色属性!$I$8:$I$107,0),1)</f>
        <v>576540</v>
      </c>
      <c r="AC145" s="64">
        <f>INDEX(角色属性!AN$8:AN$107,MATCH($D145,角色属性!$I$8:$I$107,0),1)</f>
        <v>57654</v>
      </c>
      <c r="AD145" s="64">
        <f>INDEX(角色属性!AO$8:AO$107,MATCH($D145,角色属性!$I$8:$I$107,0),1)</f>
        <v>28827</v>
      </c>
      <c r="AE145" s="64">
        <f>INDEX(角色属性!AP$8:AP$107,MATCH($D145,角色属性!$I$8:$I$107,0),1)</f>
        <v>23061.599999999999</v>
      </c>
      <c r="AF145" s="64">
        <f>INDEX(角色属性!AQ$8:AQ$107,MATCH($D145,角色属性!$I$8:$I$107,0),1)</f>
        <v>23061.599999999999</v>
      </c>
      <c r="AG145" s="64">
        <f>$P145/10/(1+VLOOKUP(I145,技能效果!$B$2:$D$101,3,FALSE))*怪物属性规划!A$18*INDEX(怪物属性等级系数!$A$2:$A$101,MATCH(D145,怪物属性等级系数!$D$2:$D$101,0),1)*R145+W145</f>
        <v>167544.18122516398</v>
      </c>
      <c r="AH145" s="64">
        <f>$P145/10/(1+VLOOKUP($I145,技能效果!$B$2:$D$101,3,FALSE))*怪物属性规划!B$18*S145+X145</f>
        <v>10341.666666666664</v>
      </c>
      <c r="AI145" s="64">
        <f>$P145/10/(1+VLOOKUP($I145,技能效果!$B$2:$D$101,3,FALSE))*怪物属性规划!C$18*T145+Y145</f>
        <v>10341.666666666664</v>
      </c>
      <c r="AJ145" s="64">
        <f>$P145/10/(1+VLOOKUP($I145,技能效果!$B$2:$D$101,3,FALSE))*怪物属性规划!D$18*U145+Z145</f>
        <v>8273.3333333333321</v>
      </c>
      <c r="AK145" s="64">
        <f>$P145/10/(1+VLOOKUP($I145,技能效果!$B$2:$D$101,3,FALSE))*怪物属性规划!E$18*V145+AA145</f>
        <v>8273.3333333333321</v>
      </c>
      <c r="AL145" s="67">
        <f>INDEX(角色属性!BB$8:BB$107,MATCH($D145,角色属性!$I$8:$I$107,0),1)</f>
        <v>1.8000000000000007</v>
      </c>
      <c r="AM145" s="64">
        <f>INDEX(角色属性!BC$8:BC$107,MATCH($D145,角色属性!$I$8:$I$107,0),1)</f>
        <v>28559</v>
      </c>
      <c r="AN145" s="64">
        <f>INDEX(角色属性!BD$8:BD$107,MATCH($D145,角色属性!$I$8:$I$107,0),1)</f>
        <v>2995</v>
      </c>
      <c r="AO145" s="69">
        <f t="shared" si="37"/>
        <v>0.4577279699585276</v>
      </c>
      <c r="AP145" s="69">
        <f t="shared" si="38"/>
        <v>0.95733059288443045</v>
      </c>
      <c r="AQ145" s="64">
        <f>AL145*角色属性!$BA$1*(AC145*(1-AO145)+MAX(AF145-AJ145,0))</f>
        <v>165788.70583203982</v>
      </c>
      <c r="AR145" s="64">
        <f>角色属性!$BA$1*(AH145*(1-AP145)+MAX(AK145-AE145,0))</f>
        <v>882.54557050702988</v>
      </c>
      <c r="AS145" s="73">
        <f t="shared" si="39"/>
        <v>0.56143812820968575</v>
      </c>
      <c r="AT145" s="73">
        <f t="shared" si="40"/>
        <v>0.37429208547312381</v>
      </c>
      <c r="AU145" s="73">
        <f t="shared" si="41"/>
        <v>0.28071906410484287</v>
      </c>
      <c r="AV145" s="73">
        <f t="shared" si="42"/>
        <v>653.26938264363264</v>
      </c>
      <c r="AW145" s="73">
        <f t="shared" si="43"/>
        <v>435.5129217624218</v>
      </c>
      <c r="AX145" s="2" t="str">
        <f t="shared" si="44"/>
        <v>r_guanqia_143</v>
      </c>
      <c r="AY145" s="2">
        <f>ROUND(($P145*R145/10/$H145/(1+VLOOKUP($I145,技能效果!$B$2:$D$101,3,FALSE))-1)*10000,0)</f>
        <v>-76</v>
      </c>
      <c r="AZ145" s="2">
        <f>ROUND(($P145*S145/10/$H145/(1+VLOOKUP($I145,技能效果!$B$2:$D$101,3,FALSE))-1)*10000,0)</f>
        <v>-76</v>
      </c>
      <c r="BA145" s="2">
        <f>ROUND(($P145*T145/10/$H145/(1+VLOOKUP($I145,技能效果!$B$2:$D$101,3,FALSE))-1)*10000,0)</f>
        <v>-76</v>
      </c>
      <c r="BB145" s="2">
        <f>ROUND(($P145*U145/10/$H145/(1+VLOOKUP($I145,技能效果!$B$2:$D$101,3,FALSE))-1)*10000,0)</f>
        <v>-76</v>
      </c>
      <c r="BC145" s="2">
        <f>ROUND(($P145*V145/10/$H145/(1+VLOOKUP($I145,技能效果!$B$2:$D$101,3,FALSE))-1)*10000,0)</f>
        <v>-76</v>
      </c>
    </row>
    <row r="146" spans="2:55" x14ac:dyDescent="0.15">
      <c r="B146" s="83"/>
      <c r="C146" s="2">
        <v>144</v>
      </c>
      <c r="D146" s="2">
        <f t="shared" si="33"/>
        <v>81</v>
      </c>
      <c r="E146" s="2">
        <v>2</v>
      </c>
      <c r="F146" s="28">
        <f>INDEX([3]宠物属性!$AL$8:$AL$107,MATCH(D146,[3]宠物属性!$I$8:$I$107,0),1)</f>
        <v>317958.12306804856</v>
      </c>
      <c r="G146" s="68">
        <f>F146/INDEX(角色属性!$AI$8:$AI$107,MATCH(D146,角色属性!$I$8:$I$107,0),1)*E146</f>
        <v>1.6711927426415707</v>
      </c>
      <c r="H146" s="2">
        <f>INDEX(角色属性!$AL$8:$AL$107,MATCH(D146,角色属性!$I$8:$I$107,0),1)</f>
        <v>10421</v>
      </c>
      <c r="I146" s="2">
        <f>INDEX(角色属性!$Y$8:$Y$107,MATCH(D146,角色属性!$I$8:$I$107,0),1)</f>
        <v>81</v>
      </c>
      <c r="J146" s="28">
        <f>H146*10*(1+VLOOKUP(I146,技能效果!$B$2:$D$101,3,FALSE))</f>
        <v>137557.20000000004</v>
      </c>
      <c r="K146" s="28">
        <f>H146*10*(1+VLOOKUP(I146,技能效果!$B$2:$D$101,3,FALSE))*(1+G146)</f>
        <v>367441.79433809523</v>
      </c>
      <c r="L146" s="2">
        <f t="shared" si="34"/>
        <v>150</v>
      </c>
      <c r="M146" s="28">
        <f t="shared" si="35"/>
        <v>159037.44000000003</v>
      </c>
      <c r="N146" s="28">
        <f t="shared" si="36"/>
        <v>401357.6587789043</v>
      </c>
      <c r="O146" s="62">
        <f t="shared" si="46"/>
        <v>364835</v>
      </c>
      <c r="P146" s="62">
        <f t="shared" si="47"/>
        <v>138895</v>
      </c>
      <c r="Q146" s="64">
        <f t="shared" si="45"/>
        <v>4325</v>
      </c>
      <c r="R146" s="67">
        <v>1</v>
      </c>
      <c r="S146" s="67">
        <v>1</v>
      </c>
      <c r="T146" s="67">
        <v>1</v>
      </c>
      <c r="U146" s="67">
        <v>1</v>
      </c>
      <c r="V146" s="67">
        <v>1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64">
        <f>INDEX(角色属性!AM$8:AM$107,MATCH($D146,角色属性!$I$8:$I$107,0),1)</f>
        <v>576540</v>
      </c>
      <c r="AC146" s="64">
        <f>INDEX(角色属性!AN$8:AN$107,MATCH($D146,角色属性!$I$8:$I$107,0),1)</f>
        <v>57654</v>
      </c>
      <c r="AD146" s="64">
        <f>INDEX(角色属性!AO$8:AO$107,MATCH($D146,角色属性!$I$8:$I$107,0),1)</f>
        <v>28827</v>
      </c>
      <c r="AE146" s="64">
        <f>INDEX(角色属性!AP$8:AP$107,MATCH($D146,角色属性!$I$8:$I$107,0),1)</f>
        <v>23061.599999999999</v>
      </c>
      <c r="AF146" s="64">
        <f>INDEX(角色属性!AQ$8:AQ$107,MATCH($D146,角色属性!$I$8:$I$107,0),1)</f>
        <v>23061.599999999999</v>
      </c>
      <c r="AG146" s="64">
        <f>$P146/10/(1+VLOOKUP(I146,技能效果!$B$2:$D$101,3,FALSE))*怪物属性规划!A$18*INDEX(怪物属性等级系数!$A$2:$A$101,MATCH(D146,怪物属性等级系数!$D$2:$D$101,0),1)*R146+W146</f>
        <v>170471.38708716686</v>
      </c>
      <c r="AH146" s="64">
        <f>$P146/10/(1+VLOOKUP($I146,技能效果!$B$2:$D$101,3,FALSE))*怪物属性规划!B$18*S146+X146</f>
        <v>10522.348484848482</v>
      </c>
      <c r="AI146" s="64">
        <f>$P146/10/(1+VLOOKUP($I146,技能效果!$B$2:$D$101,3,FALSE))*怪物属性规划!C$18*T146+Y146</f>
        <v>10522.348484848482</v>
      </c>
      <c r="AJ146" s="64">
        <f>$P146/10/(1+VLOOKUP($I146,技能效果!$B$2:$D$101,3,FALSE))*怪物属性规划!D$18*U146+Z146</f>
        <v>8417.8787878787862</v>
      </c>
      <c r="AK146" s="64">
        <f>$P146/10/(1+VLOOKUP($I146,技能效果!$B$2:$D$101,3,FALSE))*怪物属性规划!E$18*V146+AA146</f>
        <v>8417.8787878787862</v>
      </c>
      <c r="AL146" s="67">
        <f>INDEX(角色属性!BB$8:BB$107,MATCH($D146,角色属性!$I$8:$I$107,0),1)</f>
        <v>1.8000000000000007</v>
      </c>
      <c r="AM146" s="64">
        <f>INDEX(角色属性!BC$8:BC$107,MATCH($D146,角色属性!$I$8:$I$107,0),1)</f>
        <v>28559</v>
      </c>
      <c r="AN146" s="64">
        <f>INDEX(角色属性!BD$8:BD$107,MATCH($D146,角色属性!$I$8:$I$107,0),1)</f>
        <v>2995</v>
      </c>
      <c r="AO146" s="69">
        <f t="shared" si="37"/>
        <v>0.46203015711069118</v>
      </c>
      <c r="AP146" s="69">
        <f t="shared" si="38"/>
        <v>0.95733059288443045</v>
      </c>
      <c r="AQ146" s="64">
        <f>AL146*角色属性!$BA$1*(AC146*(1-AO146)+MAX(AF146-AJ146,0))</f>
        <v>164375.40432262121</v>
      </c>
      <c r="AR146" s="64">
        <f>角色属性!$BA$1*(AH146*(1-AP146)+MAX(AK146-AE146,0))</f>
        <v>897.96474262379252</v>
      </c>
      <c r="AS146" s="73">
        <f t="shared" si="39"/>
        <v>0.57615874193474903</v>
      </c>
      <c r="AT146" s="73">
        <f t="shared" si="40"/>
        <v>0.38410582795649933</v>
      </c>
      <c r="AU146" s="73">
        <f t="shared" si="41"/>
        <v>0.28807937096737452</v>
      </c>
      <c r="AV146" s="73">
        <f t="shared" si="42"/>
        <v>642.05193437260016</v>
      </c>
      <c r="AW146" s="73">
        <f t="shared" si="43"/>
        <v>428.03462291506673</v>
      </c>
      <c r="AX146" s="2" t="str">
        <f t="shared" si="44"/>
        <v>r_guanqia_144</v>
      </c>
      <c r="AY146" s="2">
        <f>ROUND(($P146*R146/10/$H146/(1+VLOOKUP($I146,技能效果!$B$2:$D$101,3,FALSE))-1)*10000,0)</f>
        <v>97</v>
      </c>
      <c r="AZ146" s="2">
        <f>ROUND(($P146*S146/10/$H146/(1+VLOOKUP($I146,技能效果!$B$2:$D$101,3,FALSE))-1)*10000,0)</f>
        <v>97</v>
      </c>
      <c r="BA146" s="2">
        <f>ROUND(($P146*T146/10/$H146/(1+VLOOKUP($I146,技能效果!$B$2:$D$101,3,FALSE))-1)*10000,0)</f>
        <v>97</v>
      </c>
      <c r="BB146" s="2">
        <f>ROUND(($P146*U146/10/$H146/(1+VLOOKUP($I146,技能效果!$B$2:$D$101,3,FALSE))-1)*10000,0)</f>
        <v>97</v>
      </c>
      <c r="BC146" s="2">
        <f>ROUND(($P146*V146/10/$H146/(1+VLOOKUP($I146,技能效果!$B$2:$D$101,3,FALSE))-1)*10000,0)</f>
        <v>97</v>
      </c>
    </row>
    <row r="147" spans="2:55" x14ac:dyDescent="0.15">
      <c r="B147" s="83"/>
      <c r="C147" s="2">
        <v>145</v>
      </c>
      <c r="D147" s="2">
        <f t="shared" si="33"/>
        <v>82</v>
      </c>
      <c r="E147" s="2">
        <v>2</v>
      </c>
      <c r="F147" s="28">
        <f>INDEX([3]宠物属性!$AL$8:$AL$107,MATCH(D147,[3]宠物属性!$I$8:$I$107,0),1)</f>
        <v>320877.89766922238</v>
      </c>
      <c r="G147" s="68">
        <f>F147/INDEX(角色属性!$AI$8:$AI$107,MATCH(D147,角色属性!$I$8:$I$107,0),1)*E147</f>
        <v>1.6765584559866682</v>
      </c>
      <c r="H147" s="2">
        <f>INDEX(角色属性!$AL$8:$AL$107,MATCH(D147,角色属性!$I$8:$I$107,0),1)</f>
        <v>10779</v>
      </c>
      <c r="I147" s="2">
        <f>INDEX(角色属性!$Y$8:$Y$107,MATCH(D147,角色属性!$I$8:$I$107,0),1)</f>
        <v>82</v>
      </c>
      <c r="J147" s="28">
        <f>H147*10*(1+VLOOKUP(I147,技能效果!$B$2:$D$101,3,FALSE))</f>
        <v>142713.96000000002</v>
      </c>
      <c r="K147" s="28">
        <f>H147*10*(1+VLOOKUP(I147,技能效果!$B$2:$D$101,3,FALSE))*(1+G147)</f>
        <v>381982.25642534316</v>
      </c>
      <c r="L147" s="2">
        <f t="shared" si="34"/>
        <v>150</v>
      </c>
      <c r="M147" s="28">
        <f t="shared" si="35"/>
        <v>159037.44000000003</v>
      </c>
      <c r="N147" s="28">
        <f t="shared" si="36"/>
        <v>401357.6587789043</v>
      </c>
      <c r="O147" s="62">
        <f t="shared" si="46"/>
        <v>373485</v>
      </c>
      <c r="P147" s="62">
        <f t="shared" si="47"/>
        <v>143666</v>
      </c>
      <c r="Q147" s="64">
        <f t="shared" si="45"/>
        <v>8650</v>
      </c>
      <c r="R147" s="67">
        <v>1</v>
      </c>
      <c r="S147" s="67">
        <v>1</v>
      </c>
      <c r="T147" s="67">
        <v>1</v>
      </c>
      <c r="U147" s="67">
        <v>1</v>
      </c>
      <c r="V147" s="67">
        <v>1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64">
        <f>INDEX(角色属性!AM$8:AM$107,MATCH($D147,角色属性!$I$8:$I$107,0),1)</f>
        <v>578220</v>
      </c>
      <c r="AC147" s="64">
        <f>INDEX(角色属性!AN$8:AN$107,MATCH($D147,角色属性!$I$8:$I$107,0),1)</f>
        <v>57822</v>
      </c>
      <c r="AD147" s="64">
        <f>INDEX(角色属性!AO$8:AO$107,MATCH($D147,角色属性!$I$8:$I$107,0),1)</f>
        <v>28911</v>
      </c>
      <c r="AE147" s="64">
        <f>INDEX(角色属性!AP$8:AP$107,MATCH($D147,角色属性!$I$8:$I$107,0),1)</f>
        <v>23128.799999999999</v>
      </c>
      <c r="AF147" s="64">
        <f>INDEX(角色属性!AQ$8:AQ$107,MATCH($D147,角色属性!$I$8:$I$107,0),1)</f>
        <v>23128.799999999999</v>
      </c>
      <c r="AG147" s="64">
        <f>$P147/10/(1+VLOOKUP(I147,技能效果!$B$2:$D$101,3,FALSE))*怪物属性规划!A$18*INDEX(怪物属性等级系数!$A$2:$A$101,MATCH(D147,怪物属性等级系数!$D$2:$D$101,0),1)*R147+W147</f>
        <v>177745.99216240097</v>
      </c>
      <c r="AH147" s="64">
        <f>$P147/10/(1+VLOOKUP($I147,技能效果!$B$2:$D$101,3,FALSE))*怪物属性规划!B$18*S147+X147</f>
        <v>10850.906344410874</v>
      </c>
      <c r="AI147" s="64">
        <f>$P147/10/(1+VLOOKUP($I147,技能效果!$B$2:$D$101,3,FALSE))*怪物属性规划!C$18*T147+Y147</f>
        <v>10850.906344410874</v>
      </c>
      <c r="AJ147" s="64">
        <f>$P147/10/(1+VLOOKUP($I147,技能效果!$B$2:$D$101,3,FALSE))*怪物属性规划!D$18*U147+Z147</f>
        <v>8680.7250755287005</v>
      </c>
      <c r="AK147" s="64">
        <f>$P147/10/(1+VLOOKUP($I147,技能效果!$B$2:$D$101,3,FALSE))*怪物属性规划!E$18*V147+AA147</f>
        <v>8680.7250755287005</v>
      </c>
      <c r="AL147" s="67">
        <f>INDEX(角色属性!BB$8:BB$107,MATCH($D147,角色属性!$I$8:$I$107,0),1)</f>
        <v>1.8100000000000007</v>
      </c>
      <c r="AM147" s="64">
        <f>INDEX(角色属性!BC$8:BC$107,MATCH($D147,角色属性!$I$8:$I$107,0),1)</f>
        <v>29900</v>
      </c>
      <c r="AN147" s="64">
        <f>INDEX(角色属性!BD$8:BD$107,MATCH($D147,角色属性!$I$8:$I$107,0),1)</f>
        <v>2997</v>
      </c>
      <c r="AO147" s="69">
        <f t="shared" si="37"/>
        <v>0.45826942465416642</v>
      </c>
      <c r="AP147" s="69">
        <f t="shared" si="38"/>
        <v>0.95742208762920655</v>
      </c>
      <c r="AQ147" s="64">
        <f>AL147*角色属性!$BA$1*(AC147*(1-AO147)+MAX(AF147-AJ147,0))</f>
        <v>165694.71331266756</v>
      </c>
      <c r="AR147" s="64">
        <f>角色属性!$BA$1*(AH147*(1-AP147)+MAX(AK147-AE147,0))</f>
        <v>924.01787895202574</v>
      </c>
      <c r="AS147" s="73">
        <f t="shared" si="39"/>
        <v>0.59596212485800959</v>
      </c>
      <c r="AT147" s="73">
        <f t="shared" si="40"/>
        <v>0.39730808323867306</v>
      </c>
      <c r="AU147" s="73">
        <f t="shared" si="41"/>
        <v>0.29798106242900479</v>
      </c>
      <c r="AV147" s="73">
        <f t="shared" si="42"/>
        <v>625.76711248897891</v>
      </c>
      <c r="AW147" s="73">
        <f t="shared" si="43"/>
        <v>417.17807499265263</v>
      </c>
      <c r="AX147" s="2" t="str">
        <f t="shared" si="44"/>
        <v>r_guanqia_145</v>
      </c>
      <c r="AY147" s="2">
        <f>ROUND(($P147*R147/10/$H147/(1+VLOOKUP($I147,技能效果!$B$2:$D$101,3,FALSE))-1)*10000,0)</f>
        <v>67</v>
      </c>
      <c r="AZ147" s="2">
        <f>ROUND(($P147*S147/10/$H147/(1+VLOOKUP($I147,技能效果!$B$2:$D$101,3,FALSE))-1)*10000,0)</f>
        <v>67</v>
      </c>
      <c r="BA147" s="2">
        <f>ROUND(($P147*T147/10/$H147/(1+VLOOKUP($I147,技能效果!$B$2:$D$101,3,FALSE))-1)*10000,0)</f>
        <v>67</v>
      </c>
      <c r="BB147" s="2">
        <f>ROUND(($P147*U147/10/$H147/(1+VLOOKUP($I147,技能效果!$B$2:$D$101,3,FALSE))-1)*10000,0)</f>
        <v>67</v>
      </c>
      <c r="BC147" s="2">
        <f>ROUND(($P147*V147/10/$H147/(1+VLOOKUP($I147,技能效果!$B$2:$D$101,3,FALSE))-1)*10000,0)</f>
        <v>67</v>
      </c>
    </row>
    <row r="148" spans="2:55" x14ac:dyDescent="0.15">
      <c r="B148" s="83"/>
      <c r="C148" s="2">
        <v>146</v>
      </c>
      <c r="D148" s="2">
        <f t="shared" si="33"/>
        <v>82</v>
      </c>
      <c r="E148" s="2">
        <v>2</v>
      </c>
      <c r="F148" s="28">
        <f>INDEX([3]宠物属性!$AL$8:$AL$107,MATCH(D148,[3]宠物属性!$I$8:$I$107,0),1)</f>
        <v>320877.89766922238</v>
      </c>
      <c r="G148" s="68">
        <f>F148/INDEX(角色属性!$AI$8:$AI$107,MATCH(D148,角色属性!$I$8:$I$107,0),1)*E148</f>
        <v>1.6765584559866682</v>
      </c>
      <c r="H148" s="2">
        <f>INDEX(角色属性!$AL$8:$AL$107,MATCH(D148,角色属性!$I$8:$I$107,0),1)</f>
        <v>10779</v>
      </c>
      <c r="I148" s="2">
        <f>INDEX(角色属性!$Y$8:$Y$107,MATCH(D148,角色属性!$I$8:$I$107,0),1)</f>
        <v>82</v>
      </c>
      <c r="J148" s="28">
        <f>H148*10*(1+VLOOKUP(I148,技能效果!$B$2:$D$101,3,FALSE))</f>
        <v>142713.96000000002</v>
      </c>
      <c r="K148" s="28">
        <f>H148*10*(1+VLOOKUP(I148,技能效果!$B$2:$D$101,3,FALSE))*(1+G148)</f>
        <v>381982.25642534316</v>
      </c>
      <c r="L148" s="2">
        <f t="shared" si="34"/>
        <v>150</v>
      </c>
      <c r="M148" s="28">
        <f t="shared" si="35"/>
        <v>159037.44000000003</v>
      </c>
      <c r="N148" s="28">
        <f t="shared" si="36"/>
        <v>401357.6587789043</v>
      </c>
      <c r="O148" s="62">
        <f t="shared" si="46"/>
        <v>375408</v>
      </c>
      <c r="P148" s="62">
        <f t="shared" si="47"/>
        <v>144726</v>
      </c>
      <c r="Q148" s="64">
        <f t="shared" si="45"/>
        <v>1923</v>
      </c>
      <c r="R148" s="67">
        <v>1</v>
      </c>
      <c r="S148" s="67">
        <v>1</v>
      </c>
      <c r="T148" s="67">
        <v>1</v>
      </c>
      <c r="U148" s="67">
        <v>1</v>
      </c>
      <c r="V148" s="67">
        <v>1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64">
        <f>INDEX(角色属性!AM$8:AM$107,MATCH($D148,角色属性!$I$8:$I$107,0),1)</f>
        <v>578220</v>
      </c>
      <c r="AC148" s="64">
        <f>INDEX(角色属性!AN$8:AN$107,MATCH($D148,角色属性!$I$8:$I$107,0),1)</f>
        <v>57822</v>
      </c>
      <c r="AD148" s="64">
        <f>INDEX(角色属性!AO$8:AO$107,MATCH($D148,角色属性!$I$8:$I$107,0),1)</f>
        <v>28911</v>
      </c>
      <c r="AE148" s="64">
        <f>INDEX(角色属性!AP$8:AP$107,MATCH($D148,角色属性!$I$8:$I$107,0),1)</f>
        <v>23128.799999999999</v>
      </c>
      <c r="AF148" s="64">
        <f>INDEX(角色属性!AQ$8:AQ$107,MATCH($D148,角色属性!$I$8:$I$107,0),1)</f>
        <v>23128.799999999999</v>
      </c>
      <c r="AG148" s="64">
        <f>$P148/10/(1+VLOOKUP(I148,技能效果!$B$2:$D$101,3,FALSE))*怪物属性规划!A$18*INDEX(怪物属性等级系数!$A$2:$A$101,MATCH(D148,怪物属性等级系数!$D$2:$D$101,0),1)*R148+W148</f>
        <v>179057.44199529217</v>
      </c>
      <c r="AH148" s="64">
        <f>$P148/10/(1+VLOOKUP($I148,技能效果!$B$2:$D$101,3,FALSE))*怪物属性规划!B$18*S148+X148</f>
        <v>10930.966767371599</v>
      </c>
      <c r="AI148" s="64">
        <f>$P148/10/(1+VLOOKUP($I148,技能效果!$B$2:$D$101,3,FALSE))*怪物属性规划!C$18*T148+Y148</f>
        <v>10930.966767371599</v>
      </c>
      <c r="AJ148" s="64">
        <f>$P148/10/(1+VLOOKUP($I148,技能效果!$B$2:$D$101,3,FALSE))*怪物属性规划!D$18*U148+Z148</f>
        <v>8744.7734138972792</v>
      </c>
      <c r="AK148" s="64">
        <f>$P148/10/(1+VLOOKUP($I148,技能效果!$B$2:$D$101,3,FALSE))*怪物属性规划!E$18*V148+AA148</f>
        <v>8744.7734138972792</v>
      </c>
      <c r="AL148" s="67">
        <f>INDEX(角色属性!BB$8:BB$107,MATCH($D148,角色属性!$I$8:$I$107,0),1)</f>
        <v>1.8100000000000007</v>
      </c>
      <c r="AM148" s="64">
        <f>INDEX(角色属性!BC$8:BC$107,MATCH($D148,角色属性!$I$8:$I$107,0),1)</f>
        <v>29900</v>
      </c>
      <c r="AN148" s="64">
        <f>INDEX(角色属性!BD$8:BD$107,MATCH($D148,角色属性!$I$8:$I$107,0),1)</f>
        <v>2997</v>
      </c>
      <c r="AO148" s="69">
        <f t="shared" si="37"/>
        <v>0.46009495951007939</v>
      </c>
      <c r="AP148" s="69">
        <f t="shared" si="38"/>
        <v>0.95742208762920655</v>
      </c>
      <c r="AQ148" s="64">
        <f>AL148*角色属性!$BA$1*(AC148*(1-AO148)+MAX(AF148-AJ148,0))</f>
        <v>165080.74533106555</v>
      </c>
      <c r="AR148" s="64">
        <f>角色属性!$BA$1*(AH148*(1-AP148)+MAX(AK148-AE148,0))</f>
        <v>930.83549029840651</v>
      </c>
      <c r="AS148" s="73">
        <f t="shared" si="39"/>
        <v>0.60259212220391734</v>
      </c>
      <c r="AT148" s="73">
        <f t="shared" si="40"/>
        <v>0.40172808146927819</v>
      </c>
      <c r="AU148" s="73">
        <f t="shared" si="41"/>
        <v>0.30129606110195867</v>
      </c>
      <c r="AV148" s="73">
        <f t="shared" si="42"/>
        <v>621.18387838288663</v>
      </c>
      <c r="AW148" s="73">
        <f t="shared" si="43"/>
        <v>414.12258558859111</v>
      </c>
      <c r="AX148" s="2" t="str">
        <f t="shared" si="44"/>
        <v>r_guanqia_146</v>
      </c>
      <c r="AY148" s="2">
        <f>ROUND(($P148*R148/10/$H148/(1+VLOOKUP($I148,技能效果!$B$2:$D$101,3,FALSE))-1)*10000,0)</f>
        <v>141</v>
      </c>
      <c r="AZ148" s="2">
        <f>ROUND(($P148*S148/10/$H148/(1+VLOOKUP($I148,技能效果!$B$2:$D$101,3,FALSE))-1)*10000,0)</f>
        <v>141</v>
      </c>
      <c r="BA148" s="2">
        <f>ROUND(($P148*T148/10/$H148/(1+VLOOKUP($I148,技能效果!$B$2:$D$101,3,FALSE))-1)*10000,0)</f>
        <v>141</v>
      </c>
      <c r="BB148" s="2">
        <f>ROUND(($P148*U148/10/$H148/(1+VLOOKUP($I148,技能效果!$B$2:$D$101,3,FALSE))-1)*10000,0)</f>
        <v>141</v>
      </c>
      <c r="BC148" s="2">
        <f>ROUND(($P148*V148/10/$H148/(1+VLOOKUP($I148,技能效果!$B$2:$D$101,3,FALSE))-1)*10000,0)</f>
        <v>141</v>
      </c>
    </row>
    <row r="149" spans="2:55" x14ac:dyDescent="0.15">
      <c r="B149" s="83"/>
      <c r="C149" s="2">
        <v>147</v>
      </c>
      <c r="D149" s="2">
        <f t="shared" si="33"/>
        <v>82</v>
      </c>
      <c r="E149" s="2">
        <v>2</v>
      </c>
      <c r="F149" s="28">
        <f>INDEX([3]宠物属性!$AL$8:$AL$107,MATCH(D149,[3]宠物属性!$I$8:$I$107,0),1)</f>
        <v>320877.89766922238</v>
      </c>
      <c r="G149" s="68">
        <f>F149/INDEX(角色属性!$AI$8:$AI$107,MATCH(D149,角色属性!$I$8:$I$107,0),1)*E149</f>
        <v>1.6765584559866682</v>
      </c>
      <c r="H149" s="2">
        <f>INDEX(角色属性!$AL$8:$AL$107,MATCH(D149,角色属性!$I$8:$I$107,0),1)</f>
        <v>10779</v>
      </c>
      <c r="I149" s="2">
        <f>INDEX(角色属性!$Y$8:$Y$107,MATCH(D149,角色属性!$I$8:$I$107,0),1)</f>
        <v>82</v>
      </c>
      <c r="J149" s="28">
        <f>H149*10*(1+VLOOKUP(I149,技能效果!$B$2:$D$101,3,FALSE))</f>
        <v>142713.96000000002</v>
      </c>
      <c r="K149" s="28">
        <f>H149*10*(1+VLOOKUP(I149,技能效果!$B$2:$D$101,3,FALSE))*(1+G149)</f>
        <v>381982.25642534316</v>
      </c>
      <c r="L149" s="2">
        <f t="shared" si="34"/>
        <v>150</v>
      </c>
      <c r="M149" s="28">
        <f t="shared" si="35"/>
        <v>159037.44000000003</v>
      </c>
      <c r="N149" s="28">
        <f t="shared" si="36"/>
        <v>401357.6587789043</v>
      </c>
      <c r="O149" s="62">
        <f t="shared" si="46"/>
        <v>378291</v>
      </c>
      <c r="P149" s="62">
        <f t="shared" si="47"/>
        <v>146316</v>
      </c>
      <c r="Q149" s="64">
        <f t="shared" si="45"/>
        <v>2883</v>
      </c>
      <c r="R149" s="67">
        <v>1</v>
      </c>
      <c r="S149" s="67">
        <v>1</v>
      </c>
      <c r="T149" s="67">
        <v>1</v>
      </c>
      <c r="U149" s="67">
        <v>1</v>
      </c>
      <c r="V149" s="67">
        <v>1</v>
      </c>
      <c r="W149" s="28">
        <v>0</v>
      </c>
      <c r="X149" s="28">
        <v>0</v>
      </c>
      <c r="Y149" s="28">
        <v>0</v>
      </c>
      <c r="Z149" s="28">
        <v>0</v>
      </c>
      <c r="AA149" s="28">
        <v>0</v>
      </c>
      <c r="AB149" s="64">
        <f>INDEX(角色属性!AM$8:AM$107,MATCH($D149,角色属性!$I$8:$I$107,0),1)</f>
        <v>578220</v>
      </c>
      <c r="AC149" s="64">
        <f>INDEX(角色属性!AN$8:AN$107,MATCH($D149,角色属性!$I$8:$I$107,0),1)</f>
        <v>57822</v>
      </c>
      <c r="AD149" s="64">
        <f>INDEX(角色属性!AO$8:AO$107,MATCH($D149,角色属性!$I$8:$I$107,0),1)</f>
        <v>28911</v>
      </c>
      <c r="AE149" s="64">
        <f>INDEX(角色属性!AP$8:AP$107,MATCH($D149,角色属性!$I$8:$I$107,0),1)</f>
        <v>23128.799999999999</v>
      </c>
      <c r="AF149" s="64">
        <f>INDEX(角色属性!AQ$8:AQ$107,MATCH($D149,角色属性!$I$8:$I$107,0),1)</f>
        <v>23128.799999999999</v>
      </c>
      <c r="AG149" s="64">
        <f>$P149/10/(1+VLOOKUP(I149,技能效果!$B$2:$D$101,3,FALSE))*怪物属性规划!A$18*INDEX(怪物属性等级系数!$A$2:$A$101,MATCH(D149,怪物属性等级系数!$D$2:$D$101,0),1)*R149+W149</f>
        <v>181024.61674462893</v>
      </c>
      <c r="AH149" s="64">
        <f>$P149/10/(1+VLOOKUP($I149,技能效果!$B$2:$D$101,3,FALSE))*怪物属性规划!B$18*S149+X149</f>
        <v>11051.057401812686</v>
      </c>
      <c r="AI149" s="64">
        <f>$P149/10/(1+VLOOKUP($I149,技能效果!$B$2:$D$101,3,FALSE))*怪物属性规划!C$18*T149+Y149</f>
        <v>11051.057401812686</v>
      </c>
      <c r="AJ149" s="64">
        <f>$P149/10/(1+VLOOKUP($I149,技能效果!$B$2:$D$101,3,FALSE))*怪物属性规划!D$18*U149+Z149</f>
        <v>8840.845921450149</v>
      </c>
      <c r="AK149" s="64">
        <f>$P149/10/(1+VLOOKUP($I149,技能效果!$B$2:$D$101,3,FALSE))*怪物属性规划!E$18*V149+AA149</f>
        <v>8840.845921450149</v>
      </c>
      <c r="AL149" s="67">
        <f>INDEX(角色属性!BB$8:BB$107,MATCH($D149,角色属性!$I$8:$I$107,0),1)</f>
        <v>1.8100000000000007</v>
      </c>
      <c r="AM149" s="64">
        <f>INDEX(角色属性!BC$8:BC$107,MATCH($D149,角色属性!$I$8:$I$107,0),1)</f>
        <v>29900</v>
      </c>
      <c r="AN149" s="64">
        <f>INDEX(角色属性!BD$8:BD$107,MATCH($D149,角色属性!$I$8:$I$107,0),1)</f>
        <v>2997</v>
      </c>
      <c r="AO149" s="69">
        <f t="shared" si="37"/>
        <v>0.46281030884626623</v>
      </c>
      <c r="AP149" s="69">
        <f t="shared" si="38"/>
        <v>0.95742208762920655</v>
      </c>
      <c r="AQ149" s="64">
        <f>AL149*角色属性!$BA$1*(AC149*(1-AO149)+MAX(AF149-AJ149,0))</f>
        <v>164164.59776959664</v>
      </c>
      <c r="AR149" s="64">
        <f>角色属性!$BA$1*(AH149*(1-AP149)+MAX(AK149-AE149,0))</f>
        <v>941.06190731797778</v>
      </c>
      <c r="AS149" s="73">
        <f t="shared" si="39"/>
        <v>0.61261217638373988</v>
      </c>
      <c r="AT149" s="73">
        <f t="shared" si="40"/>
        <v>0.40840811758915996</v>
      </c>
      <c r="AU149" s="73">
        <f t="shared" si="41"/>
        <v>0.30630608819186994</v>
      </c>
      <c r="AV149" s="73">
        <f t="shared" si="42"/>
        <v>614.43354098554937</v>
      </c>
      <c r="AW149" s="73">
        <f t="shared" si="43"/>
        <v>409.62236065703291</v>
      </c>
      <c r="AX149" s="2" t="str">
        <f t="shared" si="44"/>
        <v>r_guanqia_147</v>
      </c>
      <c r="AY149" s="2">
        <f>ROUND(($P149*R149/10/$H149/(1+VLOOKUP($I149,技能效果!$B$2:$D$101,3,FALSE))-1)*10000,0)</f>
        <v>252</v>
      </c>
      <c r="AZ149" s="2">
        <f>ROUND(($P149*S149/10/$H149/(1+VLOOKUP($I149,技能效果!$B$2:$D$101,3,FALSE))-1)*10000,0)</f>
        <v>252</v>
      </c>
      <c r="BA149" s="2">
        <f>ROUND(($P149*T149/10/$H149/(1+VLOOKUP($I149,技能效果!$B$2:$D$101,3,FALSE))-1)*10000,0)</f>
        <v>252</v>
      </c>
      <c r="BB149" s="2">
        <f>ROUND(($P149*U149/10/$H149/(1+VLOOKUP($I149,技能效果!$B$2:$D$101,3,FALSE))-1)*10000,0)</f>
        <v>252</v>
      </c>
      <c r="BC149" s="2">
        <f>ROUND(($P149*V149/10/$H149/(1+VLOOKUP($I149,技能效果!$B$2:$D$101,3,FALSE))-1)*10000,0)</f>
        <v>252</v>
      </c>
    </row>
    <row r="150" spans="2:55" x14ac:dyDescent="0.15">
      <c r="B150" s="83"/>
      <c r="C150" s="2">
        <v>148</v>
      </c>
      <c r="D150" s="2">
        <f t="shared" si="33"/>
        <v>83</v>
      </c>
      <c r="E150" s="2">
        <v>2</v>
      </c>
      <c r="F150" s="28">
        <f>INDEX([3]宠物属性!$AL$8:$AL$107,MATCH(D150,[3]宠物属性!$I$8:$I$107,0),1)</f>
        <v>323809.89943039627</v>
      </c>
      <c r="G150" s="68">
        <f>F150/INDEX(角色属性!$AI$8:$AI$107,MATCH(D150,角色属性!$I$8:$I$107,0),1)*E150</f>
        <v>1.6819532013187408</v>
      </c>
      <c r="H150" s="2">
        <f>INDEX(角色属性!$AL$8:$AL$107,MATCH(D150,角色属性!$I$8:$I$107,0),1)</f>
        <v>11146</v>
      </c>
      <c r="I150" s="2">
        <f>INDEX(角色属性!$Y$8:$Y$107,MATCH(D150,角色属性!$I$8:$I$107,0),1)</f>
        <v>83</v>
      </c>
      <c r="J150" s="28">
        <f>H150*10*(1+VLOOKUP(I150,技能效果!$B$2:$D$101,3,FALSE))</f>
        <v>148018.88000000003</v>
      </c>
      <c r="K150" s="28">
        <f>H150*10*(1+VLOOKUP(I150,技能效果!$B$2:$D$101,3,FALSE))*(1+G150)</f>
        <v>396979.7090716146</v>
      </c>
      <c r="L150" s="2">
        <f t="shared" si="34"/>
        <v>150</v>
      </c>
      <c r="M150" s="28">
        <f t="shared" si="35"/>
        <v>159037.44000000003</v>
      </c>
      <c r="N150" s="28">
        <f t="shared" si="36"/>
        <v>401357.6587789043</v>
      </c>
      <c r="O150" s="62">
        <f t="shared" si="46"/>
        <v>382135</v>
      </c>
      <c r="P150" s="62">
        <f t="shared" si="47"/>
        <v>148436</v>
      </c>
      <c r="Q150" s="64">
        <f t="shared" si="45"/>
        <v>3844</v>
      </c>
      <c r="R150" s="67">
        <v>1</v>
      </c>
      <c r="S150" s="67">
        <v>1</v>
      </c>
      <c r="T150" s="67">
        <v>1</v>
      </c>
      <c r="U150" s="67">
        <v>1</v>
      </c>
      <c r="V150" s="67">
        <v>1</v>
      </c>
      <c r="W150" s="28">
        <v>0</v>
      </c>
      <c r="X150" s="28">
        <v>0</v>
      </c>
      <c r="Y150" s="28">
        <v>0</v>
      </c>
      <c r="Z150" s="28">
        <v>0</v>
      </c>
      <c r="AA150" s="28">
        <v>0</v>
      </c>
      <c r="AB150" s="64">
        <f>INDEX(角色属性!AM$8:AM$107,MATCH($D150,角色属性!$I$8:$I$107,0),1)</f>
        <v>579880</v>
      </c>
      <c r="AC150" s="64">
        <f>INDEX(角色属性!AN$8:AN$107,MATCH($D150,角色属性!$I$8:$I$107,0),1)</f>
        <v>57988</v>
      </c>
      <c r="AD150" s="64">
        <f>INDEX(角色属性!AO$8:AO$107,MATCH($D150,角色属性!$I$8:$I$107,0),1)</f>
        <v>28994</v>
      </c>
      <c r="AE150" s="64">
        <f>INDEX(角色属性!AP$8:AP$107,MATCH($D150,角色属性!$I$8:$I$107,0),1)</f>
        <v>23195.200000000001</v>
      </c>
      <c r="AF150" s="64">
        <f>INDEX(角色属性!AQ$8:AQ$107,MATCH($D150,角色属性!$I$8:$I$107,0),1)</f>
        <v>23195.200000000001</v>
      </c>
      <c r="AG150" s="64">
        <f>$P150/10/(1+VLOOKUP(I150,技能效果!$B$2:$D$101,3,FALSE))*怪物属性规划!A$18*INDEX(怪物属性等级系数!$A$2:$A$101,MATCH(D150,怪物属性等级系数!$D$2:$D$101,0),1)*R150+W150</f>
        <v>185124.81510969816</v>
      </c>
      <c r="AH150" s="64">
        <f>$P150/10/(1+VLOOKUP($I150,技能效果!$B$2:$D$101,3,FALSE))*怪物属性规划!B$18*S150+X150</f>
        <v>11177.409638554214</v>
      </c>
      <c r="AI150" s="64">
        <f>$P150/10/(1+VLOOKUP($I150,技能效果!$B$2:$D$101,3,FALSE))*怪物属性规划!C$18*T150+Y150</f>
        <v>11177.409638554214</v>
      </c>
      <c r="AJ150" s="64">
        <f>$P150/10/(1+VLOOKUP($I150,技能效果!$B$2:$D$101,3,FALSE))*怪物属性规划!D$18*U150+Z150</f>
        <v>8941.9277108433726</v>
      </c>
      <c r="AK150" s="64">
        <f>$P150/10/(1+VLOOKUP($I150,技能效果!$B$2:$D$101,3,FALSE))*怪物属性规划!E$18*V150+AA150</f>
        <v>8941.9277108433726</v>
      </c>
      <c r="AL150" s="67">
        <f>INDEX(角色属性!BB$8:BB$107,MATCH($D150,角色属性!$I$8:$I$107,0),1)</f>
        <v>1.8200000000000007</v>
      </c>
      <c r="AM150" s="64">
        <f>INDEX(角色属性!BC$8:BC$107,MATCH($D150,角色属性!$I$8:$I$107,0),1)</f>
        <v>31294</v>
      </c>
      <c r="AN150" s="64">
        <f>INDEX(角色属性!BD$8:BD$107,MATCH($D150,角色属性!$I$8:$I$107,0),1)</f>
        <v>2999</v>
      </c>
      <c r="AO150" s="69">
        <f t="shared" si="37"/>
        <v>0.45431941661485842</v>
      </c>
      <c r="AP150" s="69">
        <f t="shared" si="38"/>
        <v>0.95751166647418906</v>
      </c>
      <c r="AQ150" s="64">
        <f>AL150*角色属性!$BA$1*(AC150*(1-AO150)+MAX(AF150-AJ150,0))</f>
        <v>167062.160568919</v>
      </c>
      <c r="AR150" s="64">
        <f>角色属性!$BA$1*(AH150*(1-AP150)+MAX(AK150-AE150,0))</f>
        <v>949.81901735501071</v>
      </c>
      <c r="AS150" s="73">
        <f t="shared" si="39"/>
        <v>0.61562186886096093</v>
      </c>
      <c r="AT150" s="73">
        <f t="shared" si="40"/>
        <v>0.41041457924064062</v>
      </c>
      <c r="AU150" s="73">
        <f t="shared" si="41"/>
        <v>0.30781093443048047</v>
      </c>
      <c r="AV150" s="73">
        <f t="shared" si="42"/>
        <v>610.51630826976816</v>
      </c>
      <c r="AW150" s="73">
        <f t="shared" si="43"/>
        <v>407.01087217984542</v>
      </c>
      <c r="AX150" s="2" t="str">
        <f t="shared" si="44"/>
        <v>r_guanqia_148</v>
      </c>
      <c r="AY150" s="2">
        <f>ROUND(($P150*R150/10/$H150/(1+VLOOKUP($I150,技能效果!$B$2:$D$101,3,FALSE))-1)*10000,0)</f>
        <v>28</v>
      </c>
      <c r="AZ150" s="2">
        <f>ROUND(($P150*S150/10/$H150/(1+VLOOKUP($I150,技能效果!$B$2:$D$101,3,FALSE))-1)*10000,0)</f>
        <v>28</v>
      </c>
      <c r="BA150" s="2">
        <f>ROUND(($P150*T150/10/$H150/(1+VLOOKUP($I150,技能效果!$B$2:$D$101,3,FALSE))-1)*10000,0)</f>
        <v>28</v>
      </c>
      <c r="BB150" s="2">
        <f>ROUND(($P150*U150/10/$H150/(1+VLOOKUP($I150,技能效果!$B$2:$D$101,3,FALSE))-1)*10000,0)</f>
        <v>28</v>
      </c>
      <c r="BC150" s="2">
        <f>ROUND(($P150*V150/10/$H150/(1+VLOOKUP($I150,技能效果!$B$2:$D$101,3,FALSE))-1)*10000,0)</f>
        <v>28</v>
      </c>
    </row>
    <row r="151" spans="2:55" x14ac:dyDescent="0.15">
      <c r="B151" s="83"/>
      <c r="C151" s="2">
        <v>149</v>
      </c>
      <c r="D151" s="2">
        <f t="shared" ref="D151:D202" si="48">D141+5</f>
        <v>83</v>
      </c>
      <c r="E151" s="2">
        <v>2</v>
      </c>
      <c r="F151" s="28">
        <f>INDEX([3]宠物属性!$AL$8:$AL$107,MATCH(D151,[3]宠物属性!$I$8:$I$107,0),1)</f>
        <v>323809.89943039627</v>
      </c>
      <c r="G151" s="68">
        <f>F151/INDEX(角色属性!$AI$8:$AI$107,MATCH(D151,角色属性!$I$8:$I$107,0),1)*E151</f>
        <v>1.6819532013187408</v>
      </c>
      <c r="H151" s="2">
        <f>INDEX(角色属性!$AL$8:$AL$107,MATCH(D151,角色属性!$I$8:$I$107,0),1)</f>
        <v>11146</v>
      </c>
      <c r="I151" s="2">
        <f>INDEX(角色属性!$Y$8:$Y$107,MATCH(D151,角色属性!$I$8:$I$107,0),1)</f>
        <v>83</v>
      </c>
      <c r="J151" s="28">
        <f>H151*10*(1+VLOOKUP(I151,技能效果!$B$2:$D$101,3,FALSE))</f>
        <v>148018.88000000003</v>
      </c>
      <c r="K151" s="28">
        <f>H151*10*(1+VLOOKUP(I151,技能效果!$B$2:$D$101,3,FALSE))*(1+G151)</f>
        <v>396979.7090716146</v>
      </c>
      <c r="L151" s="2">
        <f t="shared" si="34"/>
        <v>150</v>
      </c>
      <c r="M151" s="28">
        <f t="shared" si="35"/>
        <v>159037.44000000003</v>
      </c>
      <c r="N151" s="28">
        <f t="shared" si="36"/>
        <v>401357.6587789043</v>
      </c>
      <c r="O151" s="62">
        <f t="shared" si="46"/>
        <v>386941</v>
      </c>
      <c r="P151" s="62">
        <f t="shared" si="47"/>
        <v>151087</v>
      </c>
      <c r="Q151" s="64">
        <f t="shared" si="45"/>
        <v>4806</v>
      </c>
      <c r="R151" s="67">
        <v>1</v>
      </c>
      <c r="S151" s="67">
        <v>1</v>
      </c>
      <c r="T151" s="67">
        <v>1</v>
      </c>
      <c r="U151" s="67">
        <v>1</v>
      </c>
      <c r="V151" s="67">
        <v>1</v>
      </c>
      <c r="W151" s="28">
        <v>0</v>
      </c>
      <c r="X151" s="28">
        <v>0</v>
      </c>
      <c r="Y151" s="28">
        <v>0</v>
      </c>
      <c r="Z151" s="28">
        <v>0</v>
      </c>
      <c r="AA151" s="28">
        <v>0</v>
      </c>
      <c r="AB151" s="64">
        <f>INDEX(角色属性!AM$8:AM$107,MATCH($D151,角色属性!$I$8:$I$107,0),1)</f>
        <v>579880</v>
      </c>
      <c r="AC151" s="64">
        <f>INDEX(角色属性!AN$8:AN$107,MATCH($D151,角色属性!$I$8:$I$107,0),1)</f>
        <v>57988</v>
      </c>
      <c r="AD151" s="64">
        <f>INDEX(角色属性!AO$8:AO$107,MATCH($D151,角色属性!$I$8:$I$107,0),1)</f>
        <v>28994</v>
      </c>
      <c r="AE151" s="64">
        <f>INDEX(角色属性!AP$8:AP$107,MATCH($D151,角色属性!$I$8:$I$107,0),1)</f>
        <v>23195.200000000001</v>
      </c>
      <c r="AF151" s="64">
        <f>INDEX(角色属性!AQ$8:AQ$107,MATCH($D151,角色属性!$I$8:$I$107,0),1)</f>
        <v>23195.200000000001</v>
      </c>
      <c r="AG151" s="64">
        <f>$P151/10/(1+VLOOKUP(I151,技能效果!$B$2:$D$101,3,FALSE))*怪物属性规划!A$18*INDEX(怪物属性等级系数!$A$2:$A$101,MATCH(D151,怪物属性等级系数!$D$2:$D$101,0),1)*R151+W151</f>
        <v>188431.06079710423</v>
      </c>
      <c r="AH151" s="64">
        <f>$P151/10/(1+VLOOKUP($I151,技能效果!$B$2:$D$101,3,FALSE))*怪物属性规划!B$18*S151+X151</f>
        <v>11377.033132530118</v>
      </c>
      <c r="AI151" s="64">
        <f>$P151/10/(1+VLOOKUP($I151,技能效果!$B$2:$D$101,3,FALSE))*怪物属性规划!C$18*T151+Y151</f>
        <v>11377.033132530118</v>
      </c>
      <c r="AJ151" s="64">
        <f>$P151/10/(1+VLOOKUP($I151,技能效果!$B$2:$D$101,3,FALSE))*怪物属性规划!D$18*U151+Z151</f>
        <v>9101.6265060240949</v>
      </c>
      <c r="AK151" s="64">
        <f>$P151/10/(1+VLOOKUP($I151,技能效果!$B$2:$D$101,3,FALSE))*怪物属性规划!E$18*V151+AA151</f>
        <v>9101.6265060240949</v>
      </c>
      <c r="AL151" s="67">
        <f>INDEX(角色属性!BB$8:BB$107,MATCH($D151,角色属性!$I$8:$I$107,0),1)</f>
        <v>1.8200000000000007</v>
      </c>
      <c r="AM151" s="64">
        <f>INDEX(角色属性!BC$8:BC$107,MATCH($D151,角色属性!$I$8:$I$107,0),1)</f>
        <v>31294</v>
      </c>
      <c r="AN151" s="64">
        <f>INDEX(角色属性!BD$8:BD$107,MATCH($D151,角色属性!$I$8:$I$107,0),1)</f>
        <v>2999</v>
      </c>
      <c r="AO151" s="69">
        <f t="shared" si="37"/>
        <v>0.45871139975100722</v>
      </c>
      <c r="AP151" s="69">
        <f t="shared" si="38"/>
        <v>0.95751166647418906</v>
      </c>
      <c r="AQ151" s="64">
        <f>AL151*角色属性!$BA$1*(AC151*(1-AO151)+MAX(AF151-AJ151,0))</f>
        <v>165553.81331658084</v>
      </c>
      <c r="AR151" s="64">
        <f>角色属性!$BA$1*(AH151*(1-AP151)+MAX(AK151-AE151,0))</f>
        <v>966.78235653828256</v>
      </c>
      <c r="AS151" s="73">
        <f t="shared" si="39"/>
        <v>0.63232565030003696</v>
      </c>
      <c r="AT151" s="73">
        <f t="shared" si="40"/>
        <v>0.42155043353335797</v>
      </c>
      <c r="AU151" s="73">
        <f t="shared" si="41"/>
        <v>0.31616282515001848</v>
      </c>
      <c r="AV151" s="73">
        <f t="shared" si="42"/>
        <v>599.80407801022795</v>
      </c>
      <c r="AW151" s="73">
        <f t="shared" si="43"/>
        <v>399.86938534015189</v>
      </c>
      <c r="AX151" s="2" t="str">
        <f t="shared" si="44"/>
        <v>r_guanqia_149</v>
      </c>
      <c r="AY151" s="2">
        <f>ROUND(($P151*R151/10/$H151/(1+VLOOKUP($I151,技能效果!$B$2:$D$101,3,FALSE))-1)*10000,0)</f>
        <v>207</v>
      </c>
      <c r="AZ151" s="2">
        <f>ROUND(($P151*S151/10/$H151/(1+VLOOKUP($I151,技能效果!$B$2:$D$101,3,FALSE))-1)*10000,0)</f>
        <v>207</v>
      </c>
      <c r="BA151" s="2">
        <f>ROUND(($P151*T151/10/$H151/(1+VLOOKUP($I151,技能效果!$B$2:$D$101,3,FALSE))-1)*10000,0)</f>
        <v>207</v>
      </c>
      <c r="BB151" s="2">
        <f>ROUND(($P151*U151/10/$H151/(1+VLOOKUP($I151,技能效果!$B$2:$D$101,3,FALSE))-1)*10000,0)</f>
        <v>207</v>
      </c>
      <c r="BC151" s="2">
        <f>ROUND(($P151*V151/10/$H151/(1+VLOOKUP($I151,技能效果!$B$2:$D$101,3,FALSE))-1)*10000,0)</f>
        <v>207</v>
      </c>
    </row>
    <row r="152" spans="2:55" x14ac:dyDescent="0.15">
      <c r="B152" s="83"/>
      <c r="C152" s="2">
        <v>150</v>
      </c>
      <c r="D152" s="2">
        <f t="shared" si="48"/>
        <v>85</v>
      </c>
      <c r="E152" s="2">
        <v>2</v>
      </c>
      <c r="F152" s="28">
        <f>INDEX([3]宠物属性!$AL$8:$AL$107,MATCH(D152,[3]宠物属性!$I$8:$I$107,0),1)</f>
        <v>344060.5122480712</v>
      </c>
      <c r="G152" s="68">
        <f>F152/INDEX(角色属性!$AI$8:$AI$107,MATCH(D152,角色属性!$I$8:$I$107,0),1)*E152</f>
        <v>1.5236677525675979</v>
      </c>
      <c r="H152" s="2">
        <f>INDEX(角色属性!$AL$8:$AL$107,MATCH(D152,角色属性!$I$8:$I$107,0),1)</f>
        <v>11904</v>
      </c>
      <c r="I152" s="2">
        <f>INDEX(角色属性!$Y$8:$Y$107,MATCH(D152,角色属性!$I$8:$I$107,0),1)</f>
        <v>85</v>
      </c>
      <c r="J152" s="28">
        <f>H152*10*(1+VLOOKUP(I152,技能效果!$B$2:$D$101,3,FALSE))</f>
        <v>159037.44000000003</v>
      </c>
      <c r="K152" s="28">
        <f>H152*10*(1+VLOOKUP(I152,技能效果!$B$2:$D$101,3,FALSE))*(1+G152)</f>
        <v>401357.6587789043</v>
      </c>
      <c r="L152" s="2">
        <f t="shared" si="34"/>
        <v>150</v>
      </c>
      <c r="M152" s="28">
        <f t="shared" si="35"/>
        <v>159037.44000000003</v>
      </c>
      <c r="N152" s="28">
        <f t="shared" si="36"/>
        <v>401357.6587789043</v>
      </c>
      <c r="O152" s="62">
        <f t="shared" si="46"/>
        <v>401358</v>
      </c>
      <c r="P152" s="62">
        <f t="shared" si="47"/>
        <v>159037</v>
      </c>
      <c r="Q152" s="64">
        <f t="shared" si="45"/>
        <v>14417</v>
      </c>
      <c r="R152" s="67">
        <v>1</v>
      </c>
      <c r="S152" s="67">
        <v>1</v>
      </c>
      <c r="T152" s="67">
        <v>1</v>
      </c>
      <c r="U152" s="67">
        <v>1</v>
      </c>
      <c r="V152" s="67">
        <v>1</v>
      </c>
      <c r="W152" s="28">
        <v>0</v>
      </c>
      <c r="X152" s="28">
        <v>0</v>
      </c>
      <c r="Y152" s="28">
        <v>0</v>
      </c>
      <c r="Z152" s="28">
        <v>0</v>
      </c>
      <c r="AA152" s="28">
        <v>0</v>
      </c>
      <c r="AB152" s="64">
        <f>INDEX(角色属性!AM$8:AM$107,MATCH($D152,角色属性!$I$8:$I$107,0),1)</f>
        <v>676080</v>
      </c>
      <c r="AC152" s="64">
        <f>INDEX(角色属性!AN$8:AN$107,MATCH($D152,角色属性!$I$8:$I$107,0),1)</f>
        <v>67608</v>
      </c>
      <c r="AD152" s="64">
        <f>INDEX(角色属性!AO$8:AO$107,MATCH($D152,角色属性!$I$8:$I$107,0),1)</f>
        <v>33804</v>
      </c>
      <c r="AE152" s="64">
        <f>INDEX(角色属性!AP$8:AP$107,MATCH($D152,角色属性!$I$8:$I$107,0),1)</f>
        <v>27043.200000000001</v>
      </c>
      <c r="AF152" s="64">
        <f>INDEX(角色属性!AQ$8:AQ$107,MATCH($D152,角色属性!$I$8:$I$107,0),1)</f>
        <v>27043.200000000001</v>
      </c>
      <c r="AG152" s="64">
        <f>$P152/10/(1+VLOOKUP(I152,技能效果!$B$2:$D$101,3,FALSE))*怪物属性规划!A$18*INDEX(怪物属性等级系数!$A$2:$A$101,MATCH(D152,怪物属性等级系数!$D$2:$D$101,0),1)*R152+W152</f>
        <v>201510.40710030452</v>
      </c>
      <c r="AH152" s="64">
        <f>$P152/10/(1+VLOOKUP($I152,技能效果!$B$2:$D$101,3,FALSE))*怪物属性规划!B$18*S152+X152</f>
        <v>11903.967065868261</v>
      </c>
      <c r="AI152" s="64">
        <f>$P152/10/(1+VLOOKUP($I152,技能效果!$B$2:$D$101,3,FALSE))*怪物属性规划!C$18*T152+Y152</f>
        <v>11903.967065868261</v>
      </c>
      <c r="AJ152" s="64">
        <f>$P152/10/(1+VLOOKUP($I152,技能效果!$B$2:$D$101,3,FALSE))*怪物属性规划!D$18*U152+Z152</f>
        <v>9523.1736526946097</v>
      </c>
      <c r="AK152" s="64">
        <f>$P152/10/(1+VLOOKUP($I152,技能效果!$B$2:$D$101,3,FALSE))*怪物属性规划!E$18*V152+AA152</f>
        <v>9523.1736526946097</v>
      </c>
      <c r="AL152" s="67">
        <f>INDEX(角色属性!BB$8:BB$107,MATCH($D152,角色属性!$I$8:$I$107,0),1)</f>
        <v>1.8400000000000007</v>
      </c>
      <c r="AM152" s="64">
        <f>INDEX(角色属性!BC$8:BC$107,MATCH($D152,角色属性!$I$8:$I$107,0),1)</f>
        <v>34243</v>
      </c>
      <c r="AN152" s="64">
        <f>INDEX(角色属性!BD$8:BD$107,MATCH($D152,角色属性!$I$8:$I$107,0),1)</f>
        <v>3103</v>
      </c>
      <c r="AO152" s="69">
        <f t="shared" si="37"/>
        <v>0.44761492241826151</v>
      </c>
      <c r="AP152" s="69">
        <f t="shared" si="38"/>
        <v>0.96211242592788826</v>
      </c>
      <c r="AQ152" s="64">
        <f>AL152*角色属性!$BA$1*(AC152*(1-AO152)+MAX(AF152-AJ152,0))</f>
        <v>201905.69015462184</v>
      </c>
      <c r="AR152" s="64">
        <f>角色属性!$BA$1*(AH152*(1-AP152)+MAX(AK152-AE152,0))</f>
        <v>902.02486792012473</v>
      </c>
      <c r="AS152" s="73">
        <f t="shared" si="39"/>
        <v>0.55446791064235479</v>
      </c>
      <c r="AT152" s="73">
        <f t="shared" si="40"/>
        <v>0.36964527376156991</v>
      </c>
      <c r="AU152" s="73">
        <f t="shared" si="41"/>
        <v>0.27723395532117739</v>
      </c>
      <c r="AV152" s="73">
        <f t="shared" si="42"/>
        <v>749.51370416083432</v>
      </c>
      <c r="AW152" s="73">
        <f t="shared" si="43"/>
        <v>499.67580277388959</v>
      </c>
      <c r="AX152" s="2" t="str">
        <f t="shared" si="44"/>
        <v>r_guanqia_150</v>
      </c>
      <c r="AY152" s="2">
        <f>ROUND(($P152*R152/10/$H152/(1+VLOOKUP($I152,技能效果!$B$2:$D$101,3,FALSE))-1)*10000,0)</f>
        <v>0</v>
      </c>
      <c r="AZ152" s="2">
        <f>ROUND(($P152*S152/10/$H152/(1+VLOOKUP($I152,技能效果!$B$2:$D$101,3,FALSE))-1)*10000,0)</f>
        <v>0</v>
      </c>
      <c r="BA152" s="2">
        <f>ROUND(($P152*T152/10/$H152/(1+VLOOKUP($I152,技能效果!$B$2:$D$101,3,FALSE))-1)*10000,0)</f>
        <v>0</v>
      </c>
      <c r="BB152" s="2">
        <f>ROUND(($P152*U152/10/$H152/(1+VLOOKUP($I152,技能效果!$B$2:$D$101,3,FALSE))-1)*10000,0)</f>
        <v>0</v>
      </c>
      <c r="BC152" s="2">
        <f>ROUND(($P152*V152/10/$H152/(1+VLOOKUP($I152,技能效果!$B$2:$D$101,3,FALSE))-1)*10000,0)</f>
        <v>0</v>
      </c>
    </row>
    <row r="153" spans="2:55" x14ac:dyDescent="0.15">
      <c r="B153" s="83" t="s">
        <v>127</v>
      </c>
      <c r="C153" s="2">
        <v>151</v>
      </c>
      <c r="D153" s="2">
        <f t="shared" si="48"/>
        <v>85</v>
      </c>
      <c r="E153" s="2">
        <v>2</v>
      </c>
      <c r="F153" s="28">
        <f>INDEX([3]宠物属性!$AL$8:$AL$107,MATCH(D153,[3]宠物属性!$I$8:$I$107,0),1)</f>
        <v>344060.5122480712</v>
      </c>
      <c r="G153" s="68">
        <f>F153/INDEX(角色属性!$AI$8:$AI$107,MATCH(D153,角色属性!$I$8:$I$107,0),1)*E153</f>
        <v>1.5236677525675979</v>
      </c>
      <c r="H153" s="2">
        <f>INDEX(角色属性!$AL$8:$AL$107,MATCH(D153,角色属性!$I$8:$I$107,0),1)</f>
        <v>11904</v>
      </c>
      <c r="I153" s="2">
        <f>INDEX(角色属性!$Y$8:$Y$107,MATCH(D153,角色属性!$I$8:$I$107,0),1)</f>
        <v>85</v>
      </c>
      <c r="J153" s="28">
        <f>H153*10*(1+VLOOKUP(I153,技能效果!$B$2:$D$101,3,FALSE))</f>
        <v>159037.44000000003</v>
      </c>
      <c r="K153" s="28">
        <f>H153*10*(1+VLOOKUP(I153,技能效果!$B$2:$D$101,3,FALSE))*(1+G153)</f>
        <v>401357.6587789043</v>
      </c>
      <c r="L153" s="2">
        <f t="shared" si="34"/>
        <v>160</v>
      </c>
      <c r="M153" s="28">
        <f t="shared" si="35"/>
        <v>189189.12000000005</v>
      </c>
      <c r="N153" s="28">
        <f t="shared" si="36"/>
        <v>487295.95232648752</v>
      </c>
      <c r="O153" s="62">
        <f t="shared" si="46"/>
        <v>403936</v>
      </c>
      <c r="P153" s="62">
        <f t="shared" si="47"/>
        <v>159942</v>
      </c>
      <c r="Q153" s="64">
        <f t="shared" si="45"/>
        <v>2578</v>
      </c>
      <c r="R153" s="67">
        <v>1</v>
      </c>
      <c r="S153" s="67">
        <v>1</v>
      </c>
      <c r="T153" s="67">
        <v>1</v>
      </c>
      <c r="U153" s="67">
        <v>1</v>
      </c>
      <c r="V153" s="67">
        <v>1</v>
      </c>
      <c r="W153" s="28">
        <v>0</v>
      </c>
      <c r="X153" s="28">
        <v>0</v>
      </c>
      <c r="Y153" s="28">
        <v>0</v>
      </c>
      <c r="Z153" s="28">
        <v>0</v>
      </c>
      <c r="AA153" s="28">
        <v>0</v>
      </c>
      <c r="AB153" s="64">
        <f>INDEX(角色属性!AM$8:AM$107,MATCH($D153,角色属性!$I$8:$I$107,0),1)</f>
        <v>676080</v>
      </c>
      <c r="AC153" s="64">
        <f>INDEX(角色属性!AN$8:AN$107,MATCH($D153,角色属性!$I$8:$I$107,0),1)</f>
        <v>67608</v>
      </c>
      <c r="AD153" s="64">
        <f>INDEX(角色属性!AO$8:AO$107,MATCH($D153,角色属性!$I$8:$I$107,0),1)</f>
        <v>33804</v>
      </c>
      <c r="AE153" s="64">
        <f>INDEX(角色属性!AP$8:AP$107,MATCH($D153,角色属性!$I$8:$I$107,0),1)</f>
        <v>27043.200000000001</v>
      </c>
      <c r="AF153" s="64">
        <f>INDEX(角色属性!AQ$8:AQ$107,MATCH($D153,角色属性!$I$8:$I$107,0),1)</f>
        <v>27043.200000000001</v>
      </c>
      <c r="AG153" s="64">
        <f>$P153/10/(1+VLOOKUP(I153,技能效果!$B$2:$D$101,3,FALSE))*怪物属性规划!A$18*INDEX(怪物属性等级系数!$A$2:$A$101,MATCH(D153,怪物属性等级系数!$D$2:$D$101,0),1)*R153+W153</f>
        <v>202657.10201045612</v>
      </c>
      <c r="AH153" s="64">
        <f>$P153/10/(1+VLOOKUP($I153,技能效果!$B$2:$D$101,3,FALSE))*怪物属性规划!B$18*S153+X153</f>
        <v>11971.706586826345</v>
      </c>
      <c r="AI153" s="64">
        <f>$P153/10/(1+VLOOKUP($I153,技能效果!$B$2:$D$101,3,FALSE))*怪物属性规划!C$18*T153+Y153</f>
        <v>11971.706586826345</v>
      </c>
      <c r="AJ153" s="64">
        <f>$P153/10/(1+VLOOKUP($I153,技能效果!$B$2:$D$101,3,FALSE))*怪物属性规划!D$18*U153+Z153</f>
        <v>9577.3652694610773</v>
      </c>
      <c r="AK153" s="64">
        <f>$P153/10/(1+VLOOKUP($I153,技能效果!$B$2:$D$101,3,FALSE))*怪物属性规划!E$18*V153+AA153</f>
        <v>9577.3652694610773</v>
      </c>
      <c r="AL153" s="67">
        <f>INDEX(角色属性!BB$8:BB$107,MATCH($D153,角色属性!$I$8:$I$107,0),1)</f>
        <v>1.8400000000000007</v>
      </c>
      <c r="AM153" s="64">
        <f>INDEX(角色属性!BC$8:BC$107,MATCH($D153,角色属性!$I$8:$I$107,0),1)</f>
        <v>34243</v>
      </c>
      <c r="AN153" s="64">
        <f>INDEX(角色属性!BD$8:BD$107,MATCH($D153,角色属性!$I$8:$I$107,0),1)</f>
        <v>3103</v>
      </c>
      <c r="AO153" s="69">
        <f t="shared" si="37"/>
        <v>0.44901835673217727</v>
      </c>
      <c r="AP153" s="69">
        <f t="shared" si="38"/>
        <v>0.96211242592788826</v>
      </c>
      <c r="AQ153" s="64">
        <f>AL153*角色属性!$BA$1*(AC153*(1-AO153)+MAX(AF153-AJ153,0))</f>
        <v>201357.09414041086</v>
      </c>
      <c r="AR153" s="64">
        <f>角色属性!$BA$1*(AH153*(1-AP153)+MAX(AK153-AE153,0))</f>
        <v>907.15784015594238</v>
      </c>
      <c r="AS153" s="73">
        <f t="shared" si="39"/>
        <v>0.55914235043632576</v>
      </c>
      <c r="AT153" s="73">
        <f t="shared" si="40"/>
        <v>0.37276156695755047</v>
      </c>
      <c r="AU153" s="73">
        <f t="shared" si="41"/>
        <v>0.27957117521816288</v>
      </c>
      <c r="AV153" s="73">
        <f t="shared" si="42"/>
        <v>745.27272991851169</v>
      </c>
      <c r="AW153" s="73">
        <f t="shared" si="43"/>
        <v>496.84848661234105</v>
      </c>
      <c r="AX153" s="2" t="str">
        <f t="shared" si="44"/>
        <v>r_guanqia_151</v>
      </c>
      <c r="AY153" s="2">
        <f>ROUND(($P153*R153/10/$H153/(1+VLOOKUP($I153,技能效果!$B$2:$D$101,3,FALSE))-1)*10000,0)</f>
        <v>57</v>
      </c>
      <c r="AZ153" s="2">
        <f>ROUND(($P153*S153/10/$H153/(1+VLOOKUP($I153,技能效果!$B$2:$D$101,3,FALSE))-1)*10000,0)</f>
        <v>57</v>
      </c>
      <c r="BA153" s="2">
        <f>ROUND(($P153*T153/10/$H153/(1+VLOOKUP($I153,技能效果!$B$2:$D$101,3,FALSE))-1)*10000,0)</f>
        <v>57</v>
      </c>
      <c r="BB153" s="2">
        <f>ROUND(($P153*U153/10/$H153/(1+VLOOKUP($I153,技能效果!$B$2:$D$101,3,FALSE))-1)*10000,0)</f>
        <v>57</v>
      </c>
      <c r="BC153" s="2">
        <f>ROUND(($P153*V153/10/$H153/(1+VLOOKUP($I153,技能效果!$B$2:$D$101,3,FALSE))-1)*10000,0)</f>
        <v>57</v>
      </c>
    </row>
    <row r="154" spans="2:55" x14ac:dyDescent="0.15">
      <c r="B154" s="83"/>
      <c r="C154" s="2">
        <v>152</v>
      </c>
      <c r="D154" s="2">
        <f t="shared" si="48"/>
        <v>85</v>
      </c>
      <c r="E154" s="2">
        <v>2</v>
      </c>
      <c r="F154" s="28">
        <f>INDEX([3]宠物属性!$AL$8:$AL$107,MATCH(D154,[3]宠物属性!$I$8:$I$107,0),1)</f>
        <v>344060.5122480712</v>
      </c>
      <c r="G154" s="68">
        <f>F154/INDEX(角色属性!$AI$8:$AI$107,MATCH(D154,角色属性!$I$8:$I$107,0),1)*E154</f>
        <v>1.5236677525675979</v>
      </c>
      <c r="H154" s="2">
        <f>INDEX(角色属性!$AL$8:$AL$107,MATCH(D154,角色属性!$I$8:$I$107,0),1)</f>
        <v>11904</v>
      </c>
      <c r="I154" s="2">
        <f>INDEX(角色属性!$Y$8:$Y$107,MATCH(D154,角色属性!$I$8:$I$107,0),1)</f>
        <v>85</v>
      </c>
      <c r="J154" s="28">
        <f>H154*10*(1+VLOOKUP(I154,技能效果!$B$2:$D$101,3,FALSE))</f>
        <v>159037.44000000003</v>
      </c>
      <c r="K154" s="28">
        <f>H154*10*(1+VLOOKUP(I154,技能效果!$B$2:$D$101,3,FALSE))*(1+G154)</f>
        <v>401357.6587789043</v>
      </c>
      <c r="L154" s="2">
        <f t="shared" si="34"/>
        <v>160</v>
      </c>
      <c r="M154" s="28">
        <f t="shared" si="35"/>
        <v>189189.12000000005</v>
      </c>
      <c r="N154" s="28">
        <f t="shared" si="36"/>
        <v>487295.95232648752</v>
      </c>
      <c r="O154" s="62">
        <f t="shared" si="46"/>
        <v>408233</v>
      </c>
      <c r="P154" s="62">
        <f t="shared" si="47"/>
        <v>161450</v>
      </c>
      <c r="Q154" s="64">
        <f t="shared" si="45"/>
        <v>4297</v>
      </c>
      <c r="R154" s="67">
        <v>1</v>
      </c>
      <c r="S154" s="67">
        <v>1</v>
      </c>
      <c r="T154" s="67">
        <v>1</v>
      </c>
      <c r="U154" s="67">
        <v>1</v>
      </c>
      <c r="V154" s="67">
        <v>1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64">
        <f>INDEX(角色属性!AM$8:AM$107,MATCH($D154,角色属性!$I$8:$I$107,0),1)</f>
        <v>676080</v>
      </c>
      <c r="AC154" s="64">
        <f>INDEX(角色属性!AN$8:AN$107,MATCH($D154,角色属性!$I$8:$I$107,0),1)</f>
        <v>67608</v>
      </c>
      <c r="AD154" s="64">
        <f>INDEX(角色属性!AO$8:AO$107,MATCH($D154,角色属性!$I$8:$I$107,0),1)</f>
        <v>33804</v>
      </c>
      <c r="AE154" s="64">
        <f>INDEX(角色属性!AP$8:AP$107,MATCH($D154,角色属性!$I$8:$I$107,0),1)</f>
        <v>27043.200000000001</v>
      </c>
      <c r="AF154" s="64">
        <f>INDEX(角色属性!AQ$8:AQ$107,MATCH($D154,角色属性!$I$8:$I$107,0),1)</f>
        <v>27043.200000000001</v>
      </c>
      <c r="AG154" s="64">
        <f>$P154/10/(1+VLOOKUP(I154,技能效果!$B$2:$D$101,3,FALSE))*怪物属性规划!A$18*INDEX(怪物属性等级系数!$A$2:$A$101,MATCH(D154,怪物属性等级系数!$D$2:$D$101,0),1)*R154+W154</f>
        <v>204567.83783864239</v>
      </c>
      <c r="AH154" s="64">
        <f>$P154/10/(1+VLOOKUP($I154,技能效果!$B$2:$D$101,3,FALSE))*怪物属性规划!B$18*S154+X154</f>
        <v>12084.580838323351</v>
      </c>
      <c r="AI154" s="64">
        <f>$P154/10/(1+VLOOKUP($I154,技能效果!$B$2:$D$101,3,FALSE))*怪物属性规划!C$18*T154+Y154</f>
        <v>12084.580838323351</v>
      </c>
      <c r="AJ154" s="64">
        <f>$P154/10/(1+VLOOKUP($I154,技能效果!$B$2:$D$101,3,FALSE))*怪物属性规划!D$18*U154+Z154</f>
        <v>9667.6646706586816</v>
      </c>
      <c r="AK154" s="64">
        <f>$P154/10/(1+VLOOKUP($I154,技能效果!$B$2:$D$101,3,FALSE))*怪物属性规划!E$18*V154+AA154</f>
        <v>9667.6646706586816</v>
      </c>
      <c r="AL154" s="67">
        <f>INDEX(角色属性!BB$8:BB$107,MATCH($D154,角色属性!$I$8:$I$107,0),1)</f>
        <v>1.8400000000000007</v>
      </c>
      <c r="AM154" s="64">
        <f>INDEX(角色属性!BC$8:BC$107,MATCH($D154,角色属性!$I$8:$I$107,0),1)</f>
        <v>34243</v>
      </c>
      <c r="AN154" s="64">
        <f>INDEX(角色属性!BD$8:BD$107,MATCH($D154,角色属性!$I$8:$I$107,0),1)</f>
        <v>3103</v>
      </c>
      <c r="AO154" s="69">
        <f t="shared" si="37"/>
        <v>0.45134112201559884</v>
      </c>
      <c r="AP154" s="69">
        <f t="shared" si="38"/>
        <v>0.96211242592788826</v>
      </c>
      <c r="AQ154" s="64">
        <f>AL154*角色属性!$BA$1*(AC154*(1-AO154)+MAX(AF154-AJ154,0))</f>
        <v>200446.8942877675</v>
      </c>
      <c r="AR154" s="64">
        <f>角色属性!$BA$1*(AH154*(1-AP154)+MAX(AK154-AE154,0))</f>
        <v>915.71090328479625</v>
      </c>
      <c r="AS154" s="73">
        <f t="shared" si="39"/>
        <v>0.56697709986011646</v>
      </c>
      <c r="AT154" s="73">
        <f t="shared" si="40"/>
        <v>0.37798473324007764</v>
      </c>
      <c r="AU154" s="73">
        <f t="shared" si="41"/>
        <v>0.28348854993005823</v>
      </c>
      <c r="AV154" s="73">
        <f t="shared" si="42"/>
        <v>738.31161950217779</v>
      </c>
      <c r="AW154" s="73">
        <f t="shared" si="43"/>
        <v>492.20774633478516</v>
      </c>
      <c r="AX154" s="2" t="str">
        <f t="shared" si="44"/>
        <v>r_guanqia_152</v>
      </c>
      <c r="AY154" s="2">
        <f>ROUND(($P154*R154/10/$H154/(1+VLOOKUP($I154,技能效果!$B$2:$D$101,3,FALSE))-1)*10000,0)</f>
        <v>152</v>
      </c>
      <c r="AZ154" s="2">
        <f>ROUND(($P154*S154/10/$H154/(1+VLOOKUP($I154,技能效果!$B$2:$D$101,3,FALSE))-1)*10000,0)</f>
        <v>152</v>
      </c>
      <c r="BA154" s="2">
        <f>ROUND(($P154*T154/10/$H154/(1+VLOOKUP($I154,技能效果!$B$2:$D$101,3,FALSE))-1)*10000,0)</f>
        <v>152</v>
      </c>
      <c r="BB154" s="2">
        <f>ROUND(($P154*U154/10/$H154/(1+VLOOKUP($I154,技能效果!$B$2:$D$101,3,FALSE))-1)*10000,0)</f>
        <v>152</v>
      </c>
      <c r="BC154" s="2">
        <f>ROUND(($P154*V154/10/$H154/(1+VLOOKUP($I154,技能效果!$B$2:$D$101,3,FALSE))-1)*10000,0)</f>
        <v>152</v>
      </c>
    </row>
    <row r="155" spans="2:55" x14ac:dyDescent="0.15">
      <c r="B155" s="83"/>
      <c r="C155" s="2">
        <v>153</v>
      </c>
      <c r="D155" s="2">
        <f t="shared" si="48"/>
        <v>86</v>
      </c>
      <c r="E155" s="2">
        <v>2</v>
      </c>
      <c r="F155" s="28">
        <f>INDEX([3]宠物属性!$AL$8:$AL$107,MATCH(D155,[3]宠物属性!$I$8:$I$107,0),1)</f>
        <v>347136.10174681508</v>
      </c>
      <c r="G155" s="68">
        <f>F155/INDEX(角色属性!$AI$8:$AI$107,MATCH(D155,角色属性!$I$8:$I$107,0),1)*E155</f>
        <v>1.5288096332155172</v>
      </c>
      <c r="H155" s="2">
        <f>INDEX(角色属性!$AL$8:$AL$107,MATCH(D155,角色属性!$I$8:$I$107,0),1)</f>
        <v>12296</v>
      </c>
      <c r="I155" s="2">
        <f>INDEX(角色属性!$Y$8:$Y$107,MATCH(D155,角色属性!$I$8:$I$107,0),1)</f>
        <v>86</v>
      </c>
      <c r="J155" s="28">
        <f>H155*10*(1+VLOOKUP(I155,技能效果!$B$2:$D$101,3,FALSE))</f>
        <v>164766.40000000002</v>
      </c>
      <c r="K155" s="28">
        <f>H155*10*(1+VLOOKUP(I155,技能效果!$B$2:$D$101,3,FALSE))*(1+G155)</f>
        <v>416662.85955024126</v>
      </c>
      <c r="L155" s="2">
        <f t="shared" si="34"/>
        <v>160</v>
      </c>
      <c r="M155" s="28">
        <f t="shared" si="35"/>
        <v>189189.12000000005</v>
      </c>
      <c r="N155" s="28">
        <f t="shared" si="36"/>
        <v>487295.95232648752</v>
      </c>
      <c r="O155" s="62">
        <f t="shared" si="46"/>
        <v>414248</v>
      </c>
      <c r="P155" s="62">
        <f t="shared" si="47"/>
        <v>163560</v>
      </c>
      <c r="Q155" s="64">
        <f t="shared" si="45"/>
        <v>6015</v>
      </c>
      <c r="R155" s="67">
        <v>1</v>
      </c>
      <c r="S155" s="67">
        <v>1</v>
      </c>
      <c r="T155" s="67">
        <v>1</v>
      </c>
      <c r="U155" s="67">
        <v>1</v>
      </c>
      <c r="V155" s="67">
        <v>1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64">
        <f>INDEX(角色属性!AM$8:AM$107,MATCH($D155,角色属性!$I$8:$I$107,0),1)</f>
        <v>677800</v>
      </c>
      <c r="AC155" s="64">
        <f>INDEX(角色属性!AN$8:AN$107,MATCH($D155,角色属性!$I$8:$I$107,0),1)</f>
        <v>67780</v>
      </c>
      <c r="AD155" s="64">
        <f>INDEX(角色属性!AO$8:AO$107,MATCH($D155,角色属性!$I$8:$I$107,0),1)</f>
        <v>33890</v>
      </c>
      <c r="AE155" s="64">
        <f>INDEX(角色属性!AP$8:AP$107,MATCH($D155,角色属性!$I$8:$I$107,0),1)</f>
        <v>27112</v>
      </c>
      <c r="AF155" s="64">
        <f>INDEX(角色属性!AQ$8:AQ$107,MATCH($D155,角色属性!$I$8:$I$107,0),1)</f>
        <v>27112</v>
      </c>
      <c r="AG155" s="64">
        <f>$P155/10/(1+VLOOKUP(I155,技能效果!$B$2:$D$101,3,FALSE))*怪物属性规划!A$18*INDEX(怪物属性等级系数!$A$2:$A$101,MATCH(D155,怪物属性等级系数!$D$2:$D$101,0),1)*R155+W155</f>
        <v>208877.74040389372</v>
      </c>
      <c r="AH155" s="64">
        <f>$P155/10/(1+VLOOKUP($I155,技能效果!$B$2:$D$101,3,FALSE))*怪物属性规划!B$18*S155+X155</f>
        <v>12205.970149253728</v>
      </c>
      <c r="AI155" s="64">
        <f>$P155/10/(1+VLOOKUP($I155,技能效果!$B$2:$D$101,3,FALSE))*怪物属性规划!C$18*T155+Y155</f>
        <v>12205.970149253728</v>
      </c>
      <c r="AJ155" s="64">
        <f>$P155/10/(1+VLOOKUP($I155,技能效果!$B$2:$D$101,3,FALSE))*怪物属性规划!D$18*U155+Z155</f>
        <v>9764.7761194029827</v>
      </c>
      <c r="AK155" s="64">
        <f>$P155/10/(1+VLOOKUP($I155,技能效果!$B$2:$D$101,3,FALSE))*怪物属性规划!E$18*V155+AA155</f>
        <v>9764.7761194029827</v>
      </c>
      <c r="AL155" s="67">
        <f>INDEX(角色属性!BB$8:BB$107,MATCH($D155,角色属性!$I$8:$I$107,0),1)</f>
        <v>1.8500000000000008</v>
      </c>
      <c r="AM155" s="64">
        <f>INDEX(角色属性!BC$8:BC$107,MATCH($D155,角色属性!$I$8:$I$107,0),1)</f>
        <v>35803</v>
      </c>
      <c r="AN155" s="64">
        <f>INDEX(角色属性!BD$8:BD$107,MATCH($D155,角色属性!$I$8:$I$107,0),1)</f>
        <v>3105</v>
      </c>
      <c r="AO155" s="69">
        <f t="shared" si="37"/>
        <v>0.44279948208964043</v>
      </c>
      <c r="AP155" s="69">
        <f t="shared" si="38"/>
        <v>0.96218149741163528</v>
      </c>
      <c r="AQ155" s="64">
        <f>AL155*角色属性!$BA$1*(AC155*(1-AO155)+MAX(AF155-AJ155,0))</f>
        <v>203922.81744287652</v>
      </c>
      <c r="AR155" s="64">
        <f>角色属性!$BA$1*(AH155*(1-AP155)+MAX(AK155-AE155,0))</f>
        <v>923.22302736610925</v>
      </c>
      <c r="AS155" s="73">
        <f t="shared" si="39"/>
        <v>0.56905446172437602</v>
      </c>
      <c r="AT155" s="73">
        <f t="shared" si="40"/>
        <v>0.37936964114958399</v>
      </c>
      <c r="AU155" s="73">
        <f t="shared" si="41"/>
        <v>0.28452723086218801</v>
      </c>
      <c r="AV155" s="73">
        <f t="shared" si="42"/>
        <v>734.16712961949838</v>
      </c>
      <c r="AW155" s="73">
        <f t="shared" si="43"/>
        <v>489.44475307966559</v>
      </c>
      <c r="AX155" s="2" t="str">
        <f t="shared" si="44"/>
        <v>r_guanqia_153</v>
      </c>
      <c r="AY155" s="2">
        <f>ROUND(($P155*R155/10/$H155/(1+VLOOKUP($I155,技能效果!$B$2:$D$101,3,FALSE))-1)*10000,0)</f>
        <v>-73</v>
      </c>
      <c r="AZ155" s="2">
        <f>ROUND(($P155*S155/10/$H155/(1+VLOOKUP($I155,技能效果!$B$2:$D$101,3,FALSE))-1)*10000,0)</f>
        <v>-73</v>
      </c>
      <c r="BA155" s="2">
        <f>ROUND(($P155*T155/10/$H155/(1+VLOOKUP($I155,技能效果!$B$2:$D$101,3,FALSE))-1)*10000,0)</f>
        <v>-73</v>
      </c>
      <c r="BB155" s="2">
        <f>ROUND(($P155*U155/10/$H155/(1+VLOOKUP($I155,技能效果!$B$2:$D$101,3,FALSE))-1)*10000,0)</f>
        <v>-73</v>
      </c>
      <c r="BC155" s="2">
        <f>ROUND(($P155*V155/10/$H155/(1+VLOOKUP($I155,技能效果!$B$2:$D$101,3,FALSE))-1)*10000,0)</f>
        <v>-73</v>
      </c>
    </row>
    <row r="156" spans="2:55" x14ac:dyDescent="0.15">
      <c r="B156" s="83"/>
      <c r="C156" s="2">
        <v>154</v>
      </c>
      <c r="D156" s="2">
        <f t="shared" si="48"/>
        <v>86</v>
      </c>
      <c r="E156" s="2">
        <v>2</v>
      </c>
      <c r="F156" s="28">
        <f>INDEX([3]宠物属性!$AL$8:$AL$107,MATCH(D156,[3]宠物属性!$I$8:$I$107,0),1)</f>
        <v>347136.10174681508</v>
      </c>
      <c r="G156" s="68">
        <f>F156/INDEX(角色属性!$AI$8:$AI$107,MATCH(D156,角色属性!$I$8:$I$107,0),1)*E156</f>
        <v>1.5288096332155172</v>
      </c>
      <c r="H156" s="2">
        <f>INDEX(角色属性!$AL$8:$AL$107,MATCH(D156,角色属性!$I$8:$I$107,0),1)</f>
        <v>12296</v>
      </c>
      <c r="I156" s="2">
        <f>INDEX(角色属性!$Y$8:$Y$107,MATCH(D156,角色属性!$I$8:$I$107,0),1)</f>
        <v>86</v>
      </c>
      <c r="J156" s="28">
        <f>H156*10*(1+VLOOKUP(I156,技能效果!$B$2:$D$101,3,FALSE))</f>
        <v>164766.40000000002</v>
      </c>
      <c r="K156" s="28">
        <f>H156*10*(1+VLOOKUP(I156,技能效果!$B$2:$D$101,3,FALSE))*(1+G156)</f>
        <v>416662.85955024126</v>
      </c>
      <c r="L156" s="2">
        <f t="shared" si="34"/>
        <v>160</v>
      </c>
      <c r="M156" s="28">
        <f t="shared" si="35"/>
        <v>189189.12000000005</v>
      </c>
      <c r="N156" s="28">
        <f t="shared" si="36"/>
        <v>487295.95232648752</v>
      </c>
      <c r="O156" s="62">
        <f t="shared" si="46"/>
        <v>421983</v>
      </c>
      <c r="P156" s="62">
        <f t="shared" si="47"/>
        <v>166274</v>
      </c>
      <c r="Q156" s="64">
        <f t="shared" si="45"/>
        <v>7735</v>
      </c>
      <c r="R156" s="67">
        <v>1</v>
      </c>
      <c r="S156" s="67">
        <v>1</v>
      </c>
      <c r="T156" s="67">
        <v>1</v>
      </c>
      <c r="U156" s="67">
        <v>1</v>
      </c>
      <c r="V156" s="67">
        <v>1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64">
        <f>INDEX(角色属性!AM$8:AM$107,MATCH($D156,角色属性!$I$8:$I$107,0),1)</f>
        <v>677800</v>
      </c>
      <c r="AC156" s="64">
        <f>INDEX(角色属性!AN$8:AN$107,MATCH($D156,角色属性!$I$8:$I$107,0),1)</f>
        <v>67780</v>
      </c>
      <c r="AD156" s="64">
        <f>INDEX(角色属性!AO$8:AO$107,MATCH($D156,角色属性!$I$8:$I$107,0),1)</f>
        <v>33890</v>
      </c>
      <c r="AE156" s="64">
        <f>INDEX(角色属性!AP$8:AP$107,MATCH($D156,角色属性!$I$8:$I$107,0),1)</f>
        <v>27112</v>
      </c>
      <c r="AF156" s="64">
        <f>INDEX(角色属性!AQ$8:AQ$107,MATCH($D156,角色属性!$I$8:$I$107,0),1)</f>
        <v>27112</v>
      </c>
      <c r="AG156" s="64">
        <f>$P156/10/(1+VLOOKUP(I156,技能效果!$B$2:$D$101,3,FALSE))*怪物属性规划!A$18*INDEX(怪物属性等级系数!$A$2:$A$101,MATCH(D156,怪物属性等级系数!$D$2:$D$101,0),1)*R156+W156</f>
        <v>212343.71122473117</v>
      </c>
      <c r="AH156" s="64">
        <f>$P156/10/(1+VLOOKUP($I156,技能效果!$B$2:$D$101,3,FALSE))*怪物属性规划!B$18*S156+X156</f>
        <v>12408.507462686566</v>
      </c>
      <c r="AI156" s="64">
        <f>$P156/10/(1+VLOOKUP($I156,技能效果!$B$2:$D$101,3,FALSE))*怪物属性规划!C$18*T156+Y156</f>
        <v>12408.507462686566</v>
      </c>
      <c r="AJ156" s="64">
        <f>$P156/10/(1+VLOOKUP($I156,技能效果!$B$2:$D$101,3,FALSE))*怪物属性规划!D$18*U156+Z156</f>
        <v>9926.805970149253</v>
      </c>
      <c r="AK156" s="64">
        <f>$P156/10/(1+VLOOKUP($I156,技能效果!$B$2:$D$101,3,FALSE))*怪物属性规划!E$18*V156+AA156</f>
        <v>9926.805970149253</v>
      </c>
      <c r="AL156" s="67">
        <f>INDEX(角色属性!BB$8:BB$107,MATCH($D156,角色属性!$I$8:$I$107,0),1)</f>
        <v>1.8500000000000008</v>
      </c>
      <c r="AM156" s="64">
        <f>INDEX(角色属性!BC$8:BC$107,MATCH($D156,角色属性!$I$8:$I$107,0),1)</f>
        <v>35803</v>
      </c>
      <c r="AN156" s="64">
        <f>INDEX(角色属性!BD$8:BD$107,MATCH($D156,角色属性!$I$8:$I$107,0),1)</f>
        <v>3105</v>
      </c>
      <c r="AO156" s="69">
        <f t="shared" si="37"/>
        <v>0.44686365374210169</v>
      </c>
      <c r="AP156" s="69">
        <f t="shared" si="38"/>
        <v>0.96218149741163528</v>
      </c>
      <c r="AQ156" s="64">
        <f>AL156*角色属性!$BA$1*(AC156*(1-AO156)+MAX(AF156-AJ156,0))</f>
        <v>202304.06964308114</v>
      </c>
      <c r="AR156" s="64">
        <f>角色属性!$BA$1*(AH156*(1-AP156)+MAX(AK156-AE156,0))</f>
        <v>938.54234319070974</v>
      </c>
      <c r="AS156" s="73">
        <f t="shared" si="39"/>
        <v>0.58312582967961346</v>
      </c>
      <c r="AT156" s="73">
        <f t="shared" si="40"/>
        <v>0.38875055311974233</v>
      </c>
      <c r="AU156" s="73">
        <f t="shared" si="41"/>
        <v>0.29156291483980673</v>
      </c>
      <c r="AV156" s="73">
        <f t="shared" si="42"/>
        <v>722.18371916574517</v>
      </c>
      <c r="AW156" s="73">
        <f t="shared" si="43"/>
        <v>481.45581277716349</v>
      </c>
      <c r="AX156" s="2" t="str">
        <f t="shared" si="44"/>
        <v>r_guanqia_154</v>
      </c>
      <c r="AY156" s="2">
        <f>ROUND(($P156*R156/10/$H156/(1+VLOOKUP($I156,技能效果!$B$2:$D$101,3,FALSE))-1)*10000,0)</f>
        <v>91</v>
      </c>
      <c r="AZ156" s="2">
        <f>ROUND(($P156*S156/10/$H156/(1+VLOOKUP($I156,技能效果!$B$2:$D$101,3,FALSE))-1)*10000,0)</f>
        <v>91</v>
      </c>
      <c r="BA156" s="2">
        <f>ROUND(($P156*T156/10/$H156/(1+VLOOKUP($I156,技能效果!$B$2:$D$101,3,FALSE))-1)*10000,0)</f>
        <v>91</v>
      </c>
      <c r="BB156" s="2">
        <f>ROUND(($P156*U156/10/$H156/(1+VLOOKUP($I156,技能效果!$B$2:$D$101,3,FALSE))-1)*10000,0)</f>
        <v>91</v>
      </c>
      <c r="BC156" s="2">
        <f>ROUND(($P156*V156/10/$H156/(1+VLOOKUP($I156,技能效果!$B$2:$D$101,3,FALSE))-1)*10000,0)</f>
        <v>91</v>
      </c>
    </row>
    <row r="157" spans="2:55" x14ac:dyDescent="0.15">
      <c r="B157" s="83"/>
      <c r="C157" s="2">
        <v>155</v>
      </c>
      <c r="D157" s="2">
        <f t="shared" si="48"/>
        <v>87</v>
      </c>
      <c r="E157" s="2">
        <v>2</v>
      </c>
      <c r="F157" s="28">
        <f>INDEX([3]宠物属性!$AL$8:$AL$107,MATCH(D157,[3]宠物属性!$I$8:$I$107,0),1)</f>
        <v>350224.30780555913</v>
      </c>
      <c r="G157" s="68">
        <f>F157/INDEX(角色属性!$AI$8:$AI$107,MATCH(D157,角色属性!$I$8:$I$107,0),1)*E157</f>
        <v>1.5339724053293697</v>
      </c>
      <c r="H157" s="2">
        <f>INDEX(角色属性!$AL$8:$AL$107,MATCH(D157,角色属性!$I$8:$I$107,0),1)</f>
        <v>12697</v>
      </c>
      <c r="I157" s="2">
        <f>INDEX(角色属性!$Y$8:$Y$107,MATCH(D157,角色属性!$I$8:$I$107,0),1)</f>
        <v>87</v>
      </c>
      <c r="J157" s="28">
        <f>H157*10*(1+VLOOKUP(I157,技能效果!$B$2:$D$101,3,FALSE))</f>
        <v>170647.68000000005</v>
      </c>
      <c r="K157" s="28">
        <f>H157*10*(1+VLOOKUP(I157,技能效果!$B$2:$D$101,3,FALSE))*(1+G157)</f>
        <v>432416.51215347665</v>
      </c>
      <c r="L157" s="2">
        <f t="shared" si="34"/>
        <v>160</v>
      </c>
      <c r="M157" s="28">
        <f t="shared" si="35"/>
        <v>189189.12000000005</v>
      </c>
      <c r="N157" s="28">
        <f t="shared" si="36"/>
        <v>487295.95232648752</v>
      </c>
      <c r="O157" s="62">
        <f t="shared" si="46"/>
        <v>437452</v>
      </c>
      <c r="P157" s="62">
        <f t="shared" si="47"/>
        <v>171701</v>
      </c>
      <c r="Q157" s="64">
        <f t="shared" si="45"/>
        <v>15469</v>
      </c>
      <c r="R157" s="67">
        <v>1</v>
      </c>
      <c r="S157" s="67">
        <v>1</v>
      </c>
      <c r="T157" s="67">
        <v>1</v>
      </c>
      <c r="U157" s="67">
        <v>1</v>
      </c>
      <c r="V157" s="67">
        <v>1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64">
        <f>INDEX(角色属性!AM$8:AM$107,MATCH($D157,角色属性!$I$8:$I$107,0),1)</f>
        <v>679500</v>
      </c>
      <c r="AC157" s="64">
        <f>INDEX(角色属性!AN$8:AN$107,MATCH($D157,角色属性!$I$8:$I$107,0),1)</f>
        <v>67950</v>
      </c>
      <c r="AD157" s="64">
        <f>INDEX(角色属性!AO$8:AO$107,MATCH($D157,角色属性!$I$8:$I$107,0),1)</f>
        <v>33975</v>
      </c>
      <c r="AE157" s="64">
        <f>INDEX(角色属性!AP$8:AP$107,MATCH($D157,角色属性!$I$8:$I$107,0),1)</f>
        <v>27180</v>
      </c>
      <c r="AF157" s="64">
        <f>INDEX(角色属性!AQ$8:AQ$107,MATCH($D157,角色属性!$I$8:$I$107,0),1)</f>
        <v>27180</v>
      </c>
      <c r="AG157" s="64">
        <f>$P157/10/(1+VLOOKUP(I157,技能效果!$B$2:$D$101,3,FALSE))*怪物属性规划!A$18*INDEX(怪物属性等级系数!$A$2:$A$101,MATCH(D157,怪物属性等级系数!$D$2:$D$101,0),1)*R157+W157</f>
        <v>221001.28421848259</v>
      </c>
      <c r="AH157" s="64">
        <f>$P157/10/(1+VLOOKUP($I157,技能效果!$B$2:$D$101,3,FALSE))*怪物属性规划!B$18*S157+X157</f>
        <v>12775.372023809519</v>
      </c>
      <c r="AI157" s="64">
        <f>$P157/10/(1+VLOOKUP($I157,技能效果!$B$2:$D$101,3,FALSE))*怪物属性规划!C$18*T157+Y157</f>
        <v>12775.372023809519</v>
      </c>
      <c r="AJ157" s="64">
        <f>$P157/10/(1+VLOOKUP($I157,技能效果!$B$2:$D$101,3,FALSE))*怪物属性规划!D$18*U157+Z157</f>
        <v>10220.297619047617</v>
      </c>
      <c r="AK157" s="64">
        <f>$P157/10/(1+VLOOKUP($I157,技能效果!$B$2:$D$101,3,FALSE))*怪物属性规划!E$18*V157+AA157</f>
        <v>10220.297619047617</v>
      </c>
      <c r="AL157" s="67">
        <f>INDEX(角色属性!BB$8:BB$107,MATCH($D157,角色属性!$I$8:$I$107,0),1)</f>
        <v>1.8600000000000008</v>
      </c>
      <c r="AM157" s="64">
        <f>INDEX(角色属性!BC$8:BC$107,MATCH($D157,角色属性!$I$8:$I$107,0),1)</f>
        <v>37423</v>
      </c>
      <c r="AN157" s="64">
        <f>INDEX(角色属性!BD$8:BD$107,MATCH($D157,角色属性!$I$8:$I$107,0),1)</f>
        <v>3106</v>
      </c>
      <c r="AO157" s="69">
        <f t="shared" si="37"/>
        <v>0.44313018928960379</v>
      </c>
      <c r="AP157" s="69">
        <f t="shared" si="38"/>
        <v>0.96226085162591912</v>
      </c>
      <c r="AQ157" s="64">
        <f>AL157*角色属性!$BA$1*(AC157*(1-AO157)+MAX(AF157-AJ157,0))</f>
        <v>203852.30238965264</v>
      </c>
      <c r="AR157" s="64">
        <f>角色属性!$BA$1*(AH157*(1-AP157)+MAX(AK157-AE157,0))</f>
        <v>964.26332068125873</v>
      </c>
      <c r="AS157" s="73">
        <f t="shared" si="39"/>
        <v>0.60229141291622934</v>
      </c>
      <c r="AT157" s="73">
        <f t="shared" si="40"/>
        <v>0.40152760861081954</v>
      </c>
      <c r="AU157" s="73">
        <f t="shared" si="41"/>
        <v>0.30114570645811467</v>
      </c>
      <c r="AV157" s="73">
        <f t="shared" si="42"/>
        <v>704.68303151874375</v>
      </c>
      <c r="AW157" s="73">
        <f t="shared" si="43"/>
        <v>469.78868767916254</v>
      </c>
      <c r="AX157" s="2" t="str">
        <f t="shared" si="44"/>
        <v>r_guanqia_155</v>
      </c>
      <c r="AY157" s="2">
        <f>ROUND(($P157*R157/10/$H157/(1+VLOOKUP($I157,技能效果!$B$2:$D$101,3,FALSE))-1)*10000,0)</f>
        <v>62</v>
      </c>
      <c r="AZ157" s="2">
        <f>ROUND(($P157*S157/10/$H157/(1+VLOOKUP($I157,技能效果!$B$2:$D$101,3,FALSE))-1)*10000,0)</f>
        <v>62</v>
      </c>
      <c r="BA157" s="2">
        <f>ROUND(($P157*T157/10/$H157/(1+VLOOKUP($I157,技能效果!$B$2:$D$101,3,FALSE))-1)*10000,0)</f>
        <v>62</v>
      </c>
      <c r="BB157" s="2">
        <f>ROUND(($P157*U157/10/$H157/(1+VLOOKUP($I157,技能效果!$B$2:$D$101,3,FALSE))-1)*10000,0)</f>
        <v>62</v>
      </c>
      <c r="BC157" s="2">
        <f>ROUND(($P157*V157/10/$H157/(1+VLOOKUP($I157,技能效果!$B$2:$D$101,3,FALSE))-1)*10000,0)</f>
        <v>62</v>
      </c>
    </row>
    <row r="158" spans="2:55" x14ac:dyDescent="0.15">
      <c r="B158" s="83"/>
      <c r="C158" s="2">
        <v>156</v>
      </c>
      <c r="D158" s="2">
        <f t="shared" si="48"/>
        <v>87</v>
      </c>
      <c r="E158" s="2">
        <v>2</v>
      </c>
      <c r="F158" s="28">
        <f>INDEX([3]宠物属性!$AL$8:$AL$107,MATCH(D158,[3]宠物属性!$I$8:$I$107,0),1)</f>
        <v>350224.30780555913</v>
      </c>
      <c r="G158" s="68">
        <f>F158/INDEX(角色属性!$AI$8:$AI$107,MATCH(D158,角色属性!$I$8:$I$107,0),1)*E158</f>
        <v>1.5339724053293697</v>
      </c>
      <c r="H158" s="2">
        <f>INDEX(角色属性!$AL$8:$AL$107,MATCH(D158,角色属性!$I$8:$I$107,0),1)</f>
        <v>12697</v>
      </c>
      <c r="I158" s="2">
        <f>INDEX(角色属性!$Y$8:$Y$107,MATCH(D158,角色属性!$I$8:$I$107,0),1)</f>
        <v>87</v>
      </c>
      <c r="J158" s="28">
        <f>H158*10*(1+VLOOKUP(I158,技能效果!$B$2:$D$101,3,FALSE))</f>
        <v>170647.68000000005</v>
      </c>
      <c r="K158" s="28">
        <f>H158*10*(1+VLOOKUP(I158,技能效果!$B$2:$D$101,3,FALSE))*(1+G158)</f>
        <v>432416.51215347665</v>
      </c>
      <c r="L158" s="2">
        <f t="shared" si="34"/>
        <v>160</v>
      </c>
      <c r="M158" s="28">
        <f t="shared" si="35"/>
        <v>189189.12000000005</v>
      </c>
      <c r="N158" s="28">
        <f t="shared" si="36"/>
        <v>487295.95232648752</v>
      </c>
      <c r="O158" s="62">
        <f t="shared" si="46"/>
        <v>440889</v>
      </c>
      <c r="P158" s="62">
        <f t="shared" si="47"/>
        <v>172907</v>
      </c>
      <c r="Q158" s="64">
        <f t="shared" si="45"/>
        <v>3437</v>
      </c>
      <c r="R158" s="67">
        <v>1</v>
      </c>
      <c r="S158" s="67">
        <v>1</v>
      </c>
      <c r="T158" s="67">
        <v>1</v>
      </c>
      <c r="U158" s="67">
        <v>1</v>
      </c>
      <c r="V158" s="67">
        <v>1</v>
      </c>
      <c r="W158" s="28">
        <v>0</v>
      </c>
      <c r="X158" s="28">
        <v>0</v>
      </c>
      <c r="Y158" s="28">
        <v>0</v>
      </c>
      <c r="Z158" s="28">
        <v>0</v>
      </c>
      <c r="AA158" s="28">
        <v>0</v>
      </c>
      <c r="AB158" s="64">
        <f>INDEX(角色属性!AM$8:AM$107,MATCH($D158,角色属性!$I$8:$I$107,0),1)</f>
        <v>679500</v>
      </c>
      <c r="AC158" s="64">
        <f>INDEX(角色属性!AN$8:AN$107,MATCH($D158,角色属性!$I$8:$I$107,0),1)</f>
        <v>67950</v>
      </c>
      <c r="AD158" s="64">
        <f>INDEX(角色属性!AO$8:AO$107,MATCH($D158,角色属性!$I$8:$I$107,0),1)</f>
        <v>33975</v>
      </c>
      <c r="AE158" s="64">
        <f>INDEX(角色属性!AP$8:AP$107,MATCH($D158,角色属性!$I$8:$I$107,0),1)</f>
        <v>27180</v>
      </c>
      <c r="AF158" s="64">
        <f>INDEX(角色属性!AQ$8:AQ$107,MATCH($D158,角色属性!$I$8:$I$107,0),1)</f>
        <v>27180</v>
      </c>
      <c r="AG158" s="64">
        <f>$P158/10/(1+VLOOKUP(I158,技能效果!$B$2:$D$101,3,FALSE))*怪物属性规划!A$18*INDEX(怪物属性等级系数!$A$2:$A$101,MATCH(D158,怪物属性等级系数!$D$2:$D$101,0),1)*R158+W158</f>
        <v>222553.5614257644</v>
      </c>
      <c r="AH158" s="64">
        <f>$P158/10/(1+VLOOKUP($I158,技能效果!$B$2:$D$101,3,FALSE))*怪物属性规划!B$18*S158+X158</f>
        <v>12865.104166666664</v>
      </c>
      <c r="AI158" s="64">
        <f>$P158/10/(1+VLOOKUP($I158,技能效果!$B$2:$D$101,3,FALSE))*怪物属性规划!C$18*T158+Y158</f>
        <v>12865.104166666664</v>
      </c>
      <c r="AJ158" s="64">
        <f>$P158/10/(1+VLOOKUP($I158,技能效果!$B$2:$D$101,3,FALSE))*怪物属性规划!D$18*U158+Z158</f>
        <v>10292.083333333332</v>
      </c>
      <c r="AK158" s="64">
        <f>$P158/10/(1+VLOOKUP($I158,技能效果!$B$2:$D$101,3,FALSE))*怪物属性规划!E$18*V158+AA158</f>
        <v>10292.083333333332</v>
      </c>
      <c r="AL158" s="67">
        <f>INDEX(角色属性!BB$8:BB$107,MATCH($D158,角色属性!$I$8:$I$107,0),1)</f>
        <v>1.8600000000000008</v>
      </c>
      <c r="AM158" s="64">
        <f>INDEX(角色属性!BC$8:BC$107,MATCH($D158,角色属性!$I$8:$I$107,0),1)</f>
        <v>37423</v>
      </c>
      <c r="AN158" s="64">
        <f>INDEX(角色属性!BD$8:BD$107,MATCH($D158,角色属性!$I$8:$I$107,0),1)</f>
        <v>3106</v>
      </c>
      <c r="AO158" s="69">
        <f t="shared" si="37"/>
        <v>0.44485805451691024</v>
      </c>
      <c r="AP158" s="69">
        <f t="shared" si="38"/>
        <v>0.96226085162591912</v>
      </c>
      <c r="AQ158" s="64">
        <f>AL158*角色属性!$BA$1*(AC158*(1-AO158)+MAX(AF158-AJ158,0))</f>
        <v>203148.50012754259</v>
      </c>
      <c r="AR158" s="64">
        <f>角色属性!$BA$1*(AH158*(1-AP158)+MAX(AK158-AE158,0))</f>
        <v>971.03614998767875</v>
      </c>
      <c r="AS158" s="73">
        <f t="shared" si="39"/>
        <v>0.60862308794370934</v>
      </c>
      <c r="AT158" s="73">
        <f t="shared" si="40"/>
        <v>0.40574872529580625</v>
      </c>
      <c r="AU158" s="73">
        <f t="shared" si="41"/>
        <v>0.30431154397185467</v>
      </c>
      <c r="AV158" s="73">
        <f t="shared" si="42"/>
        <v>699.76797466152209</v>
      </c>
      <c r="AW158" s="73">
        <f t="shared" si="43"/>
        <v>466.51198310768149</v>
      </c>
      <c r="AX158" s="2" t="str">
        <f t="shared" si="44"/>
        <v>r_guanqia_156</v>
      </c>
      <c r="AY158" s="2">
        <f>ROUND(($P158*R158/10/$H158/(1+VLOOKUP($I158,技能效果!$B$2:$D$101,3,FALSE))-1)*10000,0)</f>
        <v>132</v>
      </c>
      <c r="AZ158" s="2">
        <f>ROUND(($P158*S158/10/$H158/(1+VLOOKUP($I158,技能效果!$B$2:$D$101,3,FALSE))-1)*10000,0)</f>
        <v>132</v>
      </c>
      <c r="BA158" s="2">
        <f>ROUND(($P158*T158/10/$H158/(1+VLOOKUP($I158,技能效果!$B$2:$D$101,3,FALSE))-1)*10000,0)</f>
        <v>132</v>
      </c>
      <c r="BB158" s="2">
        <f>ROUND(($P158*U158/10/$H158/(1+VLOOKUP($I158,技能效果!$B$2:$D$101,3,FALSE))-1)*10000,0)</f>
        <v>132</v>
      </c>
      <c r="BC158" s="2">
        <f>ROUND(($P158*V158/10/$H158/(1+VLOOKUP($I158,技能效果!$B$2:$D$101,3,FALSE))-1)*10000,0)</f>
        <v>132</v>
      </c>
    </row>
    <row r="159" spans="2:55" x14ac:dyDescent="0.15">
      <c r="B159" s="83"/>
      <c r="C159" s="2">
        <v>157</v>
      </c>
      <c r="D159" s="2">
        <f t="shared" si="48"/>
        <v>87</v>
      </c>
      <c r="E159" s="2">
        <v>2</v>
      </c>
      <c r="F159" s="28">
        <f>INDEX([3]宠物属性!$AL$8:$AL$107,MATCH(D159,[3]宠物属性!$I$8:$I$107,0),1)</f>
        <v>350224.30780555913</v>
      </c>
      <c r="G159" s="68">
        <f>F159/INDEX(角色属性!$AI$8:$AI$107,MATCH(D159,角色属性!$I$8:$I$107,0),1)*E159</f>
        <v>1.5339724053293697</v>
      </c>
      <c r="H159" s="2">
        <f>INDEX(角色属性!$AL$8:$AL$107,MATCH(D159,角色属性!$I$8:$I$107,0),1)</f>
        <v>12697</v>
      </c>
      <c r="I159" s="2">
        <f>INDEX(角色属性!$Y$8:$Y$107,MATCH(D159,角色属性!$I$8:$I$107,0),1)</f>
        <v>87</v>
      </c>
      <c r="J159" s="28">
        <f>H159*10*(1+VLOOKUP(I159,技能效果!$B$2:$D$101,3,FALSE))</f>
        <v>170647.68000000005</v>
      </c>
      <c r="K159" s="28">
        <f>H159*10*(1+VLOOKUP(I159,技能效果!$B$2:$D$101,3,FALSE))*(1+G159)</f>
        <v>432416.51215347665</v>
      </c>
      <c r="L159" s="2">
        <f t="shared" si="34"/>
        <v>160</v>
      </c>
      <c r="M159" s="28">
        <f t="shared" si="35"/>
        <v>189189.12000000005</v>
      </c>
      <c r="N159" s="28">
        <f t="shared" si="36"/>
        <v>487295.95232648752</v>
      </c>
      <c r="O159" s="62">
        <f t="shared" si="46"/>
        <v>446046</v>
      </c>
      <c r="P159" s="62">
        <f t="shared" si="47"/>
        <v>174716</v>
      </c>
      <c r="Q159" s="64">
        <f t="shared" si="45"/>
        <v>5157</v>
      </c>
      <c r="R159" s="67">
        <v>1</v>
      </c>
      <c r="S159" s="67">
        <v>1</v>
      </c>
      <c r="T159" s="67">
        <v>1</v>
      </c>
      <c r="U159" s="67">
        <v>1</v>
      </c>
      <c r="V159" s="67">
        <v>1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64">
        <f>INDEX(角色属性!AM$8:AM$107,MATCH($D159,角色属性!$I$8:$I$107,0),1)</f>
        <v>679500</v>
      </c>
      <c r="AC159" s="64">
        <f>INDEX(角色属性!AN$8:AN$107,MATCH($D159,角色属性!$I$8:$I$107,0),1)</f>
        <v>67950</v>
      </c>
      <c r="AD159" s="64">
        <f>INDEX(角色属性!AO$8:AO$107,MATCH($D159,角色属性!$I$8:$I$107,0),1)</f>
        <v>33975</v>
      </c>
      <c r="AE159" s="64">
        <f>INDEX(角色属性!AP$8:AP$107,MATCH($D159,角色属性!$I$8:$I$107,0),1)</f>
        <v>27180</v>
      </c>
      <c r="AF159" s="64">
        <f>INDEX(角色属性!AQ$8:AQ$107,MATCH($D159,角色属性!$I$8:$I$107,0),1)</f>
        <v>27180</v>
      </c>
      <c r="AG159" s="64">
        <f>$P159/10/(1+VLOOKUP(I159,技能效果!$B$2:$D$101,3,FALSE))*怪物属性规划!A$18*INDEX(怪物属性等级系数!$A$2:$A$101,MATCH(D159,怪物属性等级系数!$D$2:$D$101,0),1)*R159+W159</f>
        <v>224881.97723668703</v>
      </c>
      <c r="AH159" s="64">
        <f>$P159/10/(1+VLOOKUP($I159,技能效果!$B$2:$D$101,3,FALSE))*怪物属性规划!B$18*S159+X159</f>
        <v>12999.702380952376</v>
      </c>
      <c r="AI159" s="64">
        <f>$P159/10/(1+VLOOKUP($I159,技能效果!$B$2:$D$101,3,FALSE))*怪物属性规划!C$18*T159+Y159</f>
        <v>12999.702380952376</v>
      </c>
      <c r="AJ159" s="64">
        <f>$P159/10/(1+VLOOKUP($I159,技能效果!$B$2:$D$101,3,FALSE))*怪物属性规划!D$18*U159+Z159</f>
        <v>10399.761904761901</v>
      </c>
      <c r="AK159" s="64">
        <f>$P159/10/(1+VLOOKUP($I159,技能效果!$B$2:$D$101,3,FALSE))*怪物属性规划!E$18*V159+AA159</f>
        <v>10399.761904761901</v>
      </c>
      <c r="AL159" s="67">
        <f>INDEX(角色属性!BB$8:BB$107,MATCH($D159,角色属性!$I$8:$I$107,0),1)</f>
        <v>1.8600000000000008</v>
      </c>
      <c r="AM159" s="64">
        <f>INDEX(角色属性!BC$8:BC$107,MATCH($D159,角色属性!$I$8:$I$107,0),1)</f>
        <v>37423</v>
      </c>
      <c r="AN159" s="64">
        <f>INDEX(角色属性!BD$8:BD$107,MATCH($D159,角色属性!$I$8:$I$107,0),1)</f>
        <v>3106</v>
      </c>
      <c r="AO159" s="69">
        <f t="shared" si="37"/>
        <v>0.44742984080883241</v>
      </c>
      <c r="AP159" s="69">
        <f t="shared" si="38"/>
        <v>0.96226085162591912</v>
      </c>
      <c r="AQ159" s="64">
        <f>AL159*角色属性!$BA$1*(AC159*(1-AO159)+MAX(AF159-AJ159,0))</f>
        <v>202097.85513367402</v>
      </c>
      <c r="AR159" s="64">
        <f>角色属性!$BA$1*(AH159*(1-AP159)+MAX(AK159-AE159,0))</f>
        <v>981.19539394730839</v>
      </c>
      <c r="AS159" s="73">
        <f t="shared" si="39"/>
        <v>0.61818781656798782</v>
      </c>
      <c r="AT159" s="73">
        <f t="shared" si="40"/>
        <v>0.41212521104532518</v>
      </c>
      <c r="AU159" s="73">
        <f t="shared" si="41"/>
        <v>0.30909390828399391</v>
      </c>
      <c r="AV159" s="73">
        <f t="shared" si="42"/>
        <v>692.52261495684331</v>
      </c>
      <c r="AW159" s="73">
        <f t="shared" si="43"/>
        <v>461.68174330456219</v>
      </c>
      <c r="AX159" s="2" t="str">
        <f t="shared" si="44"/>
        <v>r_guanqia_157</v>
      </c>
      <c r="AY159" s="2">
        <f>ROUND(($P159*R159/10/$H159/(1+VLOOKUP($I159,技能效果!$B$2:$D$101,3,FALSE))-1)*10000,0)</f>
        <v>238</v>
      </c>
      <c r="AZ159" s="2">
        <f>ROUND(($P159*S159/10/$H159/(1+VLOOKUP($I159,技能效果!$B$2:$D$101,3,FALSE))-1)*10000,0)</f>
        <v>238</v>
      </c>
      <c r="BA159" s="2">
        <f>ROUND(($P159*T159/10/$H159/(1+VLOOKUP($I159,技能效果!$B$2:$D$101,3,FALSE))-1)*10000,0)</f>
        <v>238</v>
      </c>
      <c r="BB159" s="2">
        <f>ROUND(($P159*U159/10/$H159/(1+VLOOKUP($I159,技能效果!$B$2:$D$101,3,FALSE))-1)*10000,0)</f>
        <v>238</v>
      </c>
      <c r="BC159" s="2">
        <f>ROUND(($P159*V159/10/$H159/(1+VLOOKUP($I159,技能效果!$B$2:$D$101,3,FALSE))-1)*10000,0)</f>
        <v>238</v>
      </c>
    </row>
    <row r="160" spans="2:55" x14ac:dyDescent="0.15">
      <c r="B160" s="83"/>
      <c r="C160" s="2">
        <v>158</v>
      </c>
      <c r="D160" s="2">
        <f t="shared" si="48"/>
        <v>88</v>
      </c>
      <c r="E160" s="2">
        <v>2</v>
      </c>
      <c r="F160" s="28">
        <f>INDEX([3]宠物属性!$AL$8:$AL$107,MATCH(D160,[3]宠物属性!$I$8:$I$107,0),1)</f>
        <v>353325.13042430306</v>
      </c>
      <c r="G160" s="68">
        <f>F160/INDEX(角色属性!$AI$8:$AI$107,MATCH(D160,角色属性!$I$8:$I$107,0),1)*E160</f>
        <v>1.5390659750363351</v>
      </c>
      <c r="H160" s="2">
        <f>INDEX(角色属性!$AL$8:$AL$107,MATCH(D160,角色属性!$I$8:$I$107,0),1)</f>
        <v>13106</v>
      </c>
      <c r="I160" s="2">
        <f>INDEX(角色属性!$Y$8:$Y$107,MATCH(D160,角色属性!$I$8:$I$107,0),1)</f>
        <v>88</v>
      </c>
      <c r="J160" s="28">
        <f>H160*10*(1+VLOOKUP(I160,技能效果!$B$2:$D$101,3,FALSE))</f>
        <v>176668.88000000003</v>
      </c>
      <c r="K160" s="28">
        <f>H160*10*(1+VLOOKUP(I160,技能效果!$B$2:$D$101,3,FALSE))*(1+G160)</f>
        <v>448573.94205577736</v>
      </c>
      <c r="L160" s="2">
        <f t="shared" si="34"/>
        <v>160</v>
      </c>
      <c r="M160" s="28">
        <f t="shared" si="35"/>
        <v>189189.12000000005</v>
      </c>
      <c r="N160" s="28">
        <f t="shared" si="36"/>
        <v>487295.95232648752</v>
      </c>
      <c r="O160" s="62">
        <f t="shared" si="46"/>
        <v>452921</v>
      </c>
      <c r="P160" s="62">
        <f t="shared" si="47"/>
        <v>177128</v>
      </c>
      <c r="Q160" s="64">
        <f t="shared" si="45"/>
        <v>6875</v>
      </c>
      <c r="R160" s="67">
        <v>1</v>
      </c>
      <c r="S160" s="67">
        <v>1</v>
      </c>
      <c r="T160" s="67">
        <v>1</v>
      </c>
      <c r="U160" s="67">
        <v>1</v>
      </c>
      <c r="V160" s="67">
        <v>1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64">
        <f>INDEX(角色属性!AM$8:AM$107,MATCH($D160,角色属性!$I$8:$I$107,0),1)</f>
        <v>681220</v>
      </c>
      <c r="AC160" s="64">
        <f>INDEX(角色属性!AN$8:AN$107,MATCH($D160,角色属性!$I$8:$I$107,0),1)</f>
        <v>68122</v>
      </c>
      <c r="AD160" s="64">
        <f>INDEX(角色属性!AO$8:AO$107,MATCH($D160,角色属性!$I$8:$I$107,0),1)</f>
        <v>34061</v>
      </c>
      <c r="AE160" s="64">
        <f>INDEX(角色属性!AP$8:AP$107,MATCH($D160,角色属性!$I$8:$I$107,0),1)</f>
        <v>27248.799999999999</v>
      </c>
      <c r="AF160" s="64">
        <f>INDEX(角色属性!AQ$8:AQ$107,MATCH($D160,角色属性!$I$8:$I$107,0),1)</f>
        <v>27248.799999999999</v>
      </c>
      <c r="AG160" s="64">
        <f>$P160/10/(1+VLOOKUP(I160,技能效果!$B$2:$D$101,3,FALSE))*怪物属性规划!A$18*INDEX(怪物属性等级系数!$A$2:$A$101,MATCH(D160,怪物属性等级系数!$D$2:$D$101,0),1)*R160+W160</f>
        <v>229761.75847903037</v>
      </c>
      <c r="AH160" s="64">
        <f>$P160/10/(1+VLOOKUP($I160,技能效果!$B$2:$D$101,3,FALSE))*怪物属性规划!B$18*S160+X160</f>
        <v>13140.059347181006</v>
      </c>
      <c r="AI160" s="64">
        <f>$P160/10/(1+VLOOKUP($I160,技能效果!$B$2:$D$101,3,FALSE))*怪物属性规划!C$18*T160+Y160</f>
        <v>13140.059347181006</v>
      </c>
      <c r="AJ160" s="64">
        <f>$P160/10/(1+VLOOKUP($I160,技能效果!$B$2:$D$101,3,FALSE))*怪物属性规划!D$18*U160+Z160</f>
        <v>10512.047477744805</v>
      </c>
      <c r="AK160" s="64">
        <f>$P160/10/(1+VLOOKUP($I160,技能效果!$B$2:$D$101,3,FALSE))*怪物属性规划!E$18*V160+AA160</f>
        <v>10512.047477744805</v>
      </c>
      <c r="AL160" s="67">
        <f>INDEX(角色属性!BB$8:BB$107,MATCH($D160,角色属性!$I$8:$I$107,0),1)</f>
        <v>1.8700000000000008</v>
      </c>
      <c r="AM160" s="64">
        <f>INDEX(角色属性!BC$8:BC$107,MATCH($D160,角色属性!$I$8:$I$107,0),1)</f>
        <v>39102</v>
      </c>
      <c r="AN160" s="64">
        <f>INDEX(角色属性!BD$8:BD$107,MATCH($D160,角色属性!$I$8:$I$107,0),1)</f>
        <v>3108</v>
      </c>
      <c r="AO160" s="69">
        <f t="shared" si="37"/>
        <v>0.43924919195333972</v>
      </c>
      <c r="AP160" s="69">
        <f t="shared" si="38"/>
        <v>0.96232922265632803</v>
      </c>
      <c r="AQ160" s="64">
        <f>AL160*角色属性!$BA$1*(AC160*(1-AO160)+MAX(AF160-AJ160,0))</f>
        <v>205461.45931435667</v>
      </c>
      <c r="AR160" s="64">
        <f>角色属性!$BA$1*(AH160*(1-AP160)+MAX(AK160-AE160,0))</f>
        <v>989.99249990058263</v>
      </c>
      <c r="AS160" s="73">
        <f t="shared" si="39"/>
        <v>0.62126211798165609</v>
      </c>
      <c r="AT160" s="73">
        <f t="shared" si="40"/>
        <v>0.4141747453211041</v>
      </c>
      <c r="AU160" s="73">
        <f t="shared" si="41"/>
        <v>0.31063105899082805</v>
      </c>
      <c r="AV160" s="73">
        <f t="shared" si="42"/>
        <v>688.10622309604332</v>
      </c>
      <c r="AW160" s="73">
        <f t="shared" si="43"/>
        <v>458.73748206402888</v>
      </c>
      <c r="AX160" s="2" t="str">
        <f t="shared" si="44"/>
        <v>r_guanqia_158</v>
      </c>
      <c r="AY160" s="2">
        <f>ROUND(($P160*R160/10/$H160/(1+VLOOKUP($I160,技能效果!$B$2:$D$101,3,FALSE))-1)*10000,0)</f>
        <v>26</v>
      </c>
      <c r="AZ160" s="2">
        <f>ROUND(($P160*S160/10/$H160/(1+VLOOKUP($I160,技能效果!$B$2:$D$101,3,FALSE))-1)*10000,0)</f>
        <v>26</v>
      </c>
      <c r="BA160" s="2">
        <f>ROUND(($P160*T160/10/$H160/(1+VLOOKUP($I160,技能效果!$B$2:$D$101,3,FALSE))-1)*10000,0)</f>
        <v>26</v>
      </c>
      <c r="BB160" s="2">
        <f>ROUND(($P160*U160/10/$H160/(1+VLOOKUP($I160,技能效果!$B$2:$D$101,3,FALSE))-1)*10000,0)</f>
        <v>26</v>
      </c>
      <c r="BC160" s="2">
        <f>ROUND(($P160*V160/10/$H160/(1+VLOOKUP($I160,技能效果!$B$2:$D$101,3,FALSE))-1)*10000,0)</f>
        <v>26</v>
      </c>
    </row>
    <row r="161" spans="2:55" x14ac:dyDescent="0.15">
      <c r="B161" s="83"/>
      <c r="C161" s="2">
        <v>159</v>
      </c>
      <c r="D161" s="2">
        <f t="shared" si="48"/>
        <v>88</v>
      </c>
      <c r="E161" s="2">
        <v>2</v>
      </c>
      <c r="F161" s="28">
        <f>INDEX([3]宠物属性!$AL$8:$AL$107,MATCH(D161,[3]宠物属性!$I$8:$I$107,0),1)</f>
        <v>353325.13042430306</v>
      </c>
      <c r="G161" s="68">
        <f>F161/INDEX(角色属性!$AI$8:$AI$107,MATCH(D161,角色属性!$I$8:$I$107,0),1)*E161</f>
        <v>1.5390659750363351</v>
      </c>
      <c r="H161" s="2">
        <f>INDEX(角色属性!$AL$8:$AL$107,MATCH(D161,角色属性!$I$8:$I$107,0),1)</f>
        <v>13106</v>
      </c>
      <c r="I161" s="2">
        <f>INDEX(角色属性!$Y$8:$Y$107,MATCH(D161,角色属性!$I$8:$I$107,0),1)</f>
        <v>88</v>
      </c>
      <c r="J161" s="28">
        <f>H161*10*(1+VLOOKUP(I161,技能效果!$B$2:$D$101,3,FALSE))</f>
        <v>176668.88000000003</v>
      </c>
      <c r="K161" s="28">
        <f>H161*10*(1+VLOOKUP(I161,技能效果!$B$2:$D$101,3,FALSE))*(1+G161)</f>
        <v>448573.94205577736</v>
      </c>
      <c r="L161" s="2">
        <f t="shared" si="34"/>
        <v>160</v>
      </c>
      <c r="M161" s="28">
        <f t="shared" si="35"/>
        <v>189189.12000000005</v>
      </c>
      <c r="N161" s="28">
        <f t="shared" si="36"/>
        <v>487295.95232648752</v>
      </c>
      <c r="O161" s="62">
        <f t="shared" si="46"/>
        <v>461514</v>
      </c>
      <c r="P161" s="62">
        <f t="shared" si="47"/>
        <v>180144</v>
      </c>
      <c r="Q161" s="64">
        <f t="shared" si="45"/>
        <v>8593</v>
      </c>
      <c r="R161" s="67">
        <v>1</v>
      </c>
      <c r="S161" s="67">
        <v>1</v>
      </c>
      <c r="T161" s="67">
        <v>1</v>
      </c>
      <c r="U161" s="67">
        <v>1</v>
      </c>
      <c r="V161" s="67">
        <v>1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64">
        <f>INDEX(角色属性!AM$8:AM$107,MATCH($D161,角色属性!$I$8:$I$107,0),1)</f>
        <v>681220</v>
      </c>
      <c r="AC161" s="64">
        <f>INDEX(角色属性!AN$8:AN$107,MATCH($D161,角色属性!$I$8:$I$107,0),1)</f>
        <v>68122</v>
      </c>
      <c r="AD161" s="64">
        <f>INDEX(角色属性!AO$8:AO$107,MATCH($D161,角色属性!$I$8:$I$107,0),1)</f>
        <v>34061</v>
      </c>
      <c r="AE161" s="64">
        <f>INDEX(角色属性!AP$8:AP$107,MATCH($D161,角色属性!$I$8:$I$107,0),1)</f>
        <v>27248.799999999999</v>
      </c>
      <c r="AF161" s="64">
        <f>INDEX(角色属性!AQ$8:AQ$107,MATCH($D161,角色属性!$I$8:$I$107,0),1)</f>
        <v>27248.799999999999</v>
      </c>
      <c r="AG161" s="64">
        <f>$P161/10/(1+VLOOKUP(I161,技能效果!$B$2:$D$101,3,FALSE))*怪物属性规划!A$18*INDEX(怪物属性等级系数!$A$2:$A$101,MATCH(D161,怪物属性等级系数!$D$2:$D$101,0),1)*R161+W161</f>
        <v>233673.96582949304</v>
      </c>
      <c r="AH161" s="64">
        <f>$P161/10/(1+VLOOKUP($I161,技能效果!$B$2:$D$101,3,FALSE))*怪物属性规划!B$18*S161+X161</f>
        <v>13363.798219584567</v>
      </c>
      <c r="AI161" s="64">
        <f>$P161/10/(1+VLOOKUP($I161,技能效果!$B$2:$D$101,3,FALSE))*怪物属性规划!C$18*T161+Y161</f>
        <v>13363.798219584567</v>
      </c>
      <c r="AJ161" s="64">
        <f>$P161/10/(1+VLOOKUP($I161,技能效果!$B$2:$D$101,3,FALSE))*怪物属性规划!D$18*U161+Z161</f>
        <v>10691.038575667655</v>
      </c>
      <c r="AK161" s="64">
        <f>$P161/10/(1+VLOOKUP($I161,技能效果!$B$2:$D$101,3,FALSE))*怪物属性规划!E$18*V161+AA161</f>
        <v>10691.038575667655</v>
      </c>
      <c r="AL161" s="67">
        <f>INDEX(角色属性!BB$8:BB$107,MATCH($D161,角色属性!$I$8:$I$107,0),1)</f>
        <v>1.8700000000000008</v>
      </c>
      <c r="AM161" s="64">
        <f>INDEX(角色属性!BC$8:BC$107,MATCH($D161,角色属性!$I$8:$I$107,0),1)</f>
        <v>39102</v>
      </c>
      <c r="AN161" s="64">
        <f>INDEX(角色属性!BD$8:BD$107,MATCH($D161,角色属性!$I$8:$I$107,0),1)</f>
        <v>3108</v>
      </c>
      <c r="AO161" s="69">
        <f t="shared" si="37"/>
        <v>0.44341202419313425</v>
      </c>
      <c r="AP161" s="69">
        <f t="shared" si="38"/>
        <v>0.96232922265632803</v>
      </c>
      <c r="AQ161" s="64">
        <f>AL161*角色属性!$BA$1*(AC161*(1-AO161)+MAX(AF161-AJ161,0))</f>
        <v>203731.44169580631</v>
      </c>
      <c r="AR161" s="64">
        <f>角色属性!$BA$1*(AH161*(1-AP161)+MAX(AK161-AE161,0))</f>
        <v>1006.8493343914602</v>
      </c>
      <c r="AS161" s="73">
        <f t="shared" si="39"/>
        <v>0.63720586682495439</v>
      </c>
      <c r="AT161" s="73">
        <f t="shared" si="40"/>
        <v>0.42480391121663624</v>
      </c>
      <c r="AU161" s="73">
        <f t="shared" si="41"/>
        <v>0.3186029334124772</v>
      </c>
      <c r="AV161" s="73">
        <f t="shared" si="42"/>
        <v>676.58583735542663</v>
      </c>
      <c r="AW161" s="73">
        <f t="shared" si="43"/>
        <v>451.05722490361774</v>
      </c>
      <c r="AX161" s="2" t="str">
        <f t="shared" si="44"/>
        <v>r_guanqia_159</v>
      </c>
      <c r="AY161" s="2">
        <f>ROUND(($P161*R161/10/$H161/(1+VLOOKUP($I161,技能效果!$B$2:$D$101,3,FALSE))-1)*10000,0)</f>
        <v>197</v>
      </c>
      <c r="AZ161" s="2">
        <f>ROUND(($P161*S161/10/$H161/(1+VLOOKUP($I161,技能效果!$B$2:$D$101,3,FALSE))-1)*10000,0)</f>
        <v>197</v>
      </c>
      <c r="BA161" s="2">
        <f>ROUND(($P161*T161/10/$H161/(1+VLOOKUP($I161,技能效果!$B$2:$D$101,3,FALSE))-1)*10000,0)</f>
        <v>197</v>
      </c>
      <c r="BB161" s="2">
        <f>ROUND(($P161*U161/10/$H161/(1+VLOOKUP($I161,技能效果!$B$2:$D$101,3,FALSE))-1)*10000,0)</f>
        <v>197</v>
      </c>
      <c r="BC161" s="2">
        <f>ROUND(($P161*V161/10/$H161/(1+VLOOKUP($I161,技能效果!$B$2:$D$101,3,FALSE))-1)*10000,0)</f>
        <v>197</v>
      </c>
    </row>
    <row r="162" spans="2:55" x14ac:dyDescent="0.15">
      <c r="B162" s="83"/>
      <c r="C162" s="2">
        <v>160</v>
      </c>
      <c r="D162" s="2">
        <f t="shared" si="48"/>
        <v>90</v>
      </c>
      <c r="E162" s="2">
        <v>2</v>
      </c>
      <c r="F162" s="28">
        <f>INDEX([3]宠物属性!$AL$8:$AL$107,MATCH(D162,[3]宠物属性!$I$8:$I$107,0),1)</f>
        <v>374471.06818764471</v>
      </c>
      <c r="G162" s="68">
        <f>F162/INDEX(角色属性!$AI$8:$AI$107,MATCH(D162,角色属性!$I$8:$I$107,0),1)*E162</f>
        <v>1.5757081185561166</v>
      </c>
      <c r="H162" s="2">
        <f>INDEX(角色属性!$AL$8:$AL$107,MATCH(D162,角色属性!$I$8:$I$107,0),1)</f>
        <v>13952</v>
      </c>
      <c r="I162" s="2">
        <f>INDEX(角色属性!$Y$8:$Y$107,MATCH(D162,角色属性!$I$8:$I$107,0),1)</f>
        <v>90</v>
      </c>
      <c r="J162" s="28">
        <f>H162*10*(1+VLOOKUP(I162,技能效果!$B$2:$D$101,3,FALSE))</f>
        <v>189189.12000000005</v>
      </c>
      <c r="K162" s="28">
        <f>H162*10*(1+VLOOKUP(I162,技能效果!$B$2:$D$101,3,FALSE))*(1+G162)</f>
        <v>487295.95232648752</v>
      </c>
      <c r="L162" s="2">
        <f t="shared" si="34"/>
        <v>160</v>
      </c>
      <c r="M162" s="28">
        <f t="shared" si="35"/>
        <v>189189.12000000005</v>
      </c>
      <c r="N162" s="28">
        <f t="shared" si="36"/>
        <v>487295.95232648752</v>
      </c>
      <c r="O162" s="62">
        <f t="shared" si="46"/>
        <v>487296</v>
      </c>
      <c r="P162" s="62">
        <f t="shared" si="47"/>
        <v>189189</v>
      </c>
      <c r="Q162" s="64">
        <f t="shared" si="45"/>
        <v>25782</v>
      </c>
      <c r="R162" s="67">
        <v>1</v>
      </c>
      <c r="S162" s="67">
        <v>1</v>
      </c>
      <c r="T162" s="67">
        <v>1</v>
      </c>
      <c r="U162" s="67">
        <v>1</v>
      </c>
      <c r="V162" s="67">
        <v>1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64">
        <f>INDEX(角色属性!AM$8:AM$107,MATCH($D162,角色属性!$I$8:$I$107,0),1)</f>
        <v>701040</v>
      </c>
      <c r="AC162" s="64">
        <f>INDEX(角色属性!AN$8:AN$107,MATCH($D162,角色属性!$I$8:$I$107,0),1)</f>
        <v>70104</v>
      </c>
      <c r="AD162" s="64">
        <f>INDEX(角色属性!AO$8:AO$107,MATCH($D162,角色属性!$I$8:$I$107,0),1)</f>
        <v>35052</v>
      </c>
      <c r="AE162" s="64">
        <f>INDEX(角色属性!AP$8:AP$107,MATCH($D162,角色属性!$I$8:$I$107,0),1)</f>
        <v>28041.599999999999</v>
      </c>
      <c r="AF162" s="64">
        <f>INDEX(角色属性!AQ$8:AQ$107,MATCH($D162,角色属性!$I$8:$I$107,0),1)</f>
        <v>28041.599999999999</v>
      </c>
      <c r="AG162" s="64">
        <f>$P162/10/(1+VLOOKUP(I162,技能效果!$B$2:$D$101,3,FALSE))*怪物属性规划!A$18*INDEX(怪物属性等级系数!$A$2:$A$101,MATCH(D162,怪物属性等级系数!$D$2:$D$101,0),1)*R162+W162</f>
        <v>249202.73075734207</v>
      </c>
      <c r="AH162" s="64">
        <f>$P162/10/(1+VLOOKUP($I162,技能效果!$B$2:$D$101,3,FALSE))*怪物属性规划!B$18*S162+X162</f>
        <v>13951.991150442476</v>
      </c>
      <c r="AI162" s="64">
        <f>$P162/10/(1+VLOOKUP($I162,技能效果!$B$2:$D$101,3,FALSE))*怪物属性规划!C$18*T162+Y162</f>
        <v>13951.991150442476</v>
      </c>
      <c r="AJ162" s="64">
        <f>$P162/10/(1+VLOOKUP($I162,技能效果!$B$2:$D$101,3,FALSE))*怪物属性规划!D$18*U162+Z162</f>
        <v>11161.592920353982</v>
      </c>
      <c r="AK162" s="64">
        <f>$P162/10/(1+VLOOKUP($I162,技能效果!$B$2:$D$101,3,FALSE))*怪物属性规划!E$18*V162+AA162</f>
        <v>11161.592920353982</v>
      </c>
      <c r="AL162" s="67">
        <f>INDEX(角色属性!BB$8:BB$107,MATCH($D162,角色属性!$I$8:$I$107,0),1)</f>
        <v>1.8900000000000008</v>
      </c>
      <c r="AM162" s="64">
        <f>INDEX(角色属性!BC$8:BC$107,MATCH($D162,角色属性!$I$8:$I$107,0),1)</f>
        <v>42656</v>
      </c>
      <c r="AN162" s="64">
        <f>INDEX(角色属性!BD$8:BD$107,MATCH($D162,角色属性!$I$8:$I$107,0),1)</f>
        <v>3211</v>
      </c>
      <c r="AO162" s="69">
        <f t="shared" si="37"/>
        <v>0.43260089783226341</v>
      </c>
      <c r="AP162" s="69">
        <f t="shared" si="38"/>
        <v>0.9621867365308886</v>
      </c>
      <c r="AQ162" s="64">
        <f>AL162*角色属性!$BA$1*(AC162*(1-AO162)+MAX(AF162-AJ162,0))</f>
        <v>214163.28512968932</v>
      </c>
      <c r="AR162" s="64">
        <f>角色属性!$BA$1*(AH162*(1-AP162)+MAX(AK162-AE162,0))</f>
        <v>1055.1406345807841</v>
      </c>
      <c r="AS162" s="73">
        <f t="shared" si="39"/>
        <v>0.64645049429466395</v>
      </c>
      <c r="AT162" s="73">
        <f t="shared" si="40"/>
        <v>0.43096699619644263</v>
      </c>
      <c r="AU162" s="73">
        <f t="shared" si="41"/>
        <v>0.32322524714733197</v>
      </c>
      <c r="AV162" s="73">
        <f t="shared" si="42"/>
        <v>664.40432395870039</v>
      </c>
      <c r="AW162" s="73">
        <f t="shared" si="43"/>
        <v>442.93621597246693</v>
      </c>
      <c r="AX162" s="2" t="str">
        <f t="shared" si="44"/>
        <v>r_guanqia_160</v>
      </c>
      <c r="AY162" s="2">
        <f>ROUND(($P162*R162/10/$H162/(1+VLOOKUP($I162,技能效果!$B$2:$D$101,3,FALSE))-1)*10000,0)</f>
        <v>0</v>
      </c>
      <c r="AZ162" s="2">
        <f>ROUND(($P162*S162/10/$H162/(1+VLOOKUP($I162,技能效果!$B$2:$D$101,3,FALSE))-1)*10000,0)</f>
        <v>0</v>
      </c>
      <c r="BA162" s="2">
        <f>ROUND(($P162*T162/10/$H162/(1+VLOOKUP($I162,技能效果!$B$2:$D$101,3,FALSE))-1)*10000,0)</f>
        <v>0</v>
      </c>
      <c r="BB162" s="2">
        <f>ROUND(($P162*U162/10/$H162/(1+VLOOKUP($I162,技能效果!$B$2:$D$101,3,FALSE))-1)*10000,0)</f>
        <v>0</v>
      </c>
      <c r="BC162" s="2">
        <f>ROUND(($P162*V162/10/$H162/(1+VLOOKUP($I162,技能效果!$B$2:$D$101,3,FALSE))-1)*10000,0)</f>
        <v>0</v>
      </c>
    </row>
    <row r="163" spans="2:55" x14ac:dyDescent="0.15">
      <c r="B163" s="83" t="s">
        <v>128</v>
      </c>
      <c r="C163" s="2">
        <v>161</v>
      </c>
      <c r="D163" s="2">
        <f t="shared" si="48"/>
        <v>90</v>
      </c>
      <c r="E163" s="2">
        <v>2</v>
      </c>
      <c r="F163" s="28">
        <f>INDEX([3]宠物属性!$AL$8:$AL$107,MATCH(D163,[3]宠物属性!$I$8:$I$107,0),1)</f>
        <v>374471.06818764471</v>
      </c>
      <c r="G163" s="68">
        <f>F163/INDEX(角色属性!$AI$8:$AI$107,MATCH(D163,角色属性!$I$8:$I$107,0),1)*E163</f>
        <v>1.5757081185561166</v>
      </c>
      <c r="H163" s="2">
        <f>INDEX(角色属性!$AL$8:$AL$107,MATCH(D163,角色属性!$I$8:$I$107,0),1)</f>
        <v>13952</v>
      </c>
      <c r="I163" s="2">
        <f>INDEX(角色属性!$Y$8:$Y$107,MATCH(D163,角色属性!$I$8:$I$107,0),1)</f>
        <v>90</v>
      </c>
      <c r="J163" s="28">
        <f>H163*10*(1+VLOOKUP(I163,技能效果!$B$2:$D$101,3,FALSE))</f>
        <v>189189.12000000005</v>
      </c>
      <c r="K163" s="28">
        <f>H163*10*(1+VLOOKUP(I163,技能效果!$B$2:$D$101,3,FALSE))*(1+G163)</f>
        <v>487295.95232648752</v>
      </c>
      <c r="L163" s="2">
        <f t="shared" si="34"/>
        <v>170</v>
      </c>
      <c r="M163" s="28">
        <f t="shared" si="35"/>
        <v>223297.28000000006</v>
      </c>
      <c r="N163" s="28">
        <f t="shared" si="36"/>
        <v>587499.67989759764</v>
      </c>
      <c r="O163" s="62">
        <f t="shared" si="46"/>
        <v>490302</v>
      </c>
      <c r="P163" s="62">
        <f t="shared" si="47"/>
        <v>190212</v>
      </c>
      <c r="Q163" s="64">
        <f t="shared" si="45"/>
        <v>3006</v>
      </c>
      <c r="R163" s="67">
        <v>1</v>
      </c>
      <c r="S163" s="67">
        <v>1</v>
      </c>
      <c r="T163" s="67">
        <v>1</v>
      </c>
      <c r="U163" s="67">
        <v>1</v>
      </c>
      <c r="V163" s="67">
        <v>1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64">
        <f>INDEX(角色属性!AM$8:AM$107,MATCH($D163,角色属性!$I$8:$I$107,0),1)</f>
        <v>701040</v>
      </c>
      <c r="AC163" s="64">
        <f>INDEX(角色属性!AN$8:AN$107,MATCH($D163,角色属性!$I$8:$I$107,0),1)</f>
        <v>70104</v>
      </c>
      <c r="AD163" s="64">
        <f>INDEX(角色属性!AO$8:AO$107,MATCH($D163,角色属性!$I$8:$I$107,0),1)</f>
        <v>35052</v>
      </c>
      <c r="AE163" s="64">
        <f>INDEX(角色属性!AP$8:AP$107,MATCH($D163,角色属性!$I$8:$I$107,0),1)</f>
        <v>28041.599999999999</v>
      </c>
      <c r="AF163" s="64">
        <f>INDEX(角色属性!AQ$8:AQ$107,MATCH($D163,角色属性!$I$8:$I$107,0),1)</f>
        <v>28041.599999999999</v>
      </c>
      <c r="AG163" s="64">
        <f>$P163/10/(1+VLOOKUP(I163,技能效果!$B$2:$D$101,3,FALSE))*怪物属性规划!A$18*INDEX(怪物属性等级系数!$A$2:$A$101,MATCH(D163,怪物属性等级系数!$D$2:$D$101,0),1)*R163+W163</f>
        <v>250550.24247083892</v>
      </c>
      <c r="AH163" s="64">
        <f>$P163/10/(1+VLOOKUP($I163,技能效果!$B$2:$D$101,3,FALSE))*怪物属性规划!B$18*S163+X163</f>
        <v>14027.433628318582</v>
      </c>
      <c r="AI163" s="64">
        <f>$P163/10/(1+VLOOKUP($I163,技能效果!$B$2:$D$101,3,FALSE))*怪物属性规划!C$18*T163+Y163</f>
        <v>14027.433628318582</v>
      </c>
      <c r="AJ163" s="64">
        <f>$P163/10/(1+VLOOKUP($I163,技能效果!$B$2:$D$101,3,FALSE))*怪物属性规划!D$18*U163+Z163</f>
        <v>11221.946902654867</v>
      </c>
      <c r="AK163" s="64">
        <f>$P163/10/(1+VLOOKUP($I163,技能效果!$B$2:$D$101,3,FALSE))*怪物属性规划!E$18*V163+AA163</f>
        <v>11221.946902654867</v>
      </c>
      <c r="AL163" s="67">
        <f>INDEX(角色属性!BB$8:BB$107,MATCH($D163,角色属性!$I$8:$I$107,0),1)</f>
        <v>1.8900000000000008</v>
      </c>
      <c r="AM163" s="64">
        <f>INDEX(角色属性!BC$8:BC$107,MATCH($D163,角色属性!$I$8:$I$107,0),1)</f>
        <v>42656</v>
      </c>
      <c r="AN163" s="64">
        <f>INDEX(角色属性!BD$8:BD$107,MATCH($D163,角色属性!$I$8:$I$107,0),1)</f>
        <v>3211</v>
      </c>
      <c r="AO163" s="69">
        <f t="shared" si="37"/>
        <v>0.43392505976301388</v>
      </c>
      <c r="AP163" s="69">
        <f t="shared" si="38"/>
        <v>0.9621867365308886</v>
      </c>
      <c r="AQ163" s="64">
        <f>AL163*角色属性!$BA$1*(AC163*(1-AO163)+MAX(AF163-AJ163,0))</f>
        <v>213584.25327517715</v>
      </c>
      <c r="AR163" s="64">
        <f>角色属性!$BA$1*(AH163*(1-AP163)+MAX(AK163-AE163,0))</f>
        <v>1060.8460871661678</v>
      </c>
      <c r="AS163" s="73">
        <f t="shared" si="39"/>
        <v>0.65170805907273932</v>
      </c>
      <c r="AT163" s="73">
        <f t="shared" si="40"/>
        <v>0.43447203938182616</v>
      </c>
      <c r="AU163" s="73">
        <f t="shared" si="41"/>
        <v>0.32585402953636966</v>
      </c>
      <c r="AV163" s="73">
        <f t="shared" si="42"/>
        <v>660.83101826079621</v>
      </c>
      <c r="AW163" s="73">
        <f t="shared" si="43"/>
        <v>440.55401217386412</v>
      </c>
      <c r="AX163" s="2" t="str">
        <f t="shared" si="44"/>
        <v>r_guanqia_161</v>
      </c>
      <c r="AY163" s="2">
        <f>ROUND(($P163*R163/10/$H163/(1+VLOOKUP($I163,技能效果!$B$2:$D$101,3,FALSE))-1)*10000,0)</f>
        <v>54</v>
      </c>
      <c r="AZ163" s="2">
        <f>ROUND(($P163*S163/10/$H163/(1+VLOOKUP($I163,技能效果!$B$2:$D$101,3,FALSE))-1)*10000,0)</f>
        <v>54</v>
      </c>
      <c r="BA163" s="2">
        <f>ROUND(($P163*T163/10/$H163/(1+VLOOKUP($I163,技能效果!$B$2:$D$101,3,FALSE))-1)*10000,0)</f>
        <v>54</v>
      </c>
      <c r="BB163" s="2">
        <f>ROUND(($P163*U163/10/$H163/(1+VLOOKUP($I163,技能效果!$B$2:$D$101,3,FALSE))-1)*10000,0)</f>
        <v>54</v>
      </c>
      <c r="BC163" s="2">
        <f>ROUND(($P163*V163/10/$H163/(1+VLOOKUP($I163,技能效果!$B$2:$D$101,3,FALSE))-1)*10000,0)</f>
        <v>54</v>
      </c>
    </row>
    <row r="164" spans="2:55" x14ac:dyDescent="0.15">
      <c r="B164" s="83"/>
      <c r="C164" s="2">
        <v>162</v>
      </c>
      <c r="D164" s="2">
        <f t="shared" si="48"/>
        <v>90</v>
      </c>
      <c r="E164" s="2">
        <v>2</v>
      </c>
      <c r="F164" s="28">
        <f>INDEX([3]宠物属性!$AL$8:$AL$107,MATCH(D164,[3]宠物属性!$I$8:$I$107,0),1)</f>
        <v>374471.06818764471</v>
      </c>
      <c r="G164" s="68">
        <f>F164/INDEX(角色属性!$AI$8:$AI$107,MATCH(D164,角色属性!$I$8:$I$107,0),1)*E164</f>
        <v>1.5757081185561166</v>
      </c>
      <c r="H164" s="2">
        <f>INDEX(角色属性!$AL$8:$AL$107,MATCH(D164,角色属性!$I$8:$I$107,0),1)</f>
        <v>13952</v>
      </c>
      <c r="I164" s="2">
        <f>INDEX(角色属性!$Y$8:$Y$107,MATCH(D164,角色属性!$I$8:$I$107,0),1)</f>
        <v>90</v>
      </c>
      <c r="J164" s="28">
        <f>H164*10*(1+VLOOKUP(I164,技能效果!$B$2:$D$101,3,FALSE))</f>
        <v>189189.12000000005</v>
      </c>
      <c r="K164" s="28">
        <f>H164*10*(1+VLOOKUP(I164,技能效果!$B$2:$D$101,3,FALSE))*(1+G164)</f>
        <v>487295.95232648752</v>
      </c>
      <c r="L164" s="2">
        <f t="shared" si="34"/>
        <v>170</v>
      </c>
      <c r="M164" s="28">
        <f t="shared" si="35"/>
        <v>223297.28000000006</v>
      </c>
      <c r="N164" s="28">
        <f t="shared" si="36"/>
        <v>587499.67989759764</v>
      </c>
      <c r="O164" s="62">
        <f t="shared" si="46"/>
        <v>495312</v>
      </c>
      <c r="P164" s="62">
        <f t="shared" si="47"/>
        <v>191918</v>
      </c>
      <c r="Q164" s="64">
        <f t="shared" si="45"/>
        <v>5010</v>
      </c>
      <c r="R164" s="67">
        <v>1</v>
      </c>
      <c r="S164" s="67">
        <v>1</v>
      </c>
      <c r="T164" s="67">
        <v>1</v>
      </c>
      <c r="U164" s="67">
        <v>1</v>
      </c>
      <c r="V164" s="67">
        <v>1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64">
        <f>INDEX(角色属性!AM$8:AM$107,MATCH($D164,角色属性!$I$8:$I$107,0),1)</f>
        <v>701040</v>
      </c>
      <c r="AC164" s="64">
        <f>INDEX(角色属性!AN$8:AN$107,MATCH($D164,角色属性!$I$8:$I$107,0),1)</f>
        <v>70104</v>
      </c>
      <c r="AD164" s="64">
        <f>INDEX(角色属性!AO$8:AO$107,MATCH($D164,角色属性!$I$8:$I$107,0),1)</f>
        <v>35052</v>
      </c>
      <c r="AE164" s="64">
        <f>INDEX(角色属性!AP$8:AP$107,MATCH($D164,角色属性!$I$8:$I$107,0),1)</f>
        <v>28041.599999999999</v>
      </c>
      <c r="AF164" s="64">
        <f>INDEX(角色属性!AQ$8:AQ$107,MATCH($D164,角色属性!$I$8:$I$107,0),1)</f>
        <v>28041.599999999999</v>
      </c>
      <c r="AG164" s="64">
        <f>$P164/10/(1+VLOOKUP(I164,技能效果!$B$2:$D$101,3,FALSE))*怪物属性规划!A$18*INDEX(怪物属性等级系数!$A$2:$A$101,MATCH(D164,怪物属性等级系数!$D$2:$D$101,0),1)*R164+W164</f>
        <v>252797.41254241826</v>
      </c>
      <c r="AH164" s="64">
        <f>$P164/10/(1+VLOOKUP($I164,技能效果!$B$2:$D$101,3,FALSE))*怪物属性规划!B$18*S164+X164</f>
        <v>14153.244837758108</v>
      </c>
      <c r="AI164" s="64">
        <f>$P164/10/(1+VLOOKUP($I164,技能效果!$B$2:$D$101,3,FALSE))*怪物属性规划!C$18*T164+Y164</f>
        <v>14153.244837758108</v>
      </c>
      <c r="AJ164" s="64">
        <f>$P164/10/(1+VLOOKUP($I164,技能效果!$B$2:$D$101,3,FALSE))*怪物属性规划!D$18*U164+Z164</f>
        <v>11322.595870206487</v>
      </c>
      <c r="AK164" s="64">
        <f>$P164/10/(1+VLOOKUP($I164,技能效果!$B$2:$D$101,3,FALSE))*怪物属性规划!E$18*V164+AA164</f>
        <v>11322.595870206487</v>
      </c>
      <c r="AL164" s="67">
        <f>INDEX(角色属性!BB$8:BB$107,MATCH($D164,角色属性!$I$8:$I$107,0),1)</f>
        <v>1.8900000000000008</v>
      </c>
      <c r="AM164" s="64">
        <f>INDEX(角色属性!BC$8:BC$107,MATCH($D164,角色属性!$I$8:$I$107,0),1)</f>
        <v>42656</v>
      </c>
      <c r="AN164" s="64">
        <f>INDEX(角色属性!BD$8:BD$107,MATCH($D164,角色属性!$I$8:$I$107,0),1)</f>
        <v>3211</v>
      </c>
      <c r="AO164" s="69">
        <f t="shared" si="37"/>
        <v>0.43611959646570136</v>
      </c>
      <c r="AP164" s="69">
        <f t="shared" si="38"/>
        <v>0.9621867365308886</v>
      </c>
      <c r="AQ164" s="64">
        <f>AL164*角色属性!$BA$1*(AC164*(1-AO164)+MAX(AF164-AJ164,0))</f>
        <v>212622.26305003237</v>
      </c>
      <c r="AR164" s="64">
        <f>角色属性!$BA$1*(AH164*(1-AP164)+MAX(AK164-AE164,0))</f>
        <v>1070.3607519859763</v>
      </c>
      <c r="AS164" s="73">
        <f t="shared" si="39"/>
        <v>0.66052822951546863</v>
      </c>
      <c r="AT164" s="73">
        <f t="shared" si="40"/>
        <v>0.44035215301031244</v>
      </c>
      <c r="AU164" s="73">
        <f t="shared" si="41"/>
        <v>0.33026411475773432</v>
      </c>
      <c r="AV164" s="73">
        <f t="shared" si="42"/>
        <v>654.95675051544197</v>
      </c>
      <c r="AW164" s="73">
        <f t="shared" si="43"/>
        <v>436.63783367696129</v>
      </c>
      <c r="AX164" s="2" t="str">
        <f t="shared" si="44"/>
        <v>r_guanqia_162</v>
      </c>
      <c r="AY164" s="2">
        <f>ROUND(($P164*R164/10/$H164/(1+VLOOKUP($I164,技能效果!$B$2:$D$101,3,FALSE))-1)*10000,0)</f>
        <v>144</v>
      </c>
      <c r="AZ164" s="2">
        <f>ROUND(($P164*S164/10/$H164/(1+VLOOKUP($I164,技能效果!$B$2:$D$101,3,FALSE))-1)*10000,0)</f>
        <v>144</v>
      </c>
      <c r="BA164" s="2">
        <f>ROUND(($P164*T164/10/$H164/(1+VLOOKUP($I164,技能效果!$B$2:$D$101,3,FALSE))-1)*10000,0)</f>
        <v>144</v>
      </c>
      <c r="BB164" s="2">
        <f>ROUND(($P164*U164/10/$H164/(1+VLOOKUP($I164,技能效果!$B$2:$D$101,3,FALSE))-1)*10000,0)</f>
        <v>144</v>
      </c>
      <c r="BC164" s="2">
        <f>ROUND(($P164*V164/10/$H164/(1+VLOOKUP($I164,技能效果!$B$2:$D$101,3,FALSE))-1)*10000,0)</f>
        <v>144</v>
      </c>
    </row>
    <row r="165" spans="2:55" x14ac:dyDescent="0.15">
      <c r="B165" s="83"/>
      <c r="C165" s="2">
        <v>163</v>
      </c>
      <c r="D165" s="2">
        <f t="shared" si="48"/>
        <v>91</v>
      </c>
      <c r="E165" s="2">
        <v>2</v>
      </c>
      <c r="F165" s="28">
        <f>INDEX([3]宠物属性!$AL$8:$AL$107,MATCH(D165,[3]宠物属性!$I$8:$I$107,0),1)</f>
        <v>377718.65091760812</v>
      </c>
      <c r="G165" s="68">
        <f>F165/INDEX(角色属性!$AI$8:$AI$107,MATCH(D165,角色属性!$I$8:$I$107,0),1)*E165</f>
        <v>1.5817655388860097</v>
      </c>
      <c r="H165" s="2">
        <f>INDEX(角色属性!$AL$8:$AL$107,MATCH(D165,角色属性!$I$8:$I$107,0),1)</f>
        <v>14389</v>
      </c>
      <c r="I165" s="2">
        <f>INDEX(角色属性!$Y$8:$Y$107,MATCH(D165,角色属性!$I$8:$I$107,0),1)</f>
        <v>91</v>
      </c>
      <c r="J165" s="28">
        <f>H165*10*(1+VLOOKUP(I165,技能效果!$B$2:$D$101,3,FALSE))</f>
        <v>195690.40000000005</v>
      </c>
      <c r="K165" s="28">
        <f>H165*10*(1+VLOOKUP(I165,技能效果!$B$2:$D$101,3,FALSE))*(1+G165)</f>
        <v>505226.73101081885</v>
      </c>
      <c r="L165" s="2">
        <f t="shared" si="34"/>
        <v>170</v>
      </c>
      <c r="M165" s="28">
        <f t="shared" si="35"/>
        <v>223297.28000000006</v>
      </c>
      <c r="N165" s="28">
        <f t="shared" si="36"/>
        <v>587499.67989759764</v>
      </c>
      <c r="O165" s="62">
        <f t="shared" si="46"/>
        <v>502327</v>
      </c>
      <c r="P165" s="62">
        <f t="shared" si="47"/>
        <v>194305</v>
      </c>
      <c r="Q165" s="64">
        <f t="shared" si="45"/>
        <v>7015</v>
      </c>
      <c r="R165" s="67">
        <v>1</v>
      </c>
      <c r="S165" s="67">
        <v>1</v>
      </c>
      <c r="T165" s="67">
        <v>1</v>
      </c>
      <c r="U165" s="67">
        <v>1</v>
      </c>
      <c r="V165" s="67">
        <v>1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64">
        <f>INDEX(角色属性!AM$8:AM$107,MATCH($D165,角色属性!$I$8:$I$107,0),1)</f>
        <v>702340</v>
      </c>
      <c r="AC165" s="64">
        <f>INDEX(角色属性!AN$8:AN$107,MATCH($D165,角色属性!$I$8:$I$107,0),1)</f>
        <v>70234</v>
      </c>
      <c r="AD165" s="64">
        <f>INDEX(角色属性!AO$8:AO$107,MATCH($D165,角色属性!$I$8:$I$107,0),1)</f>
        <v>35117</v>
      </c>
      <c r="AE165" s="64">
        <f>INDEX(角色属性!AP$8:AP$107,MATCH($D165,角色属性!$I$8:$I$107,0),1)</f>
        <v>28093.599999999999</v>
      </c>
      <c r="AF165" s="64">
        <f>INDEX(角色属性!AQ$8:AQ$107,MATCH($D165,角色属性!$I$8:$I$107,0),1)</f>
        <v>28093.599999999999</v>
      </c>
      <c r="AG165" s="64">
        <f>$P165/10/(1+VLOOKUP(I165,技能效果!$B$2:$D$101,3,FALSE))*怪物属性规划!A$18*INDEX(怪物属性等级系数!$A$2:$A$101,MATCH(D165,怪物属性等级系数!$D$2:$D$101,0),1)*R165+W165</f>
        <v>257885.8835013386</v>
      </c>
      <c r="AH165" s="64">
        <f>$P165/10/(1+VLOOKUP($I165,技能效果!$B$2:$D$101,3,FALSE))*怪物属性规划!B$18*S165+X165</f>
        <v>14287.132352941173</v>
      </c>
      <c r="AI165" s="64">
        <f>$P165/10/(1+VLOOKUP($I165,技能效果!$B$2:$D$101,3,FALSE))*怪物属性规划!C$18*T165+Y165</f>
        <v>14287.132352941173</v>
      </c>
      <c r="AJ165" s="64">
        <f>$P165/10/(1+VLOOKUP($I165,技能效果!$B$2:$D$101,3,FALSE))*怪物属性规划!D$18*U165+Z165</f>
        <v>11429.705882352939</v>
      </c>
      <c r="AK165" s="64">
        <f>$P165/10/(1+VLOOKUP($I165,技能效果!$B$2:$D$101,3,FALSE))*怪物属性规划!E$18*V165+AA165</f>
        <v>11429.705882352939</v>
      </c>
      <c r="AL165" s="67">
        <f>INDEX(角色属性!BB$8:BB$107,MATCH($D165,角色属性!$I$8:$I$107,0),1)</f>
        <v>1.9000000000000008</v>
      </c>
      <c r="AM165" s="64">
        <f>INDEX(角色属性!BC$8:BC$107,MATCH($D165,角色属性!$I$8:$I$107,0),1)</f>
        <v>44533</v>
      </c>
      <c r="AN165" s="64">
        <f>INDEX(角色属性!BD$8:BD$107,MATCH($D165,角色属性!$I$8:$I$107,0),1)</f>
        <v>3202</v>
      </c>
      <c r="AO165" s="69">
        <f t="shared" si="37"/>
        <v>0.42786363443810932</v>
      </c>
      <c r="AP165" s="69">
        <f t="shared" si="38"/>
        <v>0.96235589941951705</v>
      </c>
      <c r="AQ165" s="64">
        <f>AL165*角色属性!$BA$1*(AC165*(1-AO165)+MAX(AF165-AJ165,0))</f>
        <v>216019.8145427795</v>
      </c>
      <c r="AR165" s="64">
        <f>角色属性!$BA$1*(AH165*(1-AP165)+MAX(AK165-AE165,0))</f>
        <v>1075.6524946015791</v>
      </c>
      <c r="AS165" s="73">
        <f t="shared" si="39"/>
        <v>0.66322589703987067</v>
      </c>
      <c r="AT165" s="73">
        <f t="shared" si="40"/>
        <v>0.44215059802658047</v>
      </c>
      <c r="AU165" s="73">
        <f t="shared" si="41"/>
        <v>0.33161294851993534</v>
      </c>
      <c r="AV165" s="73">
        <f t="shared" si="42"/>
        <v>652.94321681478209</v>
      </c>
      <c r="AW165" s="73">
        <f t="shared" si="43"/>
        <v>435.29547787652132</v>
      </c>
      <c r="AX165" s="2" t="str">
        <f t="shared" si="44"/>
        <v>r_guanqia_163</v>
      </c>
      <c r="AY165" s="2">
        <f>ROUND(($P165*R165/10/$H165/(1+VLOOKUP($I165,技能效果!$B$2:$D$101,3,FALSE))-1)*10000,0)</f>
        <v>-71</v>
      </c>
      <c r="AZ165" s="2">
        <f>ROUND(($P165*S165/10/$H165/(1+VLOOKUP($I165,技能效果!$B$2:$D$101,3,FALSE))-1)*10000,0)</f>
        <v>-71</v>
      </c>
      <c r="BA165" s="2">
        <f>ROUND(($P165*T165/10/$H165/(1+VLOOKUP($I165,技能效果!$B$2:$D$101,3,FALSE))-1)*10000,0)</f>
        <v>-71</v>
      </c>
      <c r="BB165" s="2">
        <f>ROUND(($P165*U165/10/$H165/(1+VLOOKUP($I165,技能效果!$B$2:$D$101,3,FALSE))-1)*10000,0)</f>
        <v>-71</v>
      </c>
      <c r="BC165" s="2">
        <f>ROUND(($P165*V165/10/$H165/(1+VLOOKUP($I165,技能效果!$B$2:$D$101,3,FALSE))-1)*10000,0)</f>
        <v>-71</v>
      </c>
    </row>
    <row r="166" spans="2:55" x14ac:dyDescent="0.15">
      <c r="B166" s="83"/>
      <c r="C166" s="2">
        <v>164</v>
      </c>
      <c r="D166" s="2">
        <f t="shared" si="48"/>
        <v>91</v>
      </c>
      <c r="E166" s="2">
        <v>2</v>
      </c>
      <c r="F166" s="28">
        <f>INDEX([3]宠物属性!$AL$8:$AL$107,MATCH(D166,[3]宠物属性!$I$8:$I$107,0),1)</f>
        <v>377718.65091760812</v>
      </c>
      <c r="G166" s="68">
        <f>F166/INDEX(角色属性!$AI$8:$AI$107,MATCH(D166,角色属性!$I$8:$I$107,0),1)*E166</f>
        <v>1.5817655388860097</v>
      </c>
      <c r="H166" s="2">
        <f>INDEX(角色属性!$AL$8:$AL$107,MATCH(D166,角色属性!$I$8:$I$107,0),1)</f>
        <v>14389</v>
      </c>
      <c r="I166" s="2">
        <f>INDEX(角色属性!$Y$8:$Y$107,MATCH(D166,角色属性!$I$8:$I$107,0),1)</f>
        <v>91</v>
      </c>
      <c r="J166" s="28">
        <f>H166*10*(1+VLOOKUP(I166,技能效果!$B$2:$D$101,3,FALSE))</f>
        <v>195690.40000000005</v>
      </c>
      <c r="K166" s="28">
        <f>H166*10*(1+VLOOKUP(I166,技能效果!$B$2:$D$101,3,FALSE))*(1+G166)</f>
        <v>505226.73101081885</v>
      </c>
      <c r="L166" s="2">
        <f t="shared" si="34"/>
        <v>170</v>
      </c>
      <c r="M166" s="28">
        <f t="shared" si="35"/>
        <v>223297.28000000006</v>
      </c>
      <c r="N166" s="28">
        <f t="shared" si="36"/>
        <v>587499.67989759764</v>
      </c>
      <c r="O166" s="62">
        <f t="shared" si="46"/>
        <v>511345</v>
      </c>
      <c r="P166" s="62">
        <f t="shared" si="47"/>
        <v>197375</v>
      </c>
      <c r="Q166" s="64">
        <f t="shared" si="45"/>
        <v>9018</v>
      </c>
      <c r="R166" s="67">
        <v>1</v>
      </c>
      <c r="S166" s="67">
        <v>1</v>
      </c>
      <c r="T166" s="67">
        <v>1</v>
      </c>
      <c r="U166" s="67">
        <v>1</v>
      </c>
      <c r="V166" s="67">
        <v>1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64">
        <f>INDEX(角色属性!AM$8:AM$107,MATCH($D166,角色属性!$I$8:$I$107,0),1)</f>
        <v>702340</v>
      </c>
      <c r="AC166" s="64">
        <f>INDEX(角色属性!AN$8:AN$107,MATCH($D166,角色属性!$I$8:$I$107,0),1)</f>
        <v>70234</v>
      </c>
      <c r="AD166" s="64">
        <f>INDEX(角色属性!AO$8:AO$107,MATCH($D166,角色属性!$I$8:$I$107,0),1)</f>
        <v>35117</v>
      </c>
      <c r="AE166" s="64">
        <f>INDEX(角色属性!AP$8:AP$107,MATCH($D166,角色属性!$I$8:$I$107,0),1)</f>
        <v>28093.599999999999</v>
      </c>
      <c r="AF166" s="64">
        <f>INDEX(角色属性!AQ$8:AQ$107,MATCH($D166,角色属性!$I$8:$I$107,0),1)</f>
        <v>28093.599999999999</v>
      </c>
      <c r="AG166" s="64">
        <f>$P166/10/(1+VLOOKUP(I166,技能效果!$B$2:$D$101,3,FALSE))*怪物属性规划!A$18*INDEX(怪物属性等级系数!$A$2:$A$101,MATCH(D166,怪物属性等级系数!$D$2:$D$101,0),1)*R166+W166</f>
        <v>261960.45524344052</v>
      </c>
      <c r="AH166" s="64">
        <f>$P166/10/(1+VLOOKUP($I166,技能效果!$B$2:$D$101,3,FALSE))*怪物属性规划!B$18*S166+X166</f>
        <v>14512.86764705882</v>
      </c>
      <c r="AI166" s="64">
        <f>$P166/10/(1+VLOOKUP($I166,技能效果!$B$2:$D$101,3,FALSE))*怪物属性规划!C$18*T166+Y166</f>
        <v>14512.86764705882</v>
      </c>
      <c r="AJ166" s="64">
        <f>$P166/10/(1+VLOOKUP($I166,技能效果!$B$2:$D$101,3,FALSE))*怪物属性规划!D$18*U166+Z166</f>
        <v>11610.294117647056</v>
      </c>
      <c r="AK166" s="64">
        <f>$P166/10/(1+VLOOKUP($I166,技能效果!$B$2:$D$101,3,FALSE))*怪物属性规划!E$18*V166+AA166</f>
        <v>11610.294117647056</v>
      </c>
      <c r="AL166" s="67">
        <f>INDEX(角色属性!BB$8:BB$107,MATCH($D166,角色属性!$I$8:$I$107,0),1)</f>
        <v>1.9000000000000008</v>
      </c>
      <c r="AM166" s="64">
        <f>INDEX(角色属性!BC$8:BC$107,MATCH($D166,角色属性!$I$8:$I$107,0),1)</f>
        <v>44533</v>
      </c>
      <c r="AN166" s="64">
        <f>INDEX(角色属性!BD$8:BD$107,MATCH($D166,角色属性!$I$8:$I$107,0),1)</f>
        <v>3202</v>
      </c>
      <c r="AO166" s="69">
        <f t="shared" si="37"/>
        <v>0.43170542148553298</v>
      </c>
      <c r="AP166" s="69">
        <f t="shared" si="38"/>
        <v>0.96235589941951705</v>
      </c>
      <c r="AQ166" s="64">
        <f>AL166*角色属性!$BA$1*(AC166*(1-AO166)+MAX(AF166-AJ166,0))</f>
        <v>214308.24777700458</v>
      </c>
      <c r="AR166" s="64">
        <f>角色属性!$BA$1*(AH166*(1-AP166)+MAX(AK166-AE166,0))</f>
        <v>1092.6476988342383</v>
      </c>
      <c r="AS166" s="73">
        <f t="shared" si="39"/>
        <v>0.67908532572105551</v>
      </c>
      <c r="AT166" s="73">
        <f t="shared" si="40"/>
        <v>0.45272355048070367</v>
      </c>
      <c r="AU166" s="73">
        <f t="shared" si="41"/>
        <v>0.33954266286052776</v>
      </c>
      <c r="AV166" s="73">
        <f t="shared" si="42"/>
        <v>642.78724125748556</v>
      </c>
      <c r="AW166" s="73">
        <f t="shared" si="43"/>
        <v>428.52482750499041</v>
      </c>
      <c r="AX166" s="2" t="str">
        <f t="shared" si="44"/>
        <v>r_guanqia_164</v>
      </c>
      <c r="AY166" s="2">
        <f>ROUND(($P166*R166/10/$H166/(1+VLOOKUP($I166,技能效果!$B$2:$D$101,3,FALSE))-1)*10000,0)</f>
        <v>86</v>
      </c>
      <c r="AZ166" s="2">
        <f>ROUND(($P166*S166/10/$H166/(1+VLOOKUP($I166,技能效果!$B$2:$D$101,3,FALSE))-1)*10000,0)</f>
        <v>86</v>
      </c>
      <c r="BA166" s="2">
        <f>ROUND(($P166*T166/10/$H166/(1+VLOOKUP($I166,技能效果!$B$2:$D$101,3,FALSE))-1)*10000,0)</f>
        <v>86</v>
      </c>
      <c r="BB166" s="2">
        <f>ROUND(($P166*U166/10/$H166/(1+VLOOKUP($I166,技能效果!$B$2:$D$101,3,FALSE))-1)*10000,0)</f>
        <v>86</v>
      </c>
      <c r="BC166" s="2">
        <f>ROUND(($P166*V166/10/$H166/(1+VLOOKUP($I166,技能效果!$B$2:$D$101,3,FALSE))-1)*10000,0)</f>
        <v>86</v>
      </c>
    </row>
    <row r="167" spans="2:55" x14ac:dyDescent="0.15">
      <c r="B167" s="83"/>
      <c r="C167" s="2">
        <v>165</v>
      </c>
      <c r="D167" s="2">
        <f t="shared" si="48"/>
        <v>92</v>
      </c>
      <c r="E167" s="2">
        <v>2</v>
      </c>
      <c r="F167" s="28">
        <f>INDEX([3]宠物属性!$AL$8:$AL$107,MATCH(D167,[3]宠物属性!$I$8:$I$107,0),1)</f>
        <v>380979.23960757162</v>
      </c>
      <c r="G167" s="68">
        <f>F167/INDEX(角色属性!$AI$8:$AI$107,MATCH(D167,角色属性!$I$8:$I$107,0),1)*E167</f>
        <v>1.5878022452812679</v>
      </c>
      <c r="H167" s="2">
        <f>INDEX(角色属性!$AL$8:$AL$107,MATCH(D167,角色属性!$I$8:$I$107,0),1)</f>
        <v>14834</v>
      </c>
      <c r="I167" s="2">
        <f>INDEX(角色属性!$Y$8:$Y$107,MATCH(D167,角色属性!$I$8:$I$107,0),1)</f>
        <v>92</v>
      </c>
      <c r="J167" s="28">
        <f>H167*10*(1+VLOOKUP(I167,技能效果!$B$2:$D$101,3,FALSE))</f>
        <v>202335.76000000004</v>
      </c>
      <c r="K167" s="28">
        <f>H167*10*(1+VLOOKUP(I167,技能效果!$B$2:$D$101,3,FALSE))*(1+G167)</f>
        <v>523604.9340286919</v>
      </c>
      <c r="L167" s="2">
        <f t="shared" si="34"/>
        <v>170</v>
      </c>
      <c r="M167" s="28">
        <f t="shared" si="35"/>
        <v>223297.28000000006</v>
      </c>
      <c r="N167" s="28">
        <f t="shared" si="36"/>
        <v>587499.67989759764</v>
      </c>
      <c r="O167" s="62">
        <f t="shared" si="46"/>
        <v>529382</v>
      </c>
      <c r="P167" s="62">
        <f t="shared" si="47"/>
        <v>203515</v>
      </c>
      <c r="Q167" s="64">
        <f t="shared" si="45"/>
        <v>18037</v>
      </c>
      <c r="R167" s="67">
        <v>1</v>
      </c>
      <c r="S167" s="67">
        <v>1</v>
      </c>
      <c r="T167" s="67">
        <v>1</v>
      </c>
      <c r="U167" s="67">
        <v>1</v>
      </c>
      <c r="V167" s="67">
        <v>1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64">
        <f>INDEX(角色属性!AM$8:AM$107,MATCH($D167,角色属性!$I$8:$I$107,0),1)</f>
        <v>703640</v>
      </c>
      <c r="AC167" s="64">
        <f>INDEX(角色属性!AN$8:AN$107,MATCH($D167,角色属性!$I$8:$I$107,0),1)</f>
        <v>70364</v>
      </c>
      <c r="AD167" s="64">
        <f>INDEX(角色属性!AO$8:AO$107,MATCH($D167,角色属性!$I$8:$I$107,0),1)</f>
        <v>35182</v>
      </c>
      <c r="AE167" s="64">
        <f>INDEX(角色属性!AP$8:AP$107,MATCH($D167,角色属性!$I$8:$I$107,0),1)</f>
        <v>28145.599999999999</v>
      </c>
      <c r="AF167" s="64">
        <f>INDEX(角色属性!AQ$8:AQ$107,MATCH($D167,角色属性!$I$8:$I$107,0),1)</f>
        <v>28145.599999999999</v>
      </c>
      <c r="AG167" s="64">
        <f>$P167/10/(1+VLOOKUP(I167,技能效果!$B$2:$D$101,3,FALSE))*怪物属性规划!A$18*INDEX(怪物属性等级系数!$A$2:$A$101,MATCH(D167,怪物属性等级系数!$D$2:$D$101,0),1)*R167+W167</f>
        <v>272172.94061741699</v>
      </c>
      <c r="AH167" s="64">
        <f>$P167/10/(1+VLOOKUP($I167,技能效果!$B$2:$D$101,3,FALSE))*怪物属性规划!B$18*S167+X167</f>
        <v>14920.454545454542</v>
      </c>
      <c r="AI167" s="64">
        <f>$P167/10/(1+VLOOKUP($I167,技能效果!$B$2:$D$101,3,FALSE))*怪物属性规划!C$18*T167+Y167</f>
        <v>14920.454545454542</v>
      </c>
      <c r="AJ167" s="64">
        <f>$P167/10/(1+VLOOKUP($I167,技能效果!$B$2:$D$101,3,FALSE))*怪物属性规划!D$18*U167+Z167</f>
        <v>11936.363636363634</v>
      </c>
      <c r="AK167" s="64">
        <f>$P167/10/(1+VLOOKUP($I167,技能效果!$B$2:$D$101,3,FALSE))*怪物属性规划!E$18*V167+AA167</f>
        <v>11936.363636363634</v>
      </c>
      <c r="AL167" s="67">
        <f>INDEX(角色属性!BB$8:BB$107,MATCH($D167,角色属性!$I$8:$I$107,0),1)</f>
        <v>1.9100000000000008</v>
      </c>
      <c r="AM167" s="64">
        <f>INDEX(角色属性!BC$8:BC$107,MATCH($D167,角色属性!$I$8:$I$107,0),1)</f>
        <v>46477</v>
      </c>
      <c r="AN167" s="64">
        <f>INDEX(角色属性!BD$8:BD$107,MATCH($D167,角色属性!$I$8:$I$107,0),1)</f>
        <v>3194</v>
      </c>
      <c r="AO167" s="69">
        <f t="shared" si="37"/>
        <v>0.42802194767717322</v>
      </c>
      <c r="AP167" s="69">
        <f t="shared" si="38"/>
        <v>0.96251319960650272</v>
      </c>
      <c r="AQ167" s="64">
        <f>AL167*角色属性!$BA$1*(AC167*(1-AO167)+MAX(AF167-AJ167,0))</f>
        <v>215661.53814240874</v>
      </c>
      <c r="AR167" s="64">
        <f>角色属性!$BA$1*(AH167*(1-AP167)+MAX(AK167-AE167,0))</f>
        <v>1118.6402026514072</v>
      </c>
      <c r="AS167" s="73">
        <f t="shared" si="39"/>
        <v>0.70113192428429694</v>
      </c>
      <c r="AT167" s="73">
        <f t="shared" si="40"/>
        <v>0.46742128285619794</v>
      </c>
      <c r="AU167" s="73">
        <f t="shared" si="41"/>
        <v>0.35056596214214847</v>
      </c>
      <c r="AV167" s="73">
        <f t="shared" si="42"/>
        <v>629.01368852310918</v>
      </c>
      <c r="AW167" s="73">
        <f t="shared" si="43"/>
        <v>419.34245901540612</v>
      </c>
      <c r="AX167" s="2" t="str">
        <f t="shared" si="44"/>
        <v>r_guanqia_165</v>
      </c>
      <c r="AY167" s="2">
        <f>ROUND(($P167*R167/10/$H167/(1+VLOOKUP($I167,技能效果!$B$2:$D$101,3,FALSE))-1)*10000,0)</f>
        <v>58</v>
      </c>
      <c r="AZ167" s="2">
        <f>ROUND(($P167*S167/10/$H167/(1+VLOOKUP($I167,技能效果!$B$2:$D$101,3,FALSE))-1)*10000,0)</f>
        <v>58</v>
      </c>
      <c r="BA167" s="2">
        <f>ROUND(($P167*T167/10/$H167/(1+VLOOKUP($I167,技能效果!$B$2:$D$101,3,FALSE))-1)*10000,0)</f>
        <v>58</v>
      </c>
      <c r="BB167" s="2">
        <f>ROUND(($P167*U167/10/$H167/(1+VLOOKUP($I167,技能效果!$B$2:$D$101,3,FALSE))-1)*10000,0)</f>
        <v>58</v>
      </c>
      <c r="BC167" s="2">
        <f>ROUND(($P167*V167/10/$H167/(1+VLOOKUP($I167,技能效果!$B$2:$D$101,3,FALSE))-1)*10000,0)</f>
        <v>58</v>
      </c>
    </row>
    <row r="168" spans="2:55" x14ac:dyDescent="0.15">
      <c r="B168" s="83"/>
      <c r="C168" s="2">
        <v>166</v>
      </c>
      <c r="D168" s="2">
        <f t="shared" si="48"/>
        <v>92</v>
      </c>
      <c r="E168" s="2">
        <v>2</v>
      </c>
      <c r="F168" s="28">
        <f>INDEX([3]宠物属性!$AL$8:$AL$107,MATCH(D168,[3]宠物属性!$I$8:$I$107,0),1)</f>
        <v>380979.23960757162</v>
      </c>
      <c r="G168" s="68">
        <f>F168/INDEX(角色属性!$AI$8:$AI$107,MATCH(D168,角色属性!$I$8:$I$107,0),1)*E168</f>
        <v>1.5878022452812679</v>
      </c>
      <c r="H168" s="2">
        <f>INDEX(角色属性!$AL$8:$AL$107,MATCH(D168,角色属性!$I$8:$I$107,0),1)</f>
        <v>14834</v>
      </c>
      <c r="I168" s="2">
        <f>INDEX(角色属性!$Y$8:$Y$107,MATCH(D168,角色属性!$I$8:$I$107,0),1)</f>
        <v>92</v>
      </c>
      <c r="J168" s="28">
        <f>H168*10*(1+VLOOKUP(I168,技能效果!$B$2:$D$101,3,FALSE))</f>
        <v>202335.76000000004</v>
      </c>
      <c r="K168" s="28">
        <f>H168*10*(1+VLOOKUP(I168,技能效果!$B$2:$D$101,3,FALSE))*(1+G168)</f>
        <v>523604.9340286919</v>
      </c>
      <c r="L168" s="2">
        <f t="shared" si="34"/>
        <v>170</v>
      </c>
      <c r="M168" s="28">
        <f t="shared" si="35"/>
        <v>223297.28000000006</v>
      </c>
      <c r="N168" s="28">
        <f t="shared" si="36"/>
        <v>587499.67989759764</v>
      </c>
      <c r="O168" s="62">
        <f t="shared" si="46"/>
        <v>533390</v>
      </c>
      <c r="P168" s="62">
        <f t="shared" si="47"/>
        <v>204879</v>
      </c>
      <c r="Q168" s="64">
        <f t="shared" si="45"/>
        <v>4008</v>
      </c>
      <c r="R168" s="67">
        <v>1</v>
      </c>
      <c r="S168" s="67">
        <v>1</v>
      </c>
      <c r="T168" s="67">
        <v>1</v>
      </c>
      <c r="U168" s="67">
        <v>1</v>
      </c>
      <c r="V168" s="67">
        <v>1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64">
        <f>INDEX(角色属性!AM$8:AM$107,MATCH($D168,角色属性!$I$8:$I$107,0),1)</f>
        <v>703640</v>
      </c>
      <c r="AC168" s="64">
        <f>INDEX(角色属性!AN$8:AN$107,MATCH($D168,角色属性!$I$8:$I$107,0),1)</f>
        <v>70364</v>
      </c>
      <c r="AD168" s="64">
        <f>INDEX(角色属性!AO$8:AO$107,MATCH($D168,角色属性!$I$8:$I$107,0),1)</f>
        <v>35182</v>
      </c>
      <c r="AE168" s="64">
        <f>INDEX(角色属性!AP$8:AP$107,MATCH($D168,角色属性!$I$8:$I$107,0),1)</f>
        <v>28145.599999999999</v>
      </c>
      <c r="AF168" s="64">
        <f>INDEX(角色属性!AQ$8:AQ$107,MATCH($D168,角色属性!$I$8:$I$107,0),1)</f>
        <v>28145.599999999999</v>
      </c>
      <c r="AG168" s="64">
        <f>$P168/10/(1+VLOOKUP(I168,技能效果!$B$2:$D$101,3,FALSE))*怪物属性规划!A$18*INDEX(怪物属性等级系数!$A$2:$A$101,MATCH(D168,怪物属性等级系数!$D$2:$D$101,0),1)*R168+W168</f>
        <v>273997.10046313924</v>
      </c>
      <c r="AH168" s="64">
        <f>$P168/10/(1+VLOOKUP($I168,技能效果!$B$2:$D$101,3,FALSE))*怪物属性规划!B$18*S168+X168</f>
        <v>15020.454545454542</v>
      </c>
      <c r="AI168" s="64">
        <f>$P168/10/(1+VLOOKUP($I168,技能效果!$B$2:$D$101,3,FALSE))*怪物属性规划!C$18*T168+Y168</f>
        <v>15020.454545454542</v>
      </c>
      <c r="AJ168" s="64">
        <f>$P168/10/(1+VLOOKUP($I168,技能效果!$B$2:$D$101,3,FALSE))*怪物属性规划!D$18*U168+Z168</f>
        <v>12016.363636363634</v>
      </c>
      <c r="AK168" s="64">
        <f>$P168/10/(1+VLOOKUP($I168,技能效果!$B$2:$D$101,3,FALSE))*怪物属性规划!E$18*V168+AA168</f>
        <v>12016.363636363634</v>
      </c>
      <c r="AL168" s="67">
        <f>INDEX(角色属性!BB$8:BB$107,MATCH($D168,角色属性!$I$8:$I$107,0),1)</f>
        <v>1.9100000000000008</v>
      </c>
      <c r="AM168" s="64">
        <f>INDEX(角色属性!BC$8:BC$107,MATCH($D168,角色属性!$I$8:$I$107,0),1)</f>
        <v>46477</v>
      </c>
      <c r="AN168" s="64">
        <f>INDEX(角色属性!BD$8:BD$107,MATCH($D168,角色属性!$I$8:$I$107,0),1)</f>
        <v>3194</v>
      </c>
      <c r="AO168" s="69">
        <f t="shared" si="37"/>
        <v>0.42965808320725285</v>
      </c>
      <c r="AP168" s="69">
        <f t="shared" si="38"/>
        <v>0.96251319960650272</v>
      </c>
      <c r="AQ168" s="64">
        <f>AL168*角色属性!$BA$1*(AC168*(1-AO168)+MAX(AF168-AJ168,0))</f>
        <v>214916.16048793358</v>
      </c>
      <c r="AR168" s="64">
        <f>角色属性!$BA$1*(AH168*(1-AP168)+MAX(AK168-AE168,0))</f>
        <v>1126.1375627301065</v>
      </c>
      <c r="AS168" s="73">
        <f t="shared" si="39"/>
        <v>0.70827903784814306</v>
      </c>
      <c r="AT168" s="73">
        <f t="shared" si="40"/>
        <v>0.47218602523209541</v>
      </c>
      <c r="AU168" s="73">
        <f t="shared" si="41"/>
        <v>0.35413951892407153</v>
      </c>
      <c r="AV168" s="73">
        <f t="shared" si="42"/>
        <v>624.82597445214287</v>
      </c>
      <c r="AW168" s="73">
        <f t="shared" si="43"/>
        <v>416.55064963476195</v>
      </c>
      <c r="AX168" s="2" t="str">
        <f t="shared" si="44"/>
        <v>r_guanqia_166</v>
      </c>
      <c r="AY168" s="2">
        <f>ROUND(($P168*R168/10/$H168/(1+VLOOKUP($I168,技能效果!$B$2:$D$101,3,FALSE))-1)*10000,0)</f>
        <v>126</v>
      </c>
      <c r="AZ168" s="2">
        <f>ROUND(($P168*S168/10/$H168/(1+VLOOKUP($I168,技能效果!$B$2:$D$101,3,FALSE))-1)*10000,0)</f>
        <v>126</v>
      </c>
      <c r="BA168" s="2">
        <f>ROUND(($P168*T168/10/$H168/(1+VLOOKUP($I168,技能效果!$B$2:$D$101,3,FALSE))-1)*10000,0)</f>
        <v>126</v>
      </c>
      <c r="BB168" s="2">
        <f>ROUND(($P168*U168/10/$H168/(1+VLOOKUP($I168,技能效果!$B$2:$D$101,3,FALSE))-1)*10000,0)</f>
        <v>126</v>
      </c>
      <c r="BC168" s="2">
        <f>ROUND(($P168*V168/10/$H168/(1+VLOOKUP($I168,技能效果!$B$2:$D$101,3,FALSE))-1)*10000,0)</f>
        <v>126</v>
      </c>
    </row>
    <row r="169" spans="2:55" x14ac:dyDescent="0.15">
      <c r="B169" s="83"/>
      <c r="C169" s="2">
        <v>167</v>
      </c>
      <c r="D169" s="2">
        <f t="shared" si="48"/>
        <v>92</v>
      </c>
      <c r="E169" s="2">
        <v>2</v>
      </c>
      <c r="F169" s="28">
        <f>INDEX([3]宠物属性!$AL$8:$AL$107,MATCH(D169,[3]宠物属性!$I$8:$I$107,0),1)</f>
        <v>380979.23960757162</v>
      </c>
      <c r="G169" s="68">
        <f>F169/INDEX(角色属性!$AI$8:$AI$107,MATCH(D169,角色属性!$I$8:$I$107,0),1)*E169</f>
        <v>1.5878022452812679</v>
      </c>
      <c r="H169" s="2">
        <f>INDEX(角色属性!$AL$8:$AL$107,MATCH(D169,角色属性!$I$8:$I$107,0),1)</f>
        <v>14834</v>
      </c>
      <c r="I169" s="2">
        <f>INDEX(角色属性!$Y$8:$Y$107,MATCH(D169,角色属性!$I$8:$I$107,0),1)</f>
        <v>92</v>
      </c>
      <c r="J169" s="28">
        <f>H169*10*(1+VLOOKUP(I169,技能效果!$B$2:$D$101,3,FALSE))</f>
        <v>202335.76000000004</v>
      </c>
      <c r="K169" s="28">
        <f>H169*10*(1+VLOOKUP(I169,技能效果!$B$2:$D$101,3,FALSE))*(1+G169)</f>
        <v>523604.9340286919</v>
      </c>
      <c r="L169" s="2">
        <f t="shared" si="34"/>
        <v>170</v>
      </c>
      <c r="M169" s="28">
        <f t="shared" si="35"/>
        <v>223297.28000000006</v>
      </c>
      <c r="N169" s="28">
        <f t="shared" si="36"/>
        <v>587499.67989759764</v>
      </c>
      <c r="O169" s="62">
        <f t="shared" si="46"/>
        <v>539402</v>
      </c>
      <c r="P169" s="62">
        <f t="shared" si="47"/>
        <v>206925</v>
      </c>
      <c r="Q169" s="64">
        <f t="shared" si="45"/>
        <v>6012</v>
      </c>
      <c r="R169" s="67">
        <v>1</v>
      </c>
      <c r="S169" s="67">
        <v>1</v>
      </c>
      <c r="T169" s="67">
        <v>1</v>
      </c>
      <c r="U169" s="67">
        <v>1</v>
      </c>
      <c r="V169" s="67">
        <v>1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64">
        <f>INDEX(角色属性!AM$8:AM$107,MATCH($D169,角色属性!$I$8:$I$107,0),1)</f>
        <v>703640</v>
      </c>
      <c r="AC169" s="64">
        <f>INDEX(角色属性!AN$8:AN$107,MATCH($D169,角色属性!$I$8:$I$107,0),1)</f>
        <v>70364</v>
      </c>
      <c r="AD169" s="64">
        <f>INDEX(角色属性!AO$8:AO$107,MATCH($D169,角色属性!$I$8:$I$107,0),1)</f>
        <v>35182</v>
      </c>
      <c r="AE169" s="64">
        <f>INDEX(角色属性!AP$8:AP$107,MATCH($D169,角色属性!$I$8:$I$107,0),1)</f>
        <v>28145.599999999999</v>
      </c>
      <c r="AF169" s="64">
        <f>INDEX(角色属性!AQ$8:AQ$107,MATCH($D169,角色属性!$I$8:$I$107,0),1)</f>
        <v>28145.599999999999</v>
      </c>
      <c r="AG169" s="64">
        <f>$P169/10/(1+VLOOKUP(I169,技能效果!$B$2:$D$101,3,FALSE))*怪物属性规划!A$18*INDEX(怪物属性等级系数!$A$2:$A$101,MATCH(D169,怪物属性等级系数!$D$2:$D$101,0),1)*R169+W169</f>
        <v>276733.34023172257</v>
      </c>
      <c r="AH169" s="64">
        <f>$P169/10/(1+VLOOKUP($I169,技能效果!$B$2:$D$101,3,FALSE))*怪物属性规划!B$18*S169+X169</f>
        <v>15170.454545454542</v>
      </c>
      <c r="AI169" s="64">
        <f>$P169/10/(1+VLOOKUP($I169,技能效果!$B$2:$D$101,3,FALSE))*怪物属性规划!C$18*T169+Y169</f>
        <v>15170.454545454542</v>
      </c>
      <c r="AJ169" s="64">
        <f>$P169/10/(1+VLOOKUP($I169,技能效果!$B$2:$D$101,3,FALSE))*怪物属性规划!D$18*U169+Z169</f>
        <v>12136.363636363634</v>
      </c>
      <c r="AK169" s="64">
        <f>$P169/10/(1+VLOOKUP($I169,技能效果!$B$2:$D$101,3,FALSE))*怪物属性规划!E$18*V169+AA169</f>
        <v>12136.363636363634</v>
      </c>
      <c r="AL169" s="67">
        <f>INDEX(角色属性!BB$8:BB$107,MATCH($D169,角色属性!$I$8:$I$107,0),1)</f>
        <v>1.9100000000000008</v>
      </c>
      <c r="AM169" s="64">
        <f>INDEX(角色属性!BC$8:BC$107,MATCH($D169,角色属性!$I$8:$I$107,0),1)</f>
        <v>46477</v>
      </c>
      <c r="AN169" s="64">
        <f>INDEX(角色属性!BD$8:BD$107,MATCH($D169,角色属性!$I$8:$I$107,0),1)</f>
        <v>3194</v>
      </c>
      <c r="AO169" s="69">
        <f t="shared" si="37"/>
        <v>0.43209481094642155</v>
      </c>
      <c r="AP169" s="69">
        <f t="shared" si="38"/>
        <v>0.96251319960650272</v>
      </c>
      <c r="AQ169" s="64">
        <f>AL169*角色属性!$BA$1*(AC169*(1-AO169)+MAX(AF169-AJ169,0))</f>
        <v>213802.79126929311</v>
      </c>
      <c r="AR169" s="64">
        <f>角色属性!$BA$1*(AH169*(1-AP169)+MAX(AK169-AE169,0))</f>
        <v>1137.3836028481558</v>
      </c>
      <c r="AS169" s="73">
        <f t="shared" si="39"/>
        <v>0.71907735002176199</v>
      </c>
      <c r="AT169" s="73">
        <f t="shared" si="40"/>
        <v>0.47938490001450795</v>
      </c>
      <c r="AU169" s="73">
        <f t="shared" si="41"/>
        <v>0.35953867501088099</v>
      </c>
      <c r="AV169" s="73">
        <f t="shared" si="42"/>
        <v>618.64791987329022</v>
      </c>
      <c r="AW169" s="73">
        <f t="shared" si="43"/>
        <v>412.43194658219346</v>
      </c>
      <c r="AX169" s="2" t="str">
        <f t="shared" si="44"/>
        <v>r_guanqia_167</v>
      </c>
      <c r="AY169" s="2">
        <f>ROUND(($P169*R169/10/$H169/(1+VLOOKUP($I169,技能效果!$B$2:$D$101,3,FALSE))-1)*10000,0)</f>
        <v>227</v>
      </c>
      <c r="AZ169" s="2">
        <f>ROUND(($P169*S169/10/$H169/(1+VLOOKUP($I169,技能效果!$B$2:$D$101,3,FALSE))-1)*10000,0)</f>
        <v>227</v>
      </c>
      <c r="BA169" s="2">
        <f>ROUND(($P169*T169/10/$H169/(1+VLOOKUP($I169,技能效果!$B$2:$D$101,3,FALSE))-1)*10000,0)</f>
        <v>227</v>
      </c>
      <c r="BB169" s="2">
        <f>ROUND(($P169*U169/10/$H169/(1+VLOOKUP($I169,技能效果!$B$2:$D$101,3,FALSE))-1)*10000,0)</f>
        <v>227</v>
      </c>
      <c r="BC169" s="2">
        <f>ROUND(($P169*V169/10/$H169/(1+VLOOKUP($I169,技能效果!$B$2:$D$101,3,FALSE))-1)*10000,0)</f>
        <v>227</v>
      </c>
    </row>
    <row r="170" spans="2:55" x14ac:dyDescent="0.15">
      <c r="B170" s="83"/>
      <c r="C170" s="2">
        <v>168</v>
      </c>
      <c r="D170" s="2">
        <f t="shared" si="48"/>
        <v>93</v>
      </c>
      <c r="E170" s="2">
        <v>2</v>
      </c>
      <c r="F170" s="28">
        <f>INDEX([3]宠物属性!$AL$8:$AL$107,MATCH(D170,[3]宠物属性!$I$8:$I$107,0),1)</f>
        <v>384252.83425753511</v>
      </c>
      <c r="G170" s="68">
        <f>F170/INDEX(角色属性!$AI$8:$AI$107,MATCH(D170,角色属性!$I$8:$I$107,0),1)*E170</f>
        <v>1.5938183377289419</v>
      </c>
      <c r="H170" s="2">
        <f>INDEX(角色属性!$AL$8:$AL$107,MATCH(D170,角色属性!$I$8:$I$107,0),1)</f>
        <v>15289</v>
      </c>
      <c r="I170" s="2">
        <f>INDEX(角色属性!$Y$8:$Y$107,MATCH(D170,角色属性!$I$8:$I$107,0),1)</f>
        <v>93</v>
      </c>
      <c r="J170" s="28">
        <f>H170*10*(1+VLOOKUP(I170,技能效果!$B$2:$D$101,3,FALSE))</f>
        <v>209153.52000000005</v>
      </c>
      <c r="K170" s="28">
        <f>H170*10*(1+VLOOKUP(I170,技能效果!$B$2:$D$101,3,FALSE))*(1+G170)</f>
        <v>542506.23557655711</v>
      </c>
      <c r="L170" s="2">
        <f t="shared" si="34"/>
        <v>170</v>
      </c>
      <c r="M170" s="28">
        <f t="shared" si="35"/>
        <v>223297.28000000006</v>
      </c>
      <c r="N170" s="28">
        <f t="shared" si="36"/>
        <v>587499.67989759764</v>
      </c>
      <c r="O170" s="62">
        <f t="shared" si="46"/>
        <v>547418</v>
      </c>
      <c r="P170" s="62">
        <f t="shared" si="47"/>
        <v>209654</v>
      </c>
      <c r="Q170" s="64">
        <f t="shared" si="45"/>
        <v>8016</v>
      </c>
      <c r="R170" s="67">
        <v>1</v>
      </c>
      <c r="S170" s="67">
        <v>1</v>
      </c>
      <c r="T170" s="67">
        <v>1</v>
      </c>
      <c r="U170" s="67">
        <v>1</v>
      </c>
      <c r="V170" s="67">
        <v>1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64">
        <f>INDEX(角色属性!AM$8:AM$107,MATCH($D170,角色属性!$I$8:$I$107,0),1)</f>
        <v>704940</v>
      </c>
      <c r="AC170" s="64">
        <f>INDEX(角色属性!AN$8:AN$107,MATCH($D170,角色属性!$I$8:$I$107,0),1)</f>
        <v>70494</v>
      </c>
      <c r="AD170" s="64">
        <f>INDEX(角色属性!AO$8:AO$107,MATCH($D170,角色属性!$I$8:$I$107,0),1)</f>
        <v>35247</v>
      </c>
      <c r="AE170" s="64">
        <f>INDEX(角色属性!AP$8:AP$107,MATCH($D170,角色属性!$I$8:$I$107,0),1)</f>
        <v>28197.599999999999</v>
      </c>
      <c r="AF170" s="64">
        <f>INDEX(角色属性!AQ$8:AQ$107,MATCH($D170,角色属性!$I$8:$I$107,0),1)</f>
        <v>28197.599999999999</v>
      </c>
      <c r="AG170" s="64">
        <f>$P170/10/(1+VLOOKUP(I170,技能效果!$B$2:$D$101,3,FALSE))*怪物属性规划!A$18*INDEX(怪物属性等级系数!$A$2:$A$101,MATCH(D170,怪物属性等级系数!$D$2:$D$101,0),1)*R170+W170</f>
        <v>282490.03676649043</v>
      </c>
      <c r="AH170" s="64">
        <f>$P170/10/(1+VLOOKUP($I170,技能效果!$B$2:$D$101,3,FALSE))*怪物属性规划!B$18*S170+X170</f>
        <v>15325.584795321634</v>
      </c>
      <c r="AI170" s="64">
        <f>$P170/10/(1+VLOOKUP($I170,技能效果!$B$2:$D$101,3,FALSE))*怪物属性规划!C$18*T170+Y170</f>
        <v>15325.584795321634</v>
      </c>
      <c r="AJ170" s="64">
        <f>$P170/10/(1+VLOOKUP($I170,技能效果!$B$2:$D$101,3,FALSE))*怪物属性规划!D$18*U170+Z170</f>
        <v>12260.467836257309</v>
      </c>
      <c r="AK170" s="64">
        <f>$P170/10/(1+VLOOKUP($I170,技能效果!$B$2:$D$101,3,FALSE))*怪物属性规划!E$18*V170+AA170</f>
        <v>12260.467836257309</v>
      </c>
      <c r="AL170" s="67">
        <f>INDEX(角色属性!BB$8:BB$107,MATCH($D170,角色属性!$I$8:$I$107,0),1)</f>
        <v>1.9200000000000008</v>
      </c>
      <c r="AM170" s="64">
        <f>INDEX(角色属性!BC$8:BC$107,MATCH($D170,角色属性!$I$8:$I$107,0),1)</f>
        <v>48495</v>
      </c>
      <c r="AN170" s="64">
        <f>INDEX(角色属性!BD$8:BD$107,MATCH($D170,角色属性!$I$8:$I$107,0),1)</f>
        <v>3186</v>
      </c>
      <c r="AO170" s="69">
        <f t="shared" si="37"/>
        <v>0.42417963833158956</v>
      </c>
      <c r="AP170" s="69">
        <f t="shared" si="38"/>
        <v>0.96266997077658756</v>
      </c>
      <c r="AQ170" s="64">
        <f>AL170*角色属性!$BA$1*(AC170*(1-AO170)+MAX(AF170-AJ170,0))</f>
        <v>217071.40891851124</v>
      </c>
      <c r="AR170" s="64">
        <f>角色属性!$BA$1*(AH170*(1-AP170)+MAX(AK170-AE170,0))</f>
        <v>1144.2090565504841</v>
      </c>
      <c r="AS170" s="73">
        <f t="shared" si="39"/>
        <v>0.72298286585329108</v>
      </c>
      <c r="AT170" s="73">
        <f t="shared" si="40"/>
        <v>0.4819885772355274</v>
      </c>
      <c r="AU170" s="73">
        <f t="shared" si="41"/>
        <v>0.36149143292664554</v>
      </c>
      <c r="AV170" s="73">
        <f t="shared" si="42"/>
        <v>616.09370767019186</v>
      </c>
      <c r="AW170" s="73">
        <f t="shared" si="43"/>
        <v>410.72913844679459</v>
      </c>
      <c r="AX170" s="2" t="str">
        <f t="shared" si="44"/>
        <v>r_guanqia_168</v>
      </c>
      <c r="AY170" s="2">
        <f>ROUND(($P170*R170/10/$H170/(1+VLOOKUP($I170,技能效果!$B$2:$D$101,3,FALSE))-1)*10000,0)</f>
        <v>24</v>
      </c>
      <c r="AZ170" s="2">
        <f>ROUND(($P170*S170/10/$H170/(1+VLOOKUP($I170,技能效果!$B$2:$D$101,3,FALSE))-1)*10000,0)</f>
        <v>24</v>
      </c>
      <c r="BA170" s="2">
        <f>ROUND(($P170*T170/10/$H170/(1+VLOOKUP($I170,技能效果!$B$2:$D$101,3,FALSE))-1)*10000,0)</f>
        <v>24</v>
      </c>
      <c r="BB170" s="2">
        <f>ROUND(($P170*U170/10/$H170/(1+VLOOKUP($I170,技能效果!$B$2:$D$101,3,FALSE))-1)*10000,0)</f>
        <v>24</v>
      </c>
      <c r="BC170" s="2">
        <f>ROUND(($P170*V170/10/$H170/(1+VLOOKUP($I170,技能效果!$B$2:$D$101,3,FALSE))-1)*10000,0)</f>
        <v>24</v>
      </c>
    </row>
    <row r="171" spans="2:55" x14ac:dyDescent="0.15">
      <c r="B171" s="83"/>
      <c r="C171" s="2">
        <v>169</v>
      </c>
      <c r="D171" s="2">
        <f t="shared" si="48"/>
        <v>93</v>
      </c>
      <c r="E171" s="2">
        <v>2</v>
      </c>
      <c r="F171" s="28">
        <f>INDEX([3]宠物属性!$AL$8:$AL$107,MATCH(D171,[3]宠物属性!$I$8:$I$107,0),1)</f>
        <v>384252.83425753511</v>
      </c>
      <c r="G171" s="68">
        <f>F171/INDEX(角色属性!$AI$8:$AI$107,MATCH(D171,角色属性!$I$8:$I$107,0),1)*E171</f>
        <v>1.5938183377289419</v>
      </c>
      <c r="H171" s="2">
        <f>INDEX(角色属性!$AL$8:$AL$107,MATCH(D171,角色属性!$I$8:$I$107,0),1)</f>
        <v>15289</v>
      </c>
      <c r="I171" s="2">
        <f>INDEX(角色属性!$Y$8:$Y$107,MATCH(D171,角色属性!$I$8:$I$107,0),1)</f>
        <v>93</v>
      </c>
      <c r="J171" s="28">
        <f>H171*10*(1+VLOOKUP(I171,技能效果!$B$2:$D$101,3,FALSE))</f>
        <v>209153.52000000005</v>
      </c>
      <c r="K171" s="28">
        <f>H171*10*(1+VLOOKUP(I171,技能效果!$B$2:$D$101,3,FALSE))*(1+G171)</f>
        <v>542506.23557655711</v>
      </c>
      <c r="L171" s="2">
        <f t="shared" si="34"/>
        <v>170</v>
      </c>
      <c r="M171" s="28">
        <f t="shared" si="35"/>
        <v>223297.28000000006</v>
      </c>
      <c r="N171" s="28">
        <f t="shared" si="36"/>
        <v>587499.67989759764</v>
      </c>
      <c r="O171" s="62">
        <f t="shared" si="46"/>
        <v>557439</v>
      </c>
      <c r="P171" s="62">
        <f t="shared" si="47"/>
        <v>213065</v>
      </c>
      <c r="Q171" s="64">
        <f t="shared" si="45"/>
        <v>10021</v>
      </c>
      <c r="R171" s="67">
        <v>1</v>
      </c>
      <c r="S171" s="67">
        <v>1</v>
      </c>
      <c r="T171" s="67">
        <v>1</v>
      </c>
      <c r="U171" s="67">
        <v>1</v>
      </c>
      <c r="V171" s="67">
        <v>1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64">
        <f>INDEX(角色属性!AM$8:AM$107,MATCH($D171,角色属性!$I$8:$I$107,0),1)</f>
        <v>704940</v>
      </c>
      <c r="AC171" s="64">
        <f>INDEX(角色属性!AN$8:AN$107,MATCH($D171,角色属性!$I$8:$I$107,0),1)</f>
        <v>70494</v>
      </c>
      <c r="AD171" s="64">
        <f>INDEX(角色属性!AO$8:AO$107,MATCH($D171,角色属性!$I$8:$I$107,0),1)</f>
        <v>35247</v>
      </c>
      <c r="AE171" s="64">
        <f>INDEX(角色属性!AP$8:AP$107,MATCH($D171,角色属性!$I$8:$I$107,0),1)</f>
        <v>28197.599999999999</v>
      </c>
      <c r="AF171" s="64">
        <f>INDEX(角色属性!AQ$8:AQ$107,MATCH($D171,角色属性!$I$8:$I$107,0),1)</f>
        <v>28197.599999999999</v>
      </c>
      <c r="AG171" s="64">
        <f>$P171/10/(1+VLOOKUP(I171,技能效果!$B$2:$D$101,3,FALSE))*怪物属性规划!A$18*INDEX(怪物属性等级系数!$A$2:$A$101,MATCH(D171,怪物属性等级系数!$D$2:$D$101,0),1)*R171+W171</f>
        <v>287086.05456443608</v>
      </c>
      <c r="AH171" s="64">
        <f>$P171/10/(1+VLOOKUP($I171,技能效果!$B$2:$D$101,3,FALSE))*怪物属性规划!B$18*S171+X171</f>
        <v>15574.926900584791</v>
      </c>
      <c r="AI171" s="64">
        <f>$P171/10/(1+VLOOKUP($I171,技能效果!$B$2:$D$101,3,FALSE))*怪物属性规划!C$18*T171+Y171</f>
        <v>15574.926900584791</v>
      </c>
      <c r="AJ171" s="64">
        <f>$P171/10/(1+VLOOKUP($I171,技能效果!$B$2:$D$101,3,FALSE))*怪物属性规划!D$18*U171+Z171</f>
        <v>12459.941520467833</v>
      </c>
      <c r="AK171" s="64">
        <f>$P171/10/(1+VLOOKUP($I171,技能效果!$B$2:$D$101,3,FALSE))*怪物属性规划!E$18*V171+AA171</f>
        <v>12459.941520467833</v>
      </c>
      <c r="AL171" s="67">
        <f>INDEX(角色属性!BB$8:BB$107,MATCH($D171,角色属性!$I$8:$I$107,0),1)</f>
        <v>1.9200000000000008</v>
      </c>
      <c r="AM171" s="64">
        <f>INDEX(角色属性!BC$8:BC$107,MATCH($D171,角色属性!$I$8:$I$107,0),1)</f>
        <v>48495</v>
      </c>
      <c r="AN171" s="64">
        <f>INDEX(角色属性!BD$8:BD$107,MATCH($D171,角色属性!$I$8:$I$107,0),1)</f>
        <v>3186</v>
      </c>
      <c r="AO171" s="69">
        <f t="shared" si="37"/>
        <v>0.42812628746073261</v>
      </c>
      <c r="AP171" s="69">
        <f t="shared" si="38"/>
        <v>0.96266997077658756</v>
      </c>
      <c r="AQ171" s="64">
        <f>AL171*角色属性!$BA$1*(AC171*(1-AO171)+MAX(AF171-AJ171,0))</f>
        <v>215237.08404969718</v>
      </c>
      <c r="AR171" s="64">
        <f>角色属性!$BA$1*(AH171*(1-AP171)+MAX(AK171-AE171,0))</f>
        <v>1162.8249527026856</v>
      </c>
      <c r="AS171" s="73">
        <f t="shared" si="39"/>
        <v>0.74100730940478565</v>
      </c>
      <c r="AT171" s="73">
        <f t="shared" si="40"/>
        <v>0.49400487293652384</v>
      </c>
      <c r="AU171" s="73">
        <f t="shared" si="41"/>
        <v>0.37050365470239283</v>
      </c>
      <c r="AV171" s="73">
        <f t="shared" si="42"/>
        <v>606.23054085789045</v>
      </c>
      <c r="AW171" s="73">
        <f t="shared" si="43"/>
        <v>404.15369390526035</v>
      </c>
      <c r="AX171" s="2" t="str">
        <f t="shared" si="44"/>
        <v>r_guanqia_169</v>
      </c>
      <c r="AY171" s="2">
        <f>ROUND(($P171*R171/10/$H171/(1+VLOOKUP($I171,技能效果!$B$2:$D$101,3,FALSE))-1)*10000,0)</f>
        <v>187</v>
      </c>
      <c r="AZ171" s="2">
        <f>ROUND(($P171*S171/10/$H171/(1+VLOOKUP($I171,技能效果!$B$2:$D$101,3,FALSE))-1)*10000,0)</f>
        <v>187</v>
      </c>
      <c r="BA171" s="2">
        <f>ROUND(($P171*T171/10/$H171/(1+VLOOKUP($I171,技能效果!$B$2:$D$101,3,FALSE))-1)*10000,0)</f>
        <v>187</v>
      </c>
      <c r="BB171" s="2">
        <f>ROUND(($P171*U171/10/$H171/(1+VLOOKUP($I171,技能效果!$B$2:$D$101,3,FALSE))-1)*10000,0)</f>
        <v>187</v>
      </c>
      <c r="BC171" s="2">
        <f>ROUND(($P171*V171/10/$H171/(1+VLOOKUP($I171,技能效果!$B$2:$D$101,3,FALSE))-1)*10000,0)</f>
        <v>187</v>
      </c>
    </row>
    <row r="172" spans="2:55" x14ac:dyDescent="0.15">
      <c r="B172" s="83"/>
      <c r="C172" s="2">
        <v>170</v>
      </c>
      <c r="D172" s="2">
        <f t="shared" si="48"/>
        <v>95</v>
      </c>
      <c r="E172" s="2">
        <v>2</v>
      </c>
      <c r="F172" s="28">
        <f>INDEX([3]宠物属性!$AL$8:$AL$107,MATCH(D172,[3]宠物属性!$I$8:$I$107,0),1)</f>
        <v>406305.16685642756</v>
      </c>
      <c r="G172" s="68">
        <f>F172/INDEX(角色属性!$AI$8:$AI$107,MATCH(D172,角色属性!$I$8:$I$107,0),1)*E172</f>
        <v>1.6310203147015381</v>
      </c>
      <c r="H172" s="2">
        <f>INDEX(角色属性!$AL$8:$AL$107,MATCH(D172,角色属性!$I$8:$I$107,0),1)</f>
        <v>16228</v>
      </c>
      <c r="I172" s="2">
        <f>INDEX(角色属性!$Y$8:$Y$107,MATCH(D172,角色属性!$I$8:$I$107,0),1)</f>
        <v>95</v>
      </c>
      <c r="J172" s="28">
        <f>H172*10*(1+VLOOKUP(I172,技能效果!$B$2:$D$101,3,FALSE))</f>
        <v>223297.28000000006</v>
      </c>
      <c r="K172" s="28">
        <f>H172*10*(1+VLOOKUP(I172,技能效果!$B$2:$D$101,3,FALSE))*(1+G172)</f>
        <v>587499.67989759764</v>
      </c>
      <c r="L172" s="2">
        <f t="shared" si="34"/>
        <v>170</v>
      </c>
      <c r="M172" s="28">
        <f t="shared" si="35"/>
        <v>223297.28000000006</v>
      </c>
      <c r="N172" s="28">
        <f t="shared" si="36"/>
        <v>587499.67989759764</v>
      </c>
      <c r="O172" s="62">
        <f t="shared" si="46"/>
        <v>587500</v>
      </c>
      <c r="P172" s="62">
        <f t="shared" si="47"/>
        <v>223297</v>
      </c>
      <c r="Q172" s="64">
        <f t="shared" si="45"/>
        <v>30061</v>
      </c>
      <c r="R172" s="67">
        <v>1</v>
      </c>
      <c r="S172" s="67">
        <v>1</v>
      </c>
      <c r="T172" s="67">
        <v>1</v>
      </c>
      <c r="U172" s="67">
        <v>1</v>
      </c>
      <c r="V172" s="67">
        <v>1</v>
      </c>
      <c r="W172" s="28">
        <v>0</v>
      </c>
      <c r="X172" s="28">
        <v>0</v>
      </c>
      <c r="Y172" s="28">
        <v>0</v>
      </c>
      <c r="Z172" s="28">
        <v>0</v>
      </c>
      <c r="AA172" s="28">
        <v>0</v>
      </c>
      <c r="AB172" s="64">
        <f>INDEX(角色属性!AM$8:AM$107,MATCH($D172,角色属性!$I$8:$I$107,0),1)</f>
        <v>724160</v>
      </c>
      <c r="AC172" s="64">
        <f>INDEX(角色属性!AN$8:AN$107,MATCH($D172,角色属性!$I$8:$I$107,0),1)</f>
        <v>72416</v>
      </c>
      <c r="AD172" s="64">
        <f>INDEX(角色属性!AO$8:AO$107,MATCH($D172,角色属性!$I$8:$I$107,0),1)</f>
        <v>36208</v>
      </c>
      <c r="AE172" s="64">
        <f>INDEX(角色属性!AP$8:AP$107,MATCH($D172,角色属性!$I$8:$I$107,0),1)</f>
        <v>28966.400000000001</v>
      </c>
      <c r="AF172" s="64">
        <f>INDEX(角色属性!AQ$8:AQ$107,MATCH($D172,角色属性!$I$8:$I$107,0),1)</f>
        <v>28966.400000000001</v>
      </c>
      <c r="AG172" s="64">
        <f>$P172/10/(1+VLOOKUP(I172,技能效果!$B$2:$D$101,3,FALSE))*怪物属性规划!A$18*INDEX(怪物属性等级系数!$A$2:$A$101,MATCH(D172,怪物属性等级系数!$D$2:$D$101,0),1)*R172+W172</f>
        <v>305392.39019591198</v>
      </c>
      <c r="AH172" s="64">
        <f>$P172/10/(1+VLOOKUP($I172,技能效果!$B$2:$D$101,3,FALSE))*怪物属性规划!B$18*S172+X172</f>
        <v>16227.979651162786</v>
      </c>
      <c r="AI172" s="64">
        <f>$P172/10/(1+VLOOKUP($I172,技能效果!$B$2:$D$101,3,FALSE))*怪物属性规划!C$18*T172+Y172</f>
        <v>16227.979651162786</v>
      </c>
      <c r="AJ172" s="64">
        <f>$P172/10/(1+VLOOKUP($I172,技能效果!$B$2:$D$101,3,FALSE))*怪物属性规划!D$18*U172+Z172</f>
        <v>12982.383720930229</v>
      </c>
      <c r="AK172" s="64">
        <f>$P172/10/(1+VLOOKUP($I172,技能效果!$B$2:$D$101,3,FALSE))*怪物属性规划!E$18*V172+AA172</f>
        <v>12982.383720930229</v>
      </c>
      <c r="AL172" s="67">
        <f>INDEX(角色属性!BB$8:BB$107,MATCH($D172,角色属性!$I$8:$I$107,0),1)</f>
        <v>1.9400000000000008</v>
      </c>
      <c r="AM172" s="64">
        <f>INDEX(角色属性!BC$8:BC$107,MATCH($D172,角色属性!$I$8:$I$107,0),1)</f>
        <v>52757</v>
      </c>
      <c r="AN172" s="64">
        <f>INDEX(角色属性!BD$8:BD$107,MATCH($D172,角色属性!$I$8:$I$107,0),1)</f>
        <v>3269</v>
      </c>
      <c r="AO172" s="69">
        <f t="shared" si="37"/>
        <v>0.41759325015394977</v>
      </c>
      <c r="AP172" s="69">
        <f t="shared" si="38"/>
        <v>0.96271241564268362</v>
      </c>
      <c r="AQ172" s="64">
        <f>AL172*角色属性!$BA$1*(AC172*(1-AO172)+MAX(AF172-AJ172,0))</f>
        <v>225659.18388657493</v>
      </c>
      <c r="AR172" s="64">
        <f>角色属性!$BA$1*(AH172*(1-AP172)+MAX(AK172-AE172,0))</f>
        <v>1210.2043203830922</v>
      </c>
      <c r="AS172" s="73">
        <f t="shared" si="39"/>
        <v>0.75185257730528621</v>
      </c>
      <c r="AT172" s="73">
        <f t="shared" si="40"/>
        <v>0.50123505153685743</v>
      </c>
      <c r="AU172" s="73">
        <f t="shared" si="41"/>
        <v>0.3759262886526431</v>
      </c>
      <c r="AV172" s="73">
        <f t="shared" si="42"/>
        <v>598.37829679104595</v>
      </c>
      <c r="AW172" s="73">
        <f t="shared" si="43"/>
        <v>398.91886452736395</v>
      </c>
      <c r="AX172" s="2" t="str">
        <f t="shared" si="44"/>
        <v>r_guanqia_170</v>
      </c>
      <c r="AY172" s="2">
        <f>ROUND(($P172*R172/10/$H172/(1+VLOOKUP($I172,技能效果!$B$2:$D$101,3,FALSE))-1)*10000,0)</f>
        <v>0</v>
      </c>
      <c r="AZ172" s="2">
        <f>ROUND(($P172*S172/10/$H172/(1+VLOOKUP($I172,技能效果!$B$2:$D$101,3,FALSE))-1)*10000,0)</f>
        <v>0</v>
      </c>
      <c r="BA172" s="2">
        <f>ROUND(($P172*T172/10/$H172/(1+VLOOKUP($I172,技能效果!$B$2:$D$101,3,FALSE))-1)*10000,0)</f>
        <v>0</v>
      </c>
      <c r="BB172" s="2">
        <f>ROUND(($P172*U172/10/$H172/(1+VLOOKUP($I172,技能效果!$B$2:$D$101,3,FALSE))-1)*10000,0)</f>
        <v>0</v>
      </c>
      <c r="BC172" s="2">
        <f>ROUND(($P172*V172/10/$H172/(1+VLOOKUP($I172,技能效果!$B$2:$D$101,3,FALSE))-1)*10000,0)</f>
        <v>0</v>
      </c>
    </row>
    <row r="173" spans="2:55" x14ac:dyDescent="0.15">
      <c r="B173" s="83" t="s">
        <v>129</v>
      </c>
      <c r="C173" s="2">
        <v>171</v>
      </c>
      <c r="D173" s="2">
        <f t="shared" si="48"/>
        <v>95</v>
      </c>
      <c r="E173" s="2">
        <v>2</v>
      </c>
      <c r="F173" s="28">
        <f>INDEX([3]宠物属性!$AL$8:$AL$107,MATCH(D173,[3]宠物属性!$I$8:$I$107,0),1)</f>
        <v>406305.16685642756</v>
      </c>
      <c r="G173" s="68">
        <f>F173/INDEX(角色属性!$AI$8:$AI$107,MATCH(D173,角色属性!$I$8:$I$107,0),1)*E173</f>
        <v>1.6310203147015381</v>
      </c>
      <c r="H173" s="2">
        <f>INDEX(角色属性!$AL$8:$AL$107,MATCH(D173,角色属性!$I$8:$I$107,0),1)</f>
        <v>16228</v>
      </c>
      <c r="I173" s="2">
        <f>INDEX(角色属性!$Y$8:$Y$107,MATCH(D173,角色属性!$I$8:$I$107,0),1)</f>
        <v>95</v>
      </c>
      <c r="J173" s="28">
        <f>H173*10*(1+VLOOKUP(I173,技能效果!$B$2:$D$101,3,FALSE))</f>
        <v>223297.28000000006</v>
      </c>
      <c r="K173" s="28">
        <f>H173*10*(1+VLOOKUP(I173,技能效果!$B$2:$D$101,3,FALSE))*(1+G173)</f>
        <v>587499.67989759764</v>
      </c>
      <c r="L173" s="2">
        <f t="shared" si="34"/>
        <v>180</v>
      </c>
      <c r="M173" s="28">
        <f t="shared" si="35"/>
        <v>261652.28000000006</v>
      </c>
      <c r="N173" s="28">
        <f t="shared" si="36"/>
        <v>713386.91898540012</v>
      </c>
      <c r="O173" s="62">
        <f t="shared" si="46"/>
        <v>591276</v>
      </c>
      <c r="P173" s="62">
        <f t="shared" si="47"/>
        <v>224448</v>
      </c>
      <c r="Q173" s="64">
        <f t="shared" si="45"/>
        <v>3776</v>
      </c>
      <c r="R173" s="67">
        <v>1</v>
      </c>
      <c r="S173" s="67">
        <v>1</v>
      </c>
      <c r="T173" s="67">
        <v>1</v>
      </c>
      <c r="U173" s="67">
        <v>1</v>
      </c>
      <c r="V173" s="67">
        <v>1</v>
      </c>
      <c r="W173" s="28">
        <v>0</v>
      </c>
      <c r="X173" s="28">
        <v>0</v>
      </c>
      <c r="Y173" s="28">
        <v>0</v>
      </c>
      <c r="Z173" s="28">
        <v>0</v>
      </c>
      <c r="AA173" s="28">
        <v>0</v>
      </c>
      <c r="AB173" s="64">
        <f>INDEX(角色属性!AM$8:AM$107,MATCH($D173,角色属性!$I$8:$I$107,0),1)</f>
        <v>724160</v>
      </c>
      <c r="AC173" s="64">
        <f>INDEX(角色属性!AN$8:AN$107,MATCH($D173,角色属性!$I$8:$I$107,0),1)</f>
        <v>72416</v>
      </c>
      <c r="AD173" s="64">
        <f>INDEX(角色属性!AO$8:AO$107,MATCH($D173,角色属性!$I$8:$I$107,0),1)</f>
        <v>36208</v>
      </c>
      <c r="AE173" s="64">
        <f>INDEX(角色属性!AP$8:AP$107,MATCH($D173,角色属性!$I$8:$I$107,0),1)</f>
        <v>28966.400000000001</v>
      </c>
      <c r="AF173" s="64">
        <f>INDEX(角色属性!AQ$8:AQ$107,MATCH($D173,角色属性!$I$8:$I$107,0),1)</f>
        <v>28966.400000000001</v>
      </c>
      <c r="AG173" s="64">
        <f>$P173/10/(1+VLOOKUP(I173,技能效果!$B$2:$D$101,3,FALSE))*怪物属性规划!A$18*INDEX(怪物属性等级系数!$A$2:$A$101,MATCH(D173,怪物属性等级系数!$D$2:$D$101,0),1)*R173+W173</f>
        <v>306966.55662499747</v>
      </c>
      <c r="AH173" s="64">
        <f>$P173/10/(1+VLOOKUP($I173,技能效果!$B$2:$D$101,3,FALSE))*怪物属性规划!B$18*S173+X173</f>
        <v>16311.627906976739</v>
      </c>
      <c r="AI173" s="64">
        <f>$P173/10/(1+VLOOKUP($I173,技能效果!$B$2:$D$101,3,FALSE))*怪物属性规划!C$18*T173+Y173</f>
        <v>16311.627906976739</v>
      </c>
      <c r="AJ173" s="64">
        <f>$P173/10/(1+VLOOKUP($I173,技能效果!$B$2:$D$101,3,FALSE))*怪物属性规划!D$18*U173+Z173</f>
        <v>13049.302325581391</v>
      </c>
      <c r="AK173" s="64">
        <f>$P173/10/(1+VLOOKUP($I173,技能效果!$B$2:$D$101,3,FALSE))*怪物属性规划!E$18*V173+AA173</f>
        <v>13049.302325581391</v>
      </c>
      <c r="AL173" s="67">
        <f>INDEX(角色属性!BB$8:BB$107,MATCH($D173,角色属性!$I$8:$I$107,0),1)</f>
        <v>1.9400000000000008</v>
      </c>
      <c r="AM173" s="64">
        <f>INDEX(角色属性!BC$8:BC$107,MATCH($D173,角色属性!$I$8:$I$107,0),1)</f>
        <v>52757</v>
      </c>
      <c r="AN173" s="64">
        <f>INDEX(角色属性!BD$8:BD$107,MATCH($D173,角色属性!$I$8:$I$107,0),1)</f>
        <v>3269</v>
      </c>
      <c r="AO173" s="69">
        <f t="shared" si="37"/>
        <v>0.41884419593006222</v>
      </c>
      <c r="AP173" s="69">
        <f t="shared" si="38"/>
        <v>0.96271241564268362</v>
      </c>
      <c r="AQ173" s="64">
        <f>AL173*角色属性!$BA$1*(AC173*(1-AO173)+MAX(AF173-AJ173,0))</f>
        <v>225048.05636195533</v>
      </c>
      <c r="AR173" s="64">
        <f>角色属性!$BA$1*(AH173*(1-AP173)+MAX(AK173-AE173,0))</f>
        <v>1216.4424031731025</v>
      </c>
      <c r="AS173" s="73">
        <f t="shared" si="39"/>
        <v>0.75778026551135269</v>
      </c>
      <c r="AT173" s="73">
        <f t="shared" si="40"/>
        <v>0.50518684367423505</v>
      </c>
      <c r="AU173" s="73">
        <f t="shared" si="41"/>
        <v>0.37889013275567635</v>
      </c>
      <c r="AV173" s="73">
        <f t="shared" si="42"/>
        <v>595.30973115621521</v>
      </c>
      <c r="AW173" s="73">
        <f t="shared" si="43"/>
        <v>396.87315410414345</v>
      </c>
      <c r="AX173" s="2" t="str">
        <f t="shared" si="44"/>
        <v>r_guanqia_171</v>
      </c>
      <c r="AY173" s="2">
        <f>ROUND(($P173*R173/10/$H173/(1+VLOOKUP($I173,技能效果!$B$2:$D$101,3,FALSE))-1)*10000,0)</f>
        <v>52</v>
      </c>
      <c r="AZ173" s="2">
        <f>ROUND(($P173*S173/10/$H173/(1+VLOOKUP($I173,技能效果!$B$2:$D$101,3,FALSE))-1)*10000,0)</f>
        <v>52</v>
      </c>
      <c r="BA173" s="2">
        <f>ROUND(($P173*T173/10/$H173/(1+VLOOKUP($I173,技能效果!$B$2:$D$101,3,FALSE))-1)*10000,0)</f>
        <v>52</v>
      </c>
      <c r="BB173" s="2">
        <f>ROUND(($P173*U173/10/$H173/(1+VLOOKUP($I173,技能效果!$B$2:$D$101,3,FALSE))-1)*10000,0)</f>
        <v>52</v>
      </c>
      <c r="BC173" s="2">
        <f>ROUND(($P173*V173/10/$H173/(1+VLOOKUP($I173,技能效果!$B$2:$D$101,3,FALSE))-1)*10000,0)</f>
        <v>52</v>
      </c>
    </row>
    <row r="174" spans="2:55" x14ac:dyDescent="0.15">
      <c r="B174" s="83"/>
      <c r="C174" s="2">
        <v>172</v>
      </c>
      <c r="D174" s="2">
        <f t="shared" si="48"/>
        <v>95</v>
      </c>
      <c r="E174" s="2">
        <v>2</v>
      </c>
      <c r="F174" s="28">
        <f>INDEX([3]宠物属性!$AL$8:$AL$107,MATCH(D174,[3]宠物属性!$I$8:$I$107,0),1)</f>
        <v>406305.16685642756</v>
      </c>
      <c r="G174" s="68">
        <f>F174/INDEX(角色属性!$AI$8:$AI$107,MATCH(D174,角色属性!$I$8:$I$107,0),1)*E174</f>
        <v>1.6310203147015381</v>
      </c>
      <c r="H174" s="2">
        <f>INDEX(角色属性!$AL$8:$AL$107,MATCH(D174,角色属性!$I$8:$I$107,0),1)</f>
        <v>16228</v>
      </c>
      <c r="I174" s="2">
        <f>INDEX(角色属性!$Y$8:$Y$107,MATCH(D174,角色属性!$I$8:$I$107,0),1)</f>
        <v>95</v>
      </c>
      <c r="J174" s="28">
        <f>H174*10*(1+VLOOKUP(I174,技能效果!$B$2:$D$101,3,FALSE))</f>
        <v>223297.28000000006</v>
      </c>
      <c r="K174" s="28">
        <f>H174*10*(1+VLOOKUP(I174,技能效果!$B$2:$D$101,3,FALSE))*(1+G174)</f>
        <v>587499.67989759764</v>
      </c>
      <c r="L174" s="2">
        <f t="shared" si="34"/>
        <v>180</v>
      </c>
      <c r="M174" s="28">
        <f t="shared" si="35"/>
        <v>261652.28000000006</v>
      </c>
      <c r="N174" s="28">
        <f t="shared" si="36"/>
        <v>713386.91898540012</v>
      </c>
      <c r="O174" s="62">
        <f t="shared" si="46"/>
        <v>597571</v>
      </c>
      <c r="P174" s="62">
        <f t="shared" si="47"/>
        <v>226366</v>
      </c>
      <c r="Q174" s="64">
        <f t="shared" si="45"/>
        <v>6295</v>
      </c>
      <c r="R174" s="67">
        <v>1</v>
      </c>
      <c r="S174" s="67">
        <v>1</v>
      </c>
      <c r="T174" s="67">
        <v>1</v>
      </c>
      <c r="U174" s="67">
        <v>1</v>
      </c>
      <c r="V174" s="67">
        <v>1</v>
      </c>
      <c r="W174" s="28">
        <v>0</v>
      </c>
      <c r="X174" s="28">
        <v>0</v>
      </c>
      <c r="Y174" s="28">
        <v>0</v>
      </c>
      <c r="Z174" s="28">
        <v>0</v>
      </c>
      <c r="AA174" s="28">
        <v>0</v>
      </c>
      <c r="AB174" s="64">
        <f>INDEX(角色属性!AM$8:AM$107,MATCH($D174,角色属性!$I$8:$I$107,0),1)</f>
        <v>724160</v>
      </c>
      <c r="AC174" s="64">
        <f>INDEX(角色属性!AN$8:AN$107,MATCH($D174,角色属性!$I$8:$I$107,0),1)</f>
        <v>72416</v>
      </c>
      <c r="AD174" s="64">
        <f>INDEX(角色属性!AO$8:AO$107,MATCH($D174,角色属性!$I$8:$I$107,0),1)</f>
        <v>36208</v>
      </c>
      <c r="AE174" s="64">
        <f>INDEX(角色属性!AP$8:AP$107,MATCH($D174,角色属性!$I$8:$I$107,0),1)</f>
        <v>28966.400000000001</v>
      </c>
      <c r="AF174" s="64">
        <f>INDEX(角色属性!AQ$8:AQ$107,MATCH($D174,角色属性!$I$8:$I$107,0),1)</f>
        <v>28966.400000000001</v>
      </c>
      <c r="AG174" s="64">
        <f>$P174/10/(1+VLOOKUP(I174,技能效果!$B$2:$D$101,3,FALSE))*怪物属性规划!A$18*INDEX(怪物属性等级系数!$A$2:$A$101,MATCH(D174,怪物属性等级系数!$D$2:$D$101,0),1)*R174+W174</f>
        <v>309589.71145643608</v>
      </c>
      <c r="AH174" s="64">
        <f>$P174/10/(1+VLOOKUP($I174,技能效果!$B$2:$D$101,3,FALSE))*怪物属性规划!B$18*S174+X174</f>
        <v>16451.017441860458</v>
      </c>
      <c r="AI174" s="64">
        <f>$P174/10/(1+VLOOKUP($I174,技能效果!$B$2:$D$101,3,FALSE))*怪物属性规划!C$18*T174+Y174</f>
        <v>16451.017441860458</v>
      </c>
      <c r="AJ174" s="64">
        <f>$P174/10/(1+VLOOKUP($I174,技能效果!$B$2:$D$101,3,FALSE))*怪物属性规划!D$18*U174+Z174</f>
        <v>13160.813953488367</v>
      </c>
      <c r="AK174" s="64">
        <f>$P174/10/(1+VLOOKUP($I174,技能效果!$B$2:$D$101,3,FALSE))*怪物属性规划!E$18*V174+AA174</f>
        <v>13160.813953488367</v>
      </c>
      <c r="AL174" s="67">
        <f>INDEX(角色属性!BB$8:BB$107,MATCH($D174,角色属性!$I$8:$I$107,0),1)</f>
        <v>1.9400000000000008</v>
      </c>
      <c r="AM174" s="64">
        <f>INDEX(角色属性!BC$8:BC$107,MATCH($D174,角色属性!$I$8:$I$107,0),1)</f>
        <v>52757</v>
      </c>
      <c r="AN174" s="64">
        <f>INDEX(角色属性!BD$8:BD$107,MATCH($D174,角色属性!$I$8:$I$107,0),1)</f>
        <v>3269</v>
      </c>
      <c r="AO174" s="69">
        <f t="shared" si="37"/>
        <v>0.42091684747592029</v>
      </c>
      <c r="AP174" s="69">
        <f t="shared" si="38"/>
        <v>0.96271241564268362</v>
      </c>
      <c r="AQ174" s="64">
        <f>AL174*角色属性!$BA$1*(AC174*(1-AO174)+MAX(AF174-AJ174,0))</f>
        <v>224033.02988441821</v>
      </c>
      <c r="AR174" s="64">
        <f>角色属性!$BA$1*(AH174*(1-AP174)+MAX(AK174-AE174,0))</f>
        <v>1226.8374012541101</v>
      </c>
      <c r="AS174" s="73">
        <f t="shared" si="39"/>
        <v>0.76771842183805994</v>
      </c>
      <c r="AT174" s="73">
        <f t="shared" si="40"/>
        <v>0.51181228122537326</v>
      </c>
      <c r="AU174" s="73">
        <f t="shared" si="41"/>
        <v>0.38385921091902997</v>
      </c>
      <c r="AV174" s="73">
        <f t="shared" si="42"/>
        <v>590.26566948459663</v>
      </c>
      <c r="AW174" s="73">
        <f t="shared" si="43"/>
        <v>393.5104463230644</v>
      </c>
      <c r="AX174" s="2" t="str">
        <f t="shared" si="44"/>
        <v>r_guanqia_172</v>
      </c>
      <c r="AY174" s="2">
        <f>ROUND(($P174*R174/10/$H174/(1+VLOOKUP($I174,技能效果!$B$2:$D$101,3,FALSE))-1)*10000,0)</f>
        <v>137</v>
      </c>
      <c r="AZ174" s="2">
        <f>ROUND(($P174*S174/10/$H174/(1+VLOOKUP($I174,技能效果!$B$2:$D$101,3,FALSE))-1)*10000,0)</f>
        <v>137</v>
      </c>
      <c r="BA174" s="2">
        <f>ROUND(($P174*T174/10/$H174/(1+VLOOKUP($I174,技能效果!$B$2:$D$101,3,FALSE))-1)*10000,0)</f>
        <v>137</v>
      </c>
      <c r="BB174" s="2">
        <f>ROUND(($P174*U174/10/$H174/(1+VLOOKUP($I174,技能效果!$B$2:$D$101,3,FALSE))-1)*10000,0)</f>
        <v>137</v>
      </c>
      <c r="BC174" s="2">
        <f>ROUND(($P174*V174/10/$H174/(1+VLOOKUP($I174,技能效果!$B$2:$D$101,3,FALSE))-1)*10000,0)</f>
        <v>137</v>
      </c>
    </row>
    <row r="175" spans="2:55" x14ac:dyDescent="0.15">
      <c r="B175" s="83"/>
      <c r="C175" s="2">
        <v>173</v>
      </c>
      <c r="D175" s="2">
        <f t="shared" si="48"/>
        <v>96</v>
      </c>
      <c r="E175" s="2">
        <v>2</v>
      </c>
      <c r="F175" s="28">
        <f>INDEX([3]宠物属性!$AL$8:$AL$107,MATCH(D175,[3]宠物属性!$I$8:$I$107,0),1)</f>
        <v>409728.67177846003</v>
      </c>
      <c r="G175" s="68">
        <f>F175/INDEX(角色属性!$AI$8:$AI$107,MATCH(D175,角色属性!$I$8:$I$107,0),1)*E175</f>
        <v>1.6369666967447136</v>
      </c>
      <c r="H175" s="2">
        <f>INDEX(角色属性!$AL$8:$AL$107,MATCH(D175,角色属性!$I$8:$I$107,0),1)</f>
        <v>16711</v>
      </c>
      <c r="I175" s="2">
        <f>INDEX(角色属性!$Y$8:$Y$107,MATCH(D175,角色属性!$I$8:$I$107,0),1)</f>
        <v>96</v>
      </c>
      <c r="J175" s="28">
        <f>H175*10*(1+VLOOKUP(I175,技能效果!$B$2:$D$101,3,FALSE))</f>
        <v>230611.80000000005</v>
      </c>
      <c r="K175" s="28">
        <f>H175*10*(1+VLOOKUP(I175,技能效果!$B$2:$D$101,3,FALSE))*(1+G175)</f>
        <v>608115.63647635269</v>
      </c>
      <c r="L175" s="2">
        <f t="shared" si="34"/>
        <v>180</v>
      </c>
      <c r="M175" s="28">
        <f t="shared" si="35"/>
        <v>261652.28000000006</v>
      </c>
      <c r="N175" s="28">
        <f t="shared" si="36"/>
        <v>713386.91898540012</v>
      </c>
      <c r="O175" s="62">
        <f t="shared" si="46"/>
        <v>606383</v>
      </c>
      <c r="P175" s="62">
        <f t="shared" si="47"/>
        <v>229051</v>
      </c>
      <c r="Q175" s="64">
        <f t="shared" si="45"/>
        <v>8812</v>
      </c>
      <c r="R175" s="67">
        <v>1</v>
      </c>
      <c r="S175" s="67">
        <v>1</v>
      </c>
      <c r="T175" s="67">
        <v>1</v>
      </c>
      <c r="U175" s="67">
        <v>1</v>
      </c>
      <c r="V175" s="67">
        <v>1</v>
      </c>
      <c r="W175" s="28">
        <v>0</v>
      </c>
      <c r="X175" s="28">
        <v>0</v>
      </c>
      <c r="Y175" s="28">
        <v>0</v>
      </c>
      <c r="Z175" s="28">
        <v>0</v>
      </c>
      <c r="AA175" s="28">
        <v>0</v>
      </c>
      <c r="AB175" s="64">
        <f>INDEX(角色属性!AM$8:AM$107,MATCH($D175,角色属性!$I$8:$I$107,0),1)</f>
        <v>725500</v>
      </c>
      <c r="AC175" s="64">
        <f>INDEX(角色属性!AN$8:AN$107,MATCH($D175,角色属性!$I$8:$I$107,0),1)</f>
        <v>72550</v>
      </c>
      <c r="AD175" s="64">
        <f>INDEX(角色属性!AO$8:AO$107,MATCH($D175,角色属性!$I$8:$I$107,0),1)</f>
        <v>36275</v>
      </c>
      <c r="AE175" s="64">
        <f>INDEX(角色属性!AP$8:AP$107,MATCH($D175,角色属性!$I$8:$I$107,0),1)</f>
        <v>29020</v>
      </c>
      <c r="AF175" s="64">
        <f>INDEX(角色属性!AQ$8:AQ$107,MATCH($D175,角色属性!$I$8:$I$107,0),1)</f>
        <v>29020</v>
      </c>
      <c r="AG175" s="64">
        <f>$P175/10/(1+VLOOKUP(I175,技能效果!$B$2:$D$101,3,FALSE))*怪物属性规划!A$18*INDEX(怪物属性等级系数!$A$2:$A$101,MATCH(D175,怪物属性等级系数!$D$2:$D$101,0),1)*R175+W175</f>
        <v>315578.81075490412</v>
      </c>
      <c r="AH175" s="64">
        <f>$P175/10/(1+VLOOKUP($I175,技能效果!$B$2:$D$101,3,FALSE))*怪物属性规划!B$18*S175+X175</f>
        <v>16597.898550724633</v>
      </c>
      <c r="AI175" s="64">
        <f>$P175/10/(1+VLOOKUP($I175,技能效果!$B$2:$D$101,3,FALSE))*怪物属性规划!C$18*T175+Y175</f>
        <v>16597.898550724633</v>
      </c>
      <c r="AJ175" s="64">
        <f>$P175/10/(1+VLOOKUP($I175,技能效果!$B$2:$D$101,3,FALSE))*怪物属性规划!D$18*U175+Z175</f>
        <v>13278.318840579706</v>
      </c>
      <c r="AK175" s="64">
        <f>$P175/10/(1+VLOOKUP($I175,技能效果!$B$2:$D$101,3,FALSE))*怪物属性规划!E$18*V175+AA175</f>
        <v>13278.318840579706</v>
      </c>
      <c r="AL175" s="67">
        <f>INDEX(角色属性!BB$8:BB$107,MATCH($D175,角色属性!$I$8:$I$107,0),1)</f>
        <v>1.9500000000000008</v>
      </c>
      <c r="AM175" s="64">
        <f>INDEX(角色属性!BC$8:BC$107,MATCH($D175,角色属性!$I$8:$I$107,0),1)</f>
        <v>55003</v>
      </c>
      <c r="AN175" s="64">
        <f>INDEX(角色属性!BD$8:BD$107,MATCH($D175,角色属性!$I$8:$I$107,0),1)</f>
        <v>3261</v>
      </c>
      <c r="AO175" s="69">
        <f t="shared" si="37"/>
        <v>0.41294277575989841</v>
      </c>
      <c r="AP175" s="69">
        <f t="shared" si="38"/>
        <v>0.96286642907202058</v>
      </c>
      <c r="AQ175" s="64">
        <f>AL175*角色属性!$BA$1*(AC175*(1-AO175)+MAX(AF175-AJ175,0))</f>
        <v>227497.46283435478</v>
      </c>
      <c r="AR175" s="64">
        <f>角色属性!$BA$1*(AH175*(1-AP175)+MAX(AK175-AE175,0))</f>
        <v>1232.67848617748</v>
      </c>
      <c r="AS175" s="73">
        <f t="shared" si="39"/>
        <v>0.77065282111808531</v>
      </c>
      <c r="AT175" s="73">
        <f t="shared" si="40"/>
        <v>0.51376854741205691</v>
      </c>
      <c r="AU175" s="73">
        <f t="shared" si="41"/>
        <v>0.38532641055904265</v>
      </c>
      <c r="AV175" s="73">
        <f t="shared" si="42"/>
        <v>588.55574112416457</v>
      </c>
      <c r="AW175" s="73">
        <f t="shared" si="43"/>
        <v>392.37049408277642</v>
      </c>
      <c r="AX175" s="2" t="str">
        <f t="shared" si="44"/>
        <v>r_guanqia_173</v>
      </c>
      <c r="AY175" s="2">
        <f>ROUND(($P175*R175/10/$H175/(1+VLOOKUP($I175,技能效果!$B$2:$D$101,3,FALSE))-1)*10000,0)</f>
        <v>-68</v>
      </c>
      <c r="AZ175" s="2">
        <f>ROUND(($P175*S175/10/$H175/(1+VLOOKUP($I175,技能效果!$B$2:$D$101,3,FALSE))-1)*10000,0)</f>
        <v>-68</v>
      </c>
      <c r="BA175" s="2">
        <f>ROUND(($P175*T175/10/$H175/(1+VLOOKUP($I175,技能效果!$B$2:$D$101,3,FALSE))-1)*10000,0)</f>
        <v>-68</v>
      </c>
      <c r="BB175" s="2">
        <f>ROUND(($P175*U175/10/$H175/(1+VLOOKUP($I175,技能效果!$B$2:$D$101,3,FALSE))-1)*10000,0)</f>
        <v>-68</v>
      </c>
      <c r="BC175" s="2">
        <f>ROUND(($P175*V175/10/$H175/(1+VLOOKUP($I175,技能效果!$B$2:$D$101,3,FALSE))-1)*10000,0)</f>
        <v>-68</v>
      </c>
    </row>
    <row r="176" spans="2:55" x14ac:dyDescent="0.15">
      <c r="B176" s="83"/>
      <c r="C176" s="2">
        <v>174</v>
      </c>
      <c r="D176" s="2">
        <f t="shared" si="48"/>
        <v>96</v>
      </c>
      <c r="E176" s="2">
        <v>2</v>
      </c>
      <c r="F176" s="28">
        <f>INDEX([3]宠物属性!$AL$8:$AL$107,MATCH(D176,[3]宠物属性!$I$8:$I$107,0),1)</f>
        <v>409728.67177846003</v>
      </c>
      <c r="G176" s="68">
        <f>F176/INDEX(角色属性!$AI$8:$AI$107,MATCH(D176,角色属性!$I$8:$I$107,0),1)*E176</f>
        <v>1.6369666967447136</v>
      </c>
      <c r="H176" s="2">
        <f>INDEX(角色属性!$AL$8:$AL$107,MATCH(D176,角色属性!$I$8:$I$107,0),1)</f>
        <v>16711</v>
      </c>
      <c r="I176" s="2">
        <f>INDEX(角色属性!$Y$8:$Y$107,MATCH(D176,角色属性!$I$8:$I$107,0),1)</f>
        <v>96</v>
      </c>
      <c r="J176" s="28">
        <f>H176*10*(1+VLOOKUP(I176,技能效果!$B$2:$D$101,3,FALSE))</f>
        <v>230611.80000000005</v>
      </c>
      <c r="K176" s="28">
        <f>H176*10*(1+VLOOKUP(I176,技能效果!$B$2:$D$101,3,FALSE))*(1+G176)</f>
        <v>608115.63647635269</v>
      </c>
      <c r="L176" s="2">
        <f t="shared" si="34"/>
        <v>180</v>
      </c>
      <c r="M176" s="28">
        <f t="shared" si="35"/>
        <v>261652.28000000006</v>
      </c>
      <c r="N176" s="28">
        <f t="shared" si="36"/>
        <v>713386.91898540012</v>
      </c>
      <c r="O176" s="62">
        <f t="shared" si="46"/>
        <v>617713</v>
      </c>
      <c r="P176" s="62">
        <f t="shared" si="47"/>
        <v>232502</v>
      </c>
      <c r="Q176" s="64">
        <f t="shared" si="45"/>
        <v>11330</v>
      </c>
      <c r="R176" s="67">
        <v>1</v>
      </c>
      <c r="S176" s="67">
        <v>1</v>
      </c>
      <c r="T176" s="67">
        <v>1</v>
      </c>
      <c r="U176" s="67">
        <v>1</v>
      </c>
      <c r="V176" s="67">
        <v>1</v>
      </c>
      <c r="W176" s="28">
        <v>0</v>
      </c>
      <c r="X176" s="28">
        <v>0</v>
      </c>
      <c r="Y176" s="28">
        <v>0</v>
      </c>
      <c r="Z176" s="28">
        <v>0</v>
      </c>
      <c r="AA176" s="28">
        <v>0</v>
      </c>
      <c r="AB176" s="64">
        <f>INDEX(角色属性!AM$8:AM$107,MATCH($D176,角色属性!$I$8:$I$107,0),1)</f>
        <v>725500</v>
      </c>
      <c r="AC176" s="64">
        <f>INDEX(角色属性!AN$8:AN$107,MATCH($D176,角色属性!$I$8:$I$107,0),1)</f>
        <v>72550</v>
      </c>
      <c r="AD176" s="64">
        <f>INDEX(角色属性!AO$8:AO$107,MATCH($D176,角色属性!$I$8:$I$107,0),1)</f>
        <v>36275</v>
      </c>
      <c r="AE176" s="64">
        <f>INDEX(角色属性!AP$8:AP$107,MATCH($D176,角色属性!$I$8:$I$107,0),1)</f>
        <v>29020</v>
      </c>
      <c r="AF176" s="64">
        <f>INDEX(角色属性!AQ$8:AQ$107,MATCH($D176,角色属性!$I$8:$I$107,0),1)</f>
        <v>29020</v>
      </c>
      <c r="AG176" s="64">
        <f>$P176/10/(1+VLOOKUP(I176,技能效果!$B$2:$D$101,3,FALSE))*怪物属性规划!A$18*INDEX(怪物属性等级系数!$A$2:$A$101,MATCH(D176,怪物属性等级系数!$D$2:$D$101,0),1)*R176+W176</f>
        <v>320333.48318993027</v>
      </c>
      <c r="AH176" s="64">
        <f>$P176/10/(1+VLOOKUP($I176,技能效果!$B$2:$D$101,3,FALSE))*怪物属性规划!B$18*S176+X176</f>
        <v>16847.971014492749</v>
      </c>
      <c r="AI176" s="64">
        <f>$P176/10/(1+VLOOKUP($I176,技能效果!$B$2:$D$101,3,FALSE))*怪物属性规划!C$18*T176+Y176</f>
        <v>16847.971014492749</v>
      </c>
      <c r="AJ176" s="64">
        <f>$P176/10/(1+VLOOKUP($I176,技能效果!$B$2:$D$101,3,FALSE))*怪物属性规划!D$18*U176+Z176</f>
        <v>13478.3768115942</v>
      </c>
      <c r="AK176" s="64">
        <f>$P176/10/(1+VLOOKUP($I176,技能效果!$B$2:$D$101,3,FALSE))*怪物属性规划!E$18*V176+AA176</f>
        <v>13478.3768115942</v>
      </c>
      <c r="AL176" s="67">
        <f>INDEX(角色属性!BB$8:BB$107,MATCH($D176,角色属性!$I$8:$I$107,0),1)</f>
        <v>1.9500000000000008</v>
      </c>
      <c r="AM176" s="64">
        <f>INDEX(角色属性!BC$8:BC$107,MATCH($D176,角色属性!$I$8:$I$107,0),1)</f>
        <v>55003</v>
      </c>
      <c r="AN176" s="64">
        <f>INDEX(角色属性!BD$8:BD$107,MATCH($D176,角色属性!$I$8:$I$107,0),1)</f>
        <v>3261</v>
      </c>
      <c r="AO176" s="69">
        <f t="shared" si="37"/>
        <v>0.41657263210158202</v>
      </c>
      <c r="AP176" s="69">
        <f t="shared" si="38"/>
        <v>0.96286642907202058</v>
      </c>
      <c r="AQ176" s="64">
        <f>AL176*角色属性!$BA$1*(AC176*(1-AO176)+MAX(AF176-AJ176,0))</f>
        <v>225690.18704480058</v>
      </c>
      <c r="AR176" s="64">
        <f>角色属性!$BA$1*(AH176*(1-AP176)+MAX(AK176-AE176,0))</f>
        <v>1251.2506533184157</v>
      </c>
      <c r="AS176" s="73">
        <f t="shared" si="39"/>
        <v>0.78852806383337082</v>
      </c>
      <c r="AT176" s="73">
        <f t="shared" si="40"/>
        <v>0.52568537588891384</v>
      </c>
      <c r="AU176" s="73">
        <f t="shared" si="41"/>
        <v>0.39426403191668541</v>
      </c>
      <c r="AV176" s="73">
        <f t="shared" si="42"/>
        <v>579.81987707731992</v>
      </c>
      <c r="AW176" s="73">
        <f t="shared" si="43"/>
        <v>386.5465847182133</v>
      </c>
      <c r="AX176" s="2" t="str">
        <f t="shared" si="44"/>
        <v>r_guanqia_174</v>
      </c>
      <c r="AY176" s="2">
        <f>ROUND(($P176*R176/10/$H176/(1+VLOOKUP($I176,技能效果!$B$2:$D$101,3,FALSE))-1)*10000,0)</f>
        <v>82</v>
      </c>
      <c r="AZ176" s="2">
        <f>ROUND(($P176*S176/10/$H176/(1+VLOOKUP($I176,技能效果!$B$2:$D$101,3,FALSE))-1)*10000,0)</f>
        <v>82</v>
      </c>
      <c r="BA176" s="2">
        <f>ROUND(($P176*T176/10/$H176/(1+VLOOKUP($I176,技能效果!$B$2:$D$101,3,FALSE))-1)*10000,0)</f>
        <v>82</v>
      </c>
      <c r="BB176" s="2">
        <f>ROUND(($P176*U176/10/$H176/(1+VLOOKUP($I176,技能效果!$B$2:$D$101,3,FALSE))-1)*10000,0)</f>
        <v>82</v>
      </c>
      <c r="BC176" s="2">
        <f>ROUND(($P176*V176/10/$H176/(1+VLOOKUP($I176,技能效果!$B$2:$D$101,3,FALSE))-1)*10000,0)</f>
        <v>82</v>
      </c>
    </row>
    <row r="177" spans="2:55" x14ac:dyDescent="0.15">
      <c r="B177" s="83"/>
      <c r="C177" s="2">
        <v>175</v>
      </c>
      <c r="D177" s="2">
        <f t="shared" si="48"/>
        <v>97</v>
      </c>
      <c r="E177" s="2">
        <v>2</v>
      </c>
      <c r="F177" s="28">
        <f>INDEX([3]宠物属性!$AL$8:$AL$107,MATCH(D177,[3]宠物属性!$I$8:$I$107,0),1)</f>
        <v>413165.57206049253</v>
      </c>
      <c r="G177" s="68">
        <f>F177/INDEX(角色属性!$AI$8:$AI$107,MATCH(D177,角色属性!$I$8:$I$107,0),1)*E177</f>
        <v>1.6428927280609913</v>
      </c>
      <c r="H177" s="2">
        <f>INDEX(角色属性!$AL$8:$AL$107,MATCH(D177,角色属性!$I$8:$I$107,0),1)</f>
        <v>17205</v>
      </c>
      <c r="I177" s="2">
        <f>INDEX(角色属性!$Y$8:$Y$107,MATCH(D177,角色属性!$I$8:$I$107,0),1)</f>
        <v>97</v>
      </c>
      <c r="J177" s="28">
        <f>H177*10*(1+VLOOKUP(I177,技能效果!$B$2:$D$101,3,FALSE))</f>
        <v>238117.20000000007</v>
      </c>
      <c r="K177" s="28">
        <f>H177*10*(1+VLOOKUP(I177,技能效果!$B$2:$D$101,3,FALSE))*(1+G177)</f>
        <v>629318.21630624484</v>
      </c>
      <c r="L177" s="2">
        <f t="shared" si="34"/>
        <v>180</v>
      </c>
      <c r="M177" s="28">
        <f t="shared" si="35"/>
        <v>261652.28000000006</v>
      </c>
      <c r="N177" s="28">
        <f t="shared" si="36"/>
        <v>713386.91898540012</v>
      </c>
      <c r="O177" s="62">
        <f t="shared" si="46"/>
        <v>640372</v>
      </c>
      <c r="P177" s="62">
        <f t="shared" si="47"/>
        <v>239406</v>
      </c>
      <c r="Q177" s="64">
        <f t="shared" si="45"/>
        <v>22659</v>
      </c>
      <c r="R177" s="67">
        <v>1</v>
      </c>
      <c r="S177" s="67">
        <v>1</v>
      </c>
      <c r="T177" s="67">
        <v>1</v>
      </c>
      <c r="U177" s="67">
        <v>1</v>
      </c>
      <c r="V177" s="67">
        <v>1</v>
      </c>
      <c r="W177" s="28">
        <v>0</v>
      </c>
      <c r="X177" s="28">
        <v>0</v>
      </c>
      <c r="Y177" s="28">
        <v>0</v>
      </c>
      <c r="Z177" s="28">
        <v>0</v>
      </c>
      <c r="AA177" s="28">
        <v>0</v>
      </c>
      <c r="AB177" s="64">
        <f>INDEX(角色属性!AM$8:AM$107,MATCH($D177,角色属性!$I$8:$I$107,0),1)</f>
        <v>726840</v>
      </c>
      <c r="AC177" s="64">
        <f>INDEX(角色属性!AN$8:AN$107,MATCH($D177,角色属性!$I$8:$I$107,0),1)</f>
        <v>72684</v>
      </c>
      <c r="AD177" s="64">
        <f>INDEX(角色属性!AO$8:AO$107,MATCH($D177,角色属性!$I$8:$I$107,0),1)</f>
        <v>36342</v>
      </c>
      <c r="AE177" s="64">
        <f>INDEX(角色属性!AP$8:AP$107,MATCH($D177,角色属性!$I$8:$I$107,0),1)</f>
        <v>29073.599999999999</v>
      </c>
      <c r="AF177" s="64">
        <f>INDEX(角色属性!AQ$8:AQ$107,MATCH($D177,角色属性!$I$8:$I$107,0),1)</f>
        <v>29073.599999999999</v>
      </c>
      <c r="AG177" s="64">
        <f>$P177/10/(1+VLOOKUP(I177,技能效果!$B$2:$D$101,3,FALSE))*怪物属性规划!A$18*INDEX(怪物属性等级系数!$A$2:$A$101,MATCH(D177,怪物属性等级系数!$D$2:$D$101,0),1)*R177+W177</f>
        <v>332256.01084648032</v>
      </c>
      <c r="AH177" s="64">
        <f>$P177/10/(1+VLOOKUP($I177,技能效果!$B$2:$D$101,3,FALSE))*怪物属性规划!B$18*S177+X177</f>
        <v>17298.12138728323</v>
      </c>
      <c r="AI177" s="64">
        <f>$P177/10/(1+VLOOKUP($I177,技能效果!$B$2:$D$101,3,FALSE))*怪物属性规划!C$18*T177+Y177</f>
        <v>17298.12138728323</v>
      </c>
      <c r="AJ177" s="64">
        <f>$P177/10/(1+VLOOKUP($I177,技能效果!$B$2:$D$101,3,FALSE))*怪物属性规划!D$18*U177+Z177</f>
        <v>13838.497109826585</v>
      </c>
      <c r="AK177" s="64">
        <f>$P177/10/(1+VLOOKUP($I177,技能效果!$B$2:$D$101,3,FALSE))*怪物属性规划!E$18*V177+AA177</f>
        <v>13838.497109826585</v>
      </c>
      <c r="AL177" s="67">
        <f>INDEX(角色属性!BB$8:BB$107,MATCH($D177,角色属性!$I$8:$I$107,0),1)</f>
        <v>1.9600000000000009</v>
      </c>
      <c r="AM177" s="64">
        <f>INDEX(角色属性!BC$8:BC$107,MATCH($D177,角色属性!$I$8:$I$107,0),1)</f>
        <v>57334</v>
      </c>
      <c r="AN177" s="64">
        <f>INDEX(角色属性!BD$8:BD$107,MATCH($D177,角色属性!$I$8:$I$107,0),1)</f>
        <v>3253</v>
      </c>
      <c r="AO177" s="69">
        <f t="shared" si="37"/>
        <v>0.41289810421173212</v>
      </c>
      <c r="AP177" s="69">
        <f t="shared" si="38"/>
        <v>0.96301992363730582</v>
      </c>
      <c r="AQ177" s="64">
        <f>AL177*角色属性!$BA$1*(AC177*(1-AO177)+MAX(AF177-AJ177,0))</f>
        <v>226999.42696789978</v>
      </c>
      <c r="AR177" s="64">
        <f>角色属性!$BA$1*(AH177*(1-AP177)+MAX(AK177-AE177,0))</f>
        <v>1279.3716996657745</v>
      </c>
      <c r="AS177" s="73">
        <f t="shared" si="39"/>
        <v>0.81315920114014939</v>
      </c>
      <c r="AT177" s="73">
        <f t="shared" si="40"/>
        <v>0.54210613409343289</v>
      </c>
      <c r="AU177" s="73">
        <f t="shared" si="41"/>
        <v>0.4065796005700747</v>
      </c>
      <c r="AV177" s="73">
        <f t="shared" si="42"/>
        <v>568.12261846176614</v>
      </c>
      <c r="AW177" s="73">
        <f t="shared" si="43"/>
        <v>378.74841230784409</v>
      </c>
      <c r="AX177" s="2" t="str">
        <f t="shared" si="44"/>
        <v>r_guanqia_175</v>
      </c>
      <c r="AY177" s="2">
        <f>ROUND(($P177*R177/10/$H177/(1+VLOOKUP($I177,技能效果!$B$2:$D$101,3,FALSE))-1)*10000,0)</f>
        <v>54</v>
      </c>
      <c r="AZ177" s="2">
        <f>ROUND(($P177*S177/10/$H177/(1+VLOOKUP($I177,技能效果!$B$2:$D$101,3,FALSE))-1)*10000,0)</f>
        <v>54</v>
      </c>
      <c r="BA177" s="2">
        <f>ROUND(($P177*T177/10/$H177/(1+VLOOKUP($I177,技能效果!$B$2:$D$101,3,FALSE))-1)*10000,0)</f>
        <v>54</v>
      </c>
      <c r="BB177" s="2">
        <f>ROUND(($P177*U177/10/$H177/(1+VLOOKUP($I177,技能效果!$B$2:$D$101,3,FALSE))-1)*10000,0)</f>
        <v>54</v>
      </c>
      <c r="BC177" s="2">
        <f>ROUND(($P177*V177/10/$H177/(1+VLOOKUP($I177,技能效果!$B$2:$D$101,3,FALSE))-1)*10000,0)</f>
        <v>54</v>
      </c>
    </row>
    <row r="178" spans="2:55" x14ac:dyDescent="0.15">
      <c r="B178" s="83"/>
      <c r="C178" s="2">
        <v>176</v>
      </c>
      <c r="D178" s="2">
        <f t="shared" si="48"/>
        <v>97</v>
      </c>
      <c r="E178" s="2">
        <v>2</v>
      </c>
      <c r="F178" s="28">
        <f>INDEX([3]宠物属性!$AL$8:$AL$107,MATCH(D178,[3]宠物属性!$I$8:$I$107,0),1)</f>
        <v>413165.57206049253</v>
      </c>
      <c r="G178" s="68">
        <f>F178/INDEX(角色属性!$AI$8:$AI$107,MATCH(D178,角色属性!$I$8:$I$107,0),1)*E178</f>
        <v>1.6428927280609913</v>
      </c>
      <c r="H178" s="2">
        <f>INDEX(角色属性!$AL$8:$AL$107,MATCH(D178,角色属性!$I$8:$I$107,0),1)</f>
        <v>17205</v>
      </c>
      <c r="I178" s="2">
        <f>INDEX(角色属性!$Y$8:$Y$107,MATCH(D178,角色属性!$I$8:$I$107,0),1)</f>
        <v>97</v>
      </c>
      <c r="J178" s="28">
        <f>H178*10*(1+VLOOKUP(I178,技能效果!$B$2:$D$101,3,FALSE))</f>
        <v>238117.20000000007</v>
      </c>
      <c r="K178" s="28">
        <f>H178*10*(1+VLOOKUP(I178,技能效果!$B$2:$D$101,3,FALSE))*(1+G178)</f>
        <v>629318.21630624484</v>
      </c>
      <c r="L178" s="2">
        <f t="shared" si="34"/>
        <v>180</v>
      </c>
      <c r="M178" s="28">
        <f t="shared" si="35"/>
        <v>261652.28000000006</v>
      </c>
      <c r="N178" s="28">
        <f t="shared" si="36"/>
        <v>713386.91898540012</v>
      </c>
      <c r="O178" s="62">
        <f t="shared" si="46"/>
        <v>645408</v>
      </c>
      <c r="P178" s="62">
        <f t="shared" si="47"/>
        <v>240941</v>
      </c>
      <c r="Q178" s="64">
        <f t="shared" si="45"/>
        <v>5036</v>
      </c>
      <c r="R178" s="67">
        <v>1</v>
      </c>
      <c r="S178" s="67">
        <v>1</v>
      </c>
      <c r="T178" s="67">
        <v>1</v>
      </c>
      <c r="U178" s="67">
        <v>1</v>
      </c>
      <c r="V178" s="67">
        <v>1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64">
        <f>INDEX(角色属性!AM$8:AM$107,MATCH($D178,角色属性!$I$8:$I$107,0),1)</f>
        <v>726840</v>
      </c>
      <c r="AC178" s="64">
        <f>INDEX(角色属性!AN$8:AN$107,MATCH($D178,角色属性!$I$8:$I$107,0),1)</f>
        <v>72684</v>
      </c>
      <c r="AD178" s="64">
        <f>INDEX(角色属性!AO$8:AO$107,MATCH($D178,角色属性!$I$8:$I$107,0),1)</f>
        <v>36342</v>
      </c>
      <c r="AE178" s="64">
        <f>INDEX(角色属性!AP$8:AP$107,MATCH($D178,角色属性!$I$8:$I$107,0),1)</f>
        <v>29073.599999999999</v>
      </c>
      <c r="AF178" s="64">
        <f>INDEX(角色属性!AQ$8:AQ$107,MATCH($D178,角色属性!$I$8:$I$107,0),1)</f>
        <v>29073.599999999999</v>
      </c>
      <c r="AG178" s="64">
        <f>$P178/10/(1+VLOOKUP(I178,技能效果!$B$2:$D$101,3,FALSE))*怪物属性规划!A$18*INDEX(怪物属性等级系数!$A$2:$A$101,MATCH(D178,怪物属性等级系数!$D$2:$D$101,0),1)*R178+W178</f>
        <v>334386.33747425635</v>
      </c>
      <c r="AH178" s="64">
        <f>$P178/10/(1+VLOOKUP($I178,技能效果!$B$2:$D$101,3,FALSE))*怪物属性规划!B$18*S178+X178</f>
        <v>17409.03179190751</v>
      </c>
      <c r="AI178" s="64">
        <f>$P178/10/(1+VLOOKUP($I178,技能效果!$B$2:$D$101,3,FALSE))*怪物属性规划!C$18*T178+Y178</f>
        <v>17409.03179190751</v>
      </c>
      <c r="AJ178" s="64">
        <f>$P178/10/(1+VLOOKUP($I178,技能效果!$B$2:$D$101,3,FALSE))*怪物属性规划!D$18*U178+Z178</f>
        <v>13927.225433526008</v>
      </c>
      <c r="AK178" s="64">
        <f>$P178/10/(1+VLOOKUP($I178,技能效果!$B$2:$D$101,3,FALSE))*怪物属性规划!E$18*V178+AA178</f>
        <v>13927.225433526008</v>
      </c>
      <c r="AL178" s="67">
        <f>INDEX(角色属性!BB$8:BB$107,MATCH($D178,角色属性!$I$8:$I$107,0),1)</f>
        <v>1.9600000000000009</v>
      </c>
      <c r="AM178" s="64">
        <f>INDEX(角色属性!BC$8:BC$107,MATCH($D178,角色属性!$I$8:$I$107,0),1)</f>
        <v>57334</v>
      </c>
      <c r="AN178" s="64">
        <f>INDEX(角色属性!BD$8:BD$107,MATCH($D178,角色属性!$I$8:$I$107,0),1)</f>
        <v>3253</v>
      </c>
      <c r="AO178" s="69">
        <f t="shared" si="37"/>
        <v>0.41444828195684852</v>
      </c>
      <c r="AP178" s="69">
        <f t="shared" si="38"/>
        <v>0.96301992363730582</v>
      </c>
      <c r="AQ178" s="64">
        <f>AL178*角色属性!$BA$1*(AC178*(1-AO178)+MAX(AF178-AJ178,0))</f>
        <v>226209.93331163199</v>
      </c>
      <c r="AR178" s="64">
        <f>角色属性!$BA$1*(AH178*(1-AP178)+MAX(AK178-AE178,0))</f>
        <v>1287.5746501306207</v>
      </c>
      <c r="AS178" s="73">
        <f t="shared" si="39"/>
        <v>0.8212291333368491</v>
      </c>
      <c r="AT178" s="73">
        <f t="shared" si="40"/>
        <v>0.54748608889123274</v>
      </c>
      <c r="AU178" s="73">
        <f t="shared" si="41"/>
        <v>0.41061456666842455</v>
      </c>
      <c r="AV178" s="73">
        <f t="shared" si="42"/>
        <v>564.50319204891468</v>
      </c>
      <c r="AW178" s="73">
        <f t="shared" si="43"/>
        <v>376.33546136594316</v>
      </c>
      <c r="AX178" s="2" t="str">
        <f t="shared" si="44"/>
        <v>r_guanqia_176</v>
      </c>
      <c r="AY178" s="2">
        <f>ROUND(($P178*R178/10/$H178/(1+VLOOKUP($I178,技能效果!$B$2:$D$101,3,FALSE))-1)*10000,0)</f>
        <v>119</v>
      </c>
      <c r="AZ178" s="2">
        <f>ROUND(($P178*S178/10/$H178/(1+VLOOKUP($I178,技能效果!$B$2:$D$101,3,FALSE))-1)*10000,0)</f>
        <v>119</v>
      </c>
      <c r="BA178" s="2">
        <f>ROUND(($P178*T178/10/$H178/(1+VLOOKUP($I178,技能效果!$B$2:$D$101,3,FALSE))-1)*10000,0)</f>
        <v>119</v>
      </c>
      <c r="BB178" s="2">
        <f>ROUND(($P178*U178/10/$H178/(1+VLOOKUP($I178,技能效果!$B$2:$D$101,3,FALSE))-1)*10000,0)</f>
        <v>119</v>
      </c>
      <c r="BC178" s="2">
        <f>ROUND(($P178*V178/10/$H178/(1+VLOOKUP($I178,技能效果!$B$2:$D$101,3,FALSE))-1)*10000,0)</f>
        <v>119</v>
      </c>
    </row>
    <row r="179" spans="2:55" x14ac:dyDescent="0.15">
      <c r="B179" s="83"/>
      <c r="C179" s="2">
        <v>177</v>
      </c>
      <c r="D179" s="2">
        <f t="shared" si="48"/>
        <v>97</v>
      </c>
      <c r="E179" s="2">
        <v>2</v>
      </c>
      <c r="F179" s="28">
        <f>INDEX([3]宠物属性!$AL$8:$AL$107,MATCH(D179,[3]宠物属性!$I$8:$I$107,0),1)</f>
        <v>413165.57206049253</v>
      </c>
      <c r="G179" s="68">
        <f>F179/INDEX(角色属性!$AI$8:$AI$107,MATCH(D179,角色属性!$I$8:$I$107,0),1)*E179</f>
        <v>1.6428927280609913</v>
      </c>
      <c r="H179" s="2">
        <f>INDEX(角色属性!$AL$8:$AL$107,MATCH(D179,角色属性!$I$8:$I$107,0),1)</f>
        <v>17205</v>
      </c>
      <c r="I179" s="2">
        <f>INDEX(角色属性!$Y$8:$Y$107,MATCH(D179,角色属性!$I$8:$I$107,0),1)</f>
        <v>97</v>
      </c>
      <c r="J179" s="28">
        <f>H179*10*(1+VLOOKUP(I179,技能效果!$B$2:$D$101,3,FALSE))</f>
        <v>238117.20000000007</v>
      </c>
      <c r="K179" s="28">
        <f>H179*10*(1+VLOOKUP(I179,技能效果!$B$2:$D$101,3,FALSE))*(1+G179)</f>
        <v>629318.21630624484</v>
      </c>
      <c r="L179" s="2">
        <f t="shared" si="34"/>
        <v>180</v>
      </c>
      <c r="M179" s="28">
        <f t="shared" si="35"/>
        <v>261652.28000000006</v>
      </c>
      <c r="N179" s="28">
        <f t="shared" si="36"/>
        <v>713386.91898540012</v>
      </c>
      <c r="O179" s="62">
        <f t="shared" si="46"/>
        <v>652961</v>
      </c>
      <c r="P179" s="62">
        <f t="shared" si="47"/>
        <v>243242</v>
      </c>
      <c r="Q179" s="64">
        <f t="shared" si="45"/>
        <v>7553</v>
      </c>
      <c r="R179" s="67">
        <v>1</v>
      </c>
      <c r="S179" s="67">
        <v>1</v>
      </c>
      <c r="T179" s="67">
        <v>1</v>
      </c>
      <c r="U179" s="67">
        <v>1</v>
      </c>
      <c r="V179" s="67">
        <v>1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64">
        <f>INDEX(角色属性!AM$8:AM$107,MATCH($D179,角色属性!$I$8:$I$107,0),1)</f>
        <v>726840</v>
      </c>
      <c r="AC179" s="64">
        <f>INDEX(角色属性!AN$8:AN$107,MATCH($D179,角色属性!$I$8:$I$107,0),1)</f>
        <v>72684</v>
      </c>
      <c r="AD179" s="64">
        <f>INDEX(角色属性!AO$8:AO$107,MATCH($D179,角色属性!$I$8:$I$107,0),1)</f>
        <v>36342</v>
      </c>
      <c r="AE179" s="64">
        <f>INDEX(角色属性!AP$8:AP$107,MATCH($D179,角色属性!$I$8:$I$107,0),1)</f>
        <v>29073.599999999999</v>
      </c>
      <c r="AF179" s="64">
        <f>INDEX(角色属性!AQ$8:AQ$107,MATCH($D179,角色属性!$I$8:$I$107,0),1)</f>
        <v>29073.599999999999</v>
      </c>
      <c r="AG179" s="64">
        <f>$P179/10/(1+VLOOKUP(I179,技能效果!$B$2:$D$101,3,FALSE))*怪物属性规划!A$18*INDEX(怪物属性等级系数!$A$2:$A$101,MATCH(D179,怪物属性等级系数!$D$2:$D$101,0),1)*R179+W179</f>
        <v>337579.74566351552</v>
      </c>
      <c r="AH179" s="64">
        <f>$P179/10/(1+VLOOKUP($I179,技能效果!$B$2:$D$101,3,FALSE))*怪物属性规划!B$18*S179+X179</f>
        <v>17575.289017341038</v>
      </c>
      <c r="AI179" s="64">
        <f>$P179/10/(1+VLOOKUP($I179,技能效果!$B$2:$D$101,3,FALSE))*怪物属性规划!C$18*T179+Y179</f>
        <v>17575.289017341038</v>
      </c>
      <c r="AJ179" s="64">
        <f>$P179/10/(1+VLOOKUP($I179,技能效果!$B$2:$D$101,3,FALSE))*怪物属性规划!D$18*U179+Z179</f>
        <v>14060.23121387283</v>
      </c>
      <c r="AK179" s="64">
        <f>$P179/10/(1+VLOOKUP($I179,技能效果!$B$2:$D$101,3,FALSE))*怪物属性规划!E$18*V179+AA179</f>
        <v>14060.23121387283</v>
      </c>
      <c r="AL179" s="67">
        <f>INDEX(角色属性!BB$8:BB$107,MATCH($D179,角色属性!$I$8:$I$107,0),1)</f>
        <v>1.9600000000000009</v>
      </c>
      <c r="AM179" s="64">
        <f>INDEX(角色属性!BC$8:BC$107,MATCH($D179,角色属性!$I$8:$I$107,0),1)</f>
        <v>57334</v>
      </c>
      <c r="AN179" s="64">
        <f>INDEX(角色属性!BD$8:BD$107,MATCH($D179,角色属性!$I$8:$I$107,0),1)</f>
        <v>3253</v>
      </c>
      <c r="AO179" s="69">
        <f t="shared" si="37"/>
        <v>0.41675676116232424</v>
      </c>
      <c r="AP179" s="69">
        <f t="shared" si="38"/>
        <v>0.96301992363730582</v>
      </c>
      <c r="AQ179" s="64">
        <f>AL179*角色属性!$BA$1*(AC179*(1-AO179)+MAX(AF179-AJ179,0))</f>
        <v>225030.81580259491</v>
      </c>
      <c r="AR179" s="64">
        <f>角色属性!$BA$1*(AH179*(1-AP179)+MAX(AK179-AE179,0))</f>
        <v>1299.871059915384</v>
      </c>
      <c r="AS179" s="73">
        <f t="shared" si="39"/>
        <v>0.83341609226941649</v>
      </c>
      <c r="AT179" s="73">
        <f t="shared" si="40"/>
        <v>0.55561072817961099</v>
      </c>
      <c r="AU179" s="73">
        <f t="shared" si="41"/>
        <v>0.41670804613470824</v>
      </c>
      <c r="AV179" s="73">
        <f t="shared" si="42"/>
        <v>559.16315272632824</v>
      </c>
      <c r="AW179" s="73">
        <f t="shared" si="43"/>
        <v>372.77543515088547</v>
      </c>
      <c r="AX179" s="2" t="str">
        <f t="shared" si="44"/>
        <v>r_guanqia_177</v>
      </c>
      <c r="AY179" s="2">
        <f>ROUND(($P179*R179/10/$H179/(1+VLOOKUP($I179,技能效果!$B$2:$D$101,3,FALSE))-1)*10000,0)</f>
        <v>215</v>
      </c>
      <c r="AZ179" s="2">
        <f>ROUND(($P179*S179/10/$H179/(1+VLOOKUP($I179,技能效果!$B$2:$D$101,3,FALSE))-1)*10000,0)</f>
        <v>215</v>
      </c>
      <c r="BA179" s="2">
        <f>ROUND(($P179*T179/10/$H179/(1+VLOOKUP($I179,技能效果!$B$2:$D$101,3,FALSE))-1)*10000,0)</f>
        <v>215</v>
      </c>
      <c r="BB179" s="2">
        <f>ROUND(($P179*U179/10/$H179/(1+VLOOKUP($I179,技能效果!$B$2:$D$101,3,FALSE))-1)*10000,0)</f>
        <v>215</v>
      </c>
      <c r="BC179" s="2">
        <f>ROUND(($P179*V179/10/$H179/(1+VLOOKUP($I179,技能效果!$B$2:$D$101,3,FALSE))-1)*10000,0)</f>
        <v>215</v>
      </c>
    </row>
    <row r="180" spans="2:55" x14ac:dyDescent="0.15">
      <c r="B180" s="83"/>
      <c r="C180" s="2">
        <v>178</v>
      </c>
      <c r="D180" s="2">
        <f t="shared" si="48"/>
        <v>98</v>
      </c>
      <c r="E180" s="2">
        <v>2</v>
      </c>
      <c r="F180" s="28">
        <f>INDEX([3]宠物属性!$AL$8:$AL$107,MATCH(D180,[3]宠物属性!$I$8:$I$107,0),1)</f>
        <v>416615.86770252499</v>
      </c>
      <c r="G180" s="68">
        <f>F180/INDEX(角色属性!$AI$8:$AI$107,MATCH(D180,角色属性!$I$8:$I$107,0),1)*E180</f>
        <v>1.6487985074094758</v>
      </c>
      <c r="H180" s="2">
        <f>INDEX(角色属性!$AL$8:$AL$107,MATCH(D180,角色属性!$I$8:$I$107,0),1)</f>
        <v>17708</v>
      </c>
      <c r="I180" s="2">
        <f>INDEX(角色属性!$Y$8:$Y$107,MATCH(D180,角色属性!$I$8:$I$107,0),1)</f>
        <v>98</v>
      </c>
      <c r="J180" s="28">
        <f>H180*10*(1+VLOOKUP(I180,技能效果!$B$2:$D$101,3,FALSE))</f>
        <v>245787.04000000007</v>
      </c>
      <c r="K180" s="28">
        <f>H180*10*(1+VLOOKUP(I180,技能效果!$B$2:$D$101,3,FALSE))*(1+G180)</f>
        <v>651040.34469259321</v>
      </c>
      <c r="L180" s="2">
        <f t="shared" si="34"/>
        <v>180</v>
      </c>
      <c r="M180" s="28">
        <f t="shared" si="35"/>
        <v>261652.28000000006</v>
      </c>
      <c r="N180" s="28">
        <f t="shared" si="36"/>
        <v>713386.91898540012</v>
      </c>
      <c r="O180" s="62">
        <f t="shared" si="46"/>
        <v>663032</v>
      </c>
      <c r="P180" s="62">
        <f t="shared" si="47"/>
        <v>246310</v>
      </c>
      <c r="Q180" s="64">
        <f t="shared" si="45"/>
        <v>10071</v>
      </c>
      <c r="R180" s="67">
        <v>1</v>
      </c>
      <c r="S180" s="67">
        <v>1</v>
      </c>
      <c r="T180" s="67">
        <v>1</v>
      </c>
      <c r="U180" s="67">
        <v>1</v>
      </c>
      <c r="V180" s="67">
        <v>1</v>
      </c>
      <c r="W180" s="28">
        <v>0</v>
      </c>
      <c r="X180" s="28">
        <v>0</v>
      </c>
      <c r="Y180" s="28">
        <v>0</v>
      </c>
      <c r="Z180" s="28">
        <v>0</v>
      </c>
      <c r="AA180" s="28">
        <v>0</v>
      </c>
      <c r="AB180" s="64">
        <f>INDEX(角色属性!AM$8:AM$107,MATCH($D180,角色属性!$I$8:$I$107,0),1)</f>
        <v>728180</v>
      </c>
      <c r="AC180" s="64">
        <f>INDEX(角色属性!AN$8:AN$107,MATCH($D180,角色属性!$I$8:$I$107,0),1)</f>
        <v>72818</v>
      </c>
      <c r="AD180" s="64">
        <f>INDEX(角色属性!AO$8:AO$107,MATCH($D180,角色属性!$I$8:$I$107,0),1)</f>
        <v>36409</v>
      </c>
      <c r="AE180" s="64">
        <f>INDEX(角色属性!AP$8:AP$107,MATCH($D180,角色属性!$I$8:$I$107,0),1)</f>
        <v>29127.200000000001</v>
      </c>
      <c r="AF180" s="64">
        <f>INDEX(角色属性!AQ$8:AQ$107,MATCH($D180,角色属性!$I$8:$I$107,0),1)</f>
        <v>29127.200000000001</v>
      </c>
      <c r="AG180" s="64">
        <f>$P180/10/(1+VLOOKUP(I180,技能效果!$B$2:$D$101,3,FALSE))*怪物属性规划!A$18*INDEX(怪物属性等级系数!$A$2:$A$101,MATCH(D180,怪物属性等级系数!$D$2:$D$101,0),1)*R180+W180</f>
        <v>344353.59206772776</v>
      </c>
      <c r="AH180" s="64">
        <f>$P180/10/(1+VLOOKUP($I180,技能效果!$B$2:$D$101,3,FALSE))*怪物属性规划!B$18*S180+X180</f>
        <v>17745.677233429389</v>
      </c>
      <c r="AI180" s="64">
        <f>$P180/10/(1+VLOOKUP($I180,技能效果!$B$2:$D$101,3,FALSE))*怪物属性规划!C$18*T180+Y180</f>
        <v>17745.677233429389</v>
      </c>
      <c r="AJ180" s="64">
        <f>$P180/10/(1+VLOOKUP($I180,技能效果!$B$2:$D$101,3,FALSE))*怪物属性规划!D$18*U180+Z180</f>
        <v>14196.541786743512</v>
      </c>
      <c r="AK180" s="64">
        <f>$P180/10/(1+VLOOKUP($I180,技能效果!$B$2:$D$101,3,FALSE))*怪物属性规划!E$18*V180+AA180</f>
        <v>14196.541786743512</v>
      </c>
      <c r="AL180" s="67">
        <f>INDEX(角色属性!BB$8:BB$107,MATCH($D180,角色属性!$I$8:$I$107,0),1)</f>
        <v>1.9700000000000009</v>
      </c>
      <c r="AM180" s="64">
        <f>INDEX(角色属性!BC$8:BC$107,MATCH($D180,角色属性!$I$8:$I$107,0),1)</f>
        <v>59747</v>
      </c>
      <c r="AN180" s="64">
        <f>INDEX(角色属性!BD$8:BD$107,MATCH($D180,角色属性!$I$8:$I$107,0),1)</f>
        <v>3245</v>
      </c>
      <c r="AO180" s="69">
        <f t="shared" si="37"/>
        <v>0.4091020555512177</v>
      </c>
      <c r="AP180" s="69">
        <f t="shared" si="38"/>
        <v>0.96317290195617289</v>
      </c>
      <c r="AQ180" s="64">
        <f>AL180*角色属性!$BA$1*(AC180*(1-AO180)+MAX(AF180-AJ180,0))</f>
        <v>228357.1390445841</v>
      </c>
      <c r="AR180" s="64">
        <f>角色属性!$BA$1*(AH180*(1-AP180)+MAX(AK180-AE180,0))</f>
        <v>1307.0435906592295</v>
      </c>
      <c r="AS180" s="73">
        <f t="shared" si="39"/>
        <v>0.83775594644924611</v>
      </c>
      <c r="AT180" s="73">
        <f t="shared" si="40"/>
        <v>0.55850396429949745</v>
      </c>
      <c r="AU180" s="73">
        <f t="shared" si="41"/>
        <v>0.41887797322462306</v>
      </c>
      <c r="AV180" s="73">
        <f t="shared" si="42"/>
        <v>557.11990418982896</v>
      </c>
      <c r="AW180" s="73">
        <f t="shared" si="43"/>
        <v>371.41326945988595</v>
      </c>
      <c r="AX180" s="2" t="str">
        <f t="shared" si="44"/>
        <v>r_guanqia_178</v>
      </c>
      <c r="AY180" s="2">
        <f>ROUND(($P180*R180/10/$H180/(1+VLOOKUP($I180,技能效果!$B$2:$D$101,3,FALSE))-1)*10000,0)</f>
        <v>21</v>
      </c>
      <c r="AZ180" s="2">
        <f>ROUND(($P180*S180/10/$H180/(1+VLOOKUP($I180,技能效果!$B$2:$D$101,3,FALSE))-1)*10000,0)</f>
        <v>21</v>
      </c>
      <c r="BA180" s="2">
        <f>ROUND(($P180*T180/10/$H180/(1+VLOOKUP($I180,技能效果!$B$2:$D$101,3,FALSE))-1)*10000,0)</f>
        <v>21</v>
      </c>
      <c r="BB180" s="2">
        <f>ROUND(($P180*U180/10/$H180/(1+VLOOKUP($I180,技能效果!$B$2:$D$101,3,FALSE))-1)*10000,0)</f>
        <v>21</v>
      </c>
      <c r="BC180" s="2">
        <f>ROUND(($P180*V180/10/$H180/(1+VLOOKUP($I180,技能效果!$B$2:$D$101,3,FALSE))-1)*10000,0)</f>
        <v>21</v>
      </c>
    </row>
    <row r="181" spans="2:55" x14ac:dyDescent="0.15">
      <c r="B181" s="83"/>
      <c r="C181" s="2">
        <v>179</v>
      </c>
      <c r="D181" s="2">
        <f t="shared" si="48"/>
        <v>98</v>
      </c>
      <c r="E181" s="2">
        <v>2</v>
      </c>
      <c r="F181" s="28">
        <f>INDEX([3]宠物属性!$AL$8:$AL$107,MATCH(D181,[3]宠物属性!$I$8:$I$107,0),1)</f>
        <v>416615.86770252499</v>
      </c>
      <c r="G181" s="68">
        <f>F181/INDEX(角色属性!$AI$8:$AI$107,MATCH(D181,角色属性!$I$8:$I$107,0),1)*E181</f>
        <v>1.6487985074094758</v>
      </c>
      <c r="H181" s="2">
        <f>INDEX(角色属性!$AL$8:$AL$107,MATCH(D181,角色属性!$I$8:$I$107,0),1)</f>
        <v>17708</v>
      </c>
      <c r="I181" s="2">
        <f>INDEX(角色属性!$Y$8:$Y$107,MATCH(D181,角色属性!$I$8:$I$107,0),1)</f>
        <v>98</v>
      </c>
      <c r="J181" s="28">
        <f>H181*10*(1+VLOOKUP(I181,技能效果!$B$2:$D$101,3,FALSE))</f>
        <v>245787.04000000007</v>
      </c>
      <c r="K181" s="28">
        <f>H181*10*(1+VLOOKUP(I181,技能效果!$B$2:$D$101,3,FALSE))*(1+G181)</f>
        <v>651040.34469259321</v>
      </c>
      <c r="L181" s="2">
        <f t="shared" si="34"/>
        <v>180</v>
      </c>
      <c r="M181" s="28">
        <f t="shared" si="35"/>
        <v>261652.28000000006</v>
      </c>
      <c r="N181" s="28">
        <f t="shared" si="36"/>
        <v>713386.91898540012</v>
      </c>
      <c r="O181" s="62">
        <f t="shared" si="46"/>
        <v>675621</v>
      </c>
      <c r="P181" s="62">
        <f t="shared" si="47"/>
        <v>250146</v>
      </c>
      <c r="Q181" s="64">
        <f t="shared" si="45"/>
        <v>12589</v>
      </c>
      <c r="R181" s="67">
        <v>1</v>
      </c>
      <c r="S181" s="67">
        <v>1</v>
      </c>
      <c r="T181" s="67">
        <v>1</v>
      </c>
      <c r="U181" s="67">
        <v>1</v>
      </c>
      <c r="V181" s="67">
        <v>1</v>
      </c>
      <c r="W181" s="28">
        <v>0</v>
      </c>
      <c r="X181" s="28">
        <v>0</v>
      </c>
      <c r="Y181" s="28">
        <v>0</v>
      </c>
      <c r="Z181" s="28">
        <v>0</v>
      </c>
      <c r="AA181" s="28">
        <v>0</v>
      </c>
      <c r="AB181" s="64">
        <f>INDEX(角色属性!AM$8:AM$107,MATCH($D181,角色属性!$I$8:$I$107,0),1)</f>
        <v>728180</v>
      </c>
      <c r="AC181" s="64">
        <f>INDEX(角色属性!AN$8:AN$107,MATCH($D181,角色属性!$I$8:$I$107,0),1)</f>
        <v>72818</v>
      </c>
      <c r="AD181" s="64">
        <f>INDEX(角色属性!AO$8:AO$107,MATCH($D181,角色属性!$I$8:$I$107,0),1)</f>
        <v>36409</v>
      </c>
      <c r="AE181" s="64">
        <f>INDEX(角色属性!AP$8:AP$107,MATCH($D181,角色属性!$I$8:$I$107,0),1)</f>
        <v>29127.200000000001</v>
      </c>
      <c r="AF181" s="64">
        <f>INDEX(角色属性!AQ$8:AQ$107,MATCH($D181,角色属性!$I$8:$I$107,0),1)</f>
        <v>29127.200000000001</v>
      </c>
      <c r="AG181" s="64">
        <f>$P181/10/(1+VLOOKUP(I181,技能效果!$B$2:$D$101,3,FALSE))*怪物属性规划!A$18*INDEX(怪物属性等级系数!$A$2:$A$101,MATCH(D181,怪物属性等级系数!$D$2:$D$101,0),1)*R181+W181</f>
        <v>349716.51025688695</v>
      </c>
      <c r="AH181" s="64">
        <f>$P181/10/(1+VLOOKUP($I181,技能效果!$B$2:$D$101,3,FALSE))*怪物属性规划!B$18*S181+X181</f>
        <v>18022.04610951008</v>
      </c>
      <c r="AI181" s="64">
        <f>$P181/10/(1+VLOOKUP($I181,技能效果!$B$2:$D$101,3,FALSE))*怪物属性规划!C$18*T181+Y181</f>
        <v>18022.04610951008</v>
      </c>
      <c r="AJ181" s="64">
        <f>$P181/10/(1+VLOOKUP($I181,技能效果!$B$2:$D$101,3,FALSE))*怪物属性规划!D$18*U181+Z181</f>
        <v>14417.636887608065</v>
      </c>
      <c r="AK181" s="64">
        <f>$P181/10/(1+VLOOKUP($I181,技能效果!$B$2:$D$101,3,FALSE))*怪物属性规划!E$18*V181+AA181</f>
        <v>14417.636887608065</v>
      </c>
      <c r="AL181" s="67">
        <f>INDEX(角色属性!BB$8:BB$107,MATCH($D181,角色属性!$I$8:$I$107,0),1)</f>
        <v>1.9700000000000009</v>
      </c>
      <c r="AM181" s="64">
        <f>INDEX(角色属性!BC$8:BC$107,MATCH($D181,角色属性!$I$8:$I$107,0),1)</f>
        <v>59747</v>
      </c>
      <c r="AN181" s="64">
        <f>INDEX(角色属性!BD$8:BD$107,MATCH($D181,角色属性!$I$8:$I$107,0),1)</f>
        <v>3245</v>
      </c>
      <c r="AO181" s="69">
        <f t="shared" si="37"/>
        <v>0.4128430102675047</v>
      </c>
      <c r="AP181" s="69">
        <f t="shared" si="38"/>
        <v>0.96317290195617289</v>
      </c>
      <c r="AQ181" s="64">
        <f>AL181*角色属性!$BA$1*(AC181*(1-AO181)+MAX(AF181-AJ181,0))</f>
        <v>226412.73351548726</v>
      </c>
      <c r="AR181" s="64">
        <f>角色属性!$BA$1*(AH181*(1-AP181)+MAX(AK181-AE181,0))</f>
        <v>1327.3993180506013</v>
      </c>
      <c r="AS181" s="73">
        <f t="shared" si="39"/>
        <v>0.85810964394997336</v>
      </c>
      <c r="AT181" s="73">
        <f t="shared" si="40"/>
        <v>0.57207309596664901</v>
      </c>
      <c r="AU181" s="73">
        <f t="shared" si="41"/>
        <v>0.42905482197498668</v>
      </c>
      <c r="AV181" s="73">
        <f t="shared" si="42"/>
        <v>548.57644575966344</v>
      </c>
      <c r="AW181" s="73">
        <f t="shared" si="43"/>
        <v>365.71763050644233</v>
      </c>
      <c r="AX181" s="2" t="str">
        <f t="shared" si="44"/>
        <v>r_guanqia_179</v>
      </c>
      <c r="AY181" s="2">
        <f>ROUND(($P181*R181/10/$H181/(1+VLOOKUP($I181,技能效果!$B$2:$D$101,3,FALSE))-1)*10000,0)</f>
        <v>177</v>
      </c>
      <c r="AZ181" s="2">
        <f>ROUND(($P181*S181/10/$H181/(1+VLOOKUP($I181,技能效果!$B$2:$D$101,3,FALSE))-1)*10000,0)</f>
        <v>177</v>
      </c>
      <c r="BA181" s="2">
        <f>ROUND(($P181*T181/10/$H181/(1+VLOOKUP($I181,技能效果!$B$2:$D$101,3,FALSE))-1)*10000,0)</f>
        <v>177</v>
      </c>
      <c r="BB181" s="2">
        <f>ROUND(($P181*U181/10/$H181/(1+VLOOKUP($I181,技能效果!$B$2:$D$101,3,FALSE))-1)*10000,0)</f>
        <v>177</v>
      </c>
      <c r="BC181" s="2">
        <f>ROUND(($P181*V181/10/$H181/(1+VLOOKUP($I181,技能效果!$B$2:$D$101,3,FALSE))-1)*10000,0)</f>
        <v>177</v>
      </c>
    </row>
    <row r="182" spans="2:55" x14ac:dyDescent="0.15">
      <c r="B182" s="83"/>
      <c r="C182" s="2">
        <v>180</v>
      </c>
      <c r="D182" s="2">
        <f t="shared" si="48"/>
        <v>100</v>
      </c>
      <c r="E182" s="2">
        <v>2</v>
      </c>
      <c r="F182" s="28">
        <f>INDEX([3]宠物属性!$AL$8:$AL$107,MATCH(D182,[3]宠物属性!$I$8:$I$107,0),1)</f>
        <v>460338.87876119843</v>
      </c>
      <c r="G182" s="68">
        <f>F182/INDEX(角色属性!$AI$8:$AI$107,MATCH(D182,角色属性!$I$8:$I$107,0),1)*E182</f>
        <v>1.7264693393285164</v>
      </c>
      <c r="H182" s="2">
        <f>INDEX(角色属性!$AL$8:$AL$107,MATCH(D182,角色属性!$I$8:$I$107,0),1)</f>
        <v>18743</v>
      </c>
      <c r="I182" s="2">
        <f>INDEX(角色属性!$Y$8:$Y$107,MATCH(D182,角色属性!$I$8:$I$107,0),1)</f>
        <v>100</v>
      </c>
      <c r="J182" s="28">
        <f>H182*10*(1+VLOOKUP(I182,技能效果!$B$2:$D$101,3,FALSE))</f>
        <v>261652.28000000006</v>
      </c>
      <c r="K182" s="28">
        <f>H182*10*(1+VLOOKUP(I182,技能效果!$B$2:$D$101,3,FALSE))*(1+G182)</f>
        <v>713386.91898540012</v>
      </c>
      <c r="L182" s="2">
        <f t="shared" si="34"/>
        <v>180</v>
      </c>
      <c r="M182" s="28">
        <f t="shared" si="35"/>
        <v>261652.28000000006</v>
      </c>
      <c r="N182" s="28">
        <f t="shared" si="36"/>
        <v>713386.91898540012</v>
      </c>
      <c r="O182" s="62">
        <f t="shared" si="46"/>
        <v>713387</v>
      </c>
      <c r="P182" s="62">
        <f t="shared" si="47"/>
        <v>261652</v>
      </c>
      <c r="Q182" s="64">
        <f t="shared" si="45"/>
        <v>37766</v>
      </c>
      <c r="R182" s="67">
        <v>1</v>
      </c>
      <c r="S182" s="67">
        <v>1</v>
      </c>
      <c r="T182" s="67">
        <v>1</v>
      </c>
      <c r="U182" s="67">
        <v>1</v>
      </c>
      <c r="V182" s="67">
        <v>1</v>
      </c>
      <c r="W182" s="28">
        <v>0</v>
      </c>
      <c r="X182" s="28">
        <v>0</v>
      </c>
      <c r="Y182" s="28">
        <v>0</v>
      </c>
      <c r="Z182" s="28">
        <v>0</v>
      </c>
      <c r="AA182" s="28">
        <v>0</v>
      </c>
      <c r="AB182" s="64">
        <f>INDEX(角色属性!AM$8:AM$107,MATCH($D182,角色属性!$I$8:$I$107,0),1)</f>
        <v>764000</v>
      </c>
      <c r="AC182" s="64">
        <f>INDEX(角色属性!AN$8:AN$107,MATCH($D182,角色属性!$I$8:$I$107,0),1)</f>
        <v>76400</v>
      </c>
      <c r="AD182" s="64">
        <f>INDEX(角色属性!AO$8:AO$107,MATCH($D182,角色属性!$I$8:$I$107,0),1)</f>
        <v>38200</v>
      </c>
      <c r="AE182" s="64">
        <f>INDEX(角色属性!AP$8:AP$107,MATCH($D182,角色属性!$I$8:$I$107,0),1)</f>
        <v>30560</v>
      </c>
      <c r="AF182" s="64">
        <f>INDEX(角色属性!AQ$8:AQ$107,MATCH($D182,角色属性!$I$8:$I$107,0),1)</f>
        <v>30560</v>
      </c>
      <c r="AG182" s="64">
        <f>$P182/10/(1+VLOOKUP(I182,技能效果!$B$2:$D$101,3,FALSE))*怪物属性规划!A$18*INDEX(怪物属性等级系数!$A$2:$A$101,MATCH(D182,怪物属性等级系数!$D$2:$D$101,0),1)*R182+W182</f>
        <v>371119.85329583281</v>
      </c>
      <c r="AH182" s="64">
        <f>$P182/10/(1+VLOOKUP($I182,技能效果!$B$2:$D$101,3,FALSE))*怪物属性规划!B$18*S182+X182</f>
        <v>18742.979942693404</v>
      </c>
      <c r="AI182" s="64">
        <f>$P182/10/(1+VLOOKUP($I182,技能效果!$B$2:$D$101,3,FALSE))*怪物属性规划!C$18*T182+Y182</f>
        <v>18742.979942693404</v>
      </c>
      <c r="AJ182" s="64">
        <f>$P182/10/(1+VLOOKUP($I182,技能效果!$B$2:$D$101,3,FALSE))*怪物属性规划!D$18*U182+Z182</f>
        <v>14994.383954154724</v>
      </c>
      <c r="AK182" s="64">
        <f>$P182/10/(1+VLOOKUP($I182,技能效果!$B$2:$D$101,3,FALSE))*怪物属性规划!E$18*V182+AA182</f>
        <v>14994.383954154724</v>
      </c>
      <c r="AL182" s="67">
        <f>INDEX(角色属性!BB$8:BB$107,MATCH($D182,角色属性!$I$8:$I$107,0),1)</f>
        <v>1.9900000000000009</v>
      </c>
      <c r="AM182" s="64">
        <f>INDEX(角色属性!BC$8:BC$107,MATCH($D182,角色属性!$I$8:$I$107,0),1)</f>
        <v>64834</v>
      </c>
      <c r="AN182" s="64">
        <f>INDEX(角色属性!BD$8:BD$107,MATCH($D182,角色属性!$I$8:$I$107,0),1)</f>
        <v>3328</v>
      </c>
      <c r="AO182" s="69">
        <f t="shared" si="37"/>
        <v>0.40258337457898358</v>
      </c>
      <c r="AP182" s="69">
        <f t="shared" si="38"/>
        <v>0.96397187907290738</v>
      </c>
      <c r="AQ182" s="64">
        <f>AL182*角色属性!$BA$1*(AC182*(1-AO182)+MAX(AF182-AJ182,0))</f>
        <v>243608.81998748361</v>
      </c>
      <c r="AR182" s="64">
        <f>角色属性!$BA$1*(AH182*(1-AP182)+MAX(AK182-AE182,0))</f>
        <v>1350.548695818859</v>
      </c>
      <c r="AS182" s="73">
        <f t="shared" si="39"/>
        <v>0.84634741995817664</v>
      </c>
      <c r="AT182" s="73">
        <f t="shared" si="40"/>
        <v>0.56423161330545113</v>
      </c>
      <c r="AU182" s="73">
        <f t="shared" si="41"/>
        <v>0.42317370997908832</v>
      </c>
      <c r="AV182" s="73">
        <f t="shared" si="42"/>
        <v>565.69600368002637</v>
      </c>
      <c r="AW182" s="73">
        <f t="shared" si="43"/>
        <v>377.13066912001756</v>
      </c>
      <c r="AX182" s="2" t="str">
        <f t="shared" si="44"/>
        <v>r_guanqia_180</v>
      </c>
      <c r="AY182" s="2">
        <f>ROUND(($P182*R182/10/$H182/(1+VLOOKUP($I182,技能效果!$B$2:$D$101,3,FALSE))-1)*10000,0)</f>
        <v>0</v>
      </c>
      <c r="AZ182" s="2">
        <f>ROUND(($P182*S182/10/$H182/(1+VLOOKUP($I182,技能效果!$B$2:$D$101,3,FALSE))-1)*10000,0)</f>
        <v>0</v>
      </c>
      <c r="BA182" s="2">
        <f>ROUND(($P182*T182/10/$H182/(1+VLOOKUP($I182,技能效果!$B$2:$D$101,3,FALSE))-1)*10000,0)</f>
        <v>0</v>
      </c>
      <c r="BB182" s="2">
        <f>ROUND(($P182*U182/10/$H182/(1+VLOOKUP($I182,技能效果!$B$2:$D$101,3,FALSE))-1)*10000,0)</f>
        <v>0</v>
      </c>
      <c r="BC182" s="2">
        <f>ROUND(($P182*V182/10/$H182/(1+VLOOKUP($I182,技能效果!$B$2:$D$101,3,FALSE))-1)*10000,0)</f>
        <v>0</v>
      </c>
    </row>
    <row r="183" spans="2:55" x14ac:dyDescent="0.15">
      <c r="B183" s="83" t="s">
        <v>130</v>
      </c>
      <c r="C183" s="2">
        <v>181</v>
      </c>
      <c r="D183" s="2">
        <f t="shared" si="48"/>
        <v>100</v>
      </c>
      <c r="E183" s="2">
        <v>2</v>
      </c>
      <c r="F183" s="28">
        <f>INDEX([3]宠物属性!$AL$8:$AL$107,MATCH(D183,[3]宠物属性!$I$8:$I$107,0),1)</f>
        <v>460338.87876119843</v>
      </c>
      <c r="G183" s="68">
        <f>F183/INDEX(角色属性!$AI$8:$AI$107,MATCH(D183,角色属性!$I$8:$I$107,0),1)*E183</f>
        <v>1.7264693393285164</v>
      </c>
      <c r="H183" s="2">
        <f>INDEX(角色属性!$AL$8:$AL$107,MATCH(D183,角色属性!$I$8:$I$107,0),1)</f>
        <v>18743</v>
      </c>
      <c r="I183" s="2">
        <f>INDEX(角色属性!$Y$8:$Y$107,MATCH(D183,角色属性!$I$8:$I$107,0),1)</f>
        <v>100</v>
      </c>
      <c r="J183" s="28">
        <f>H183*10*(1+VLOOKUP(I183,技能效果!$B$2:$D$101,3,FALSE))</f>
        <v>261652.28000000006</v>
      </c>
      <c r="K183" s="28">
        <f>H183*10*(1+VLOOKUP(I183,技能效果!$B$2:$D$101,3,FALSE))*(1+G183)</f>
        <v>713386.91898540012</v>
      </c>
      <c r="L183" s="2">
        <f t="shared" si="34"/>
        <v>190</v>
      </c>
      <c r="M183" s="28" t="e">
        <f t="shared" si="35"/>
        <v>#N/A</v>
      </c>
      <c r="N183" s="28" t="e">
        <f t="shared" si="36"/>
        <v>#N/A</v>
      </c>
      <c r="O183" s="62" t="e">
        <f t="shared" si="46"/>
        <v>#N/A</v>
      </c>
      <c r="P183" s="62" t="e">
        <f t="shared" si="47"/>
        <v>#N/A</v>
      </c>
      <c r="Q183" s="64" t="e">
        <f t="shared" si="45"/>
        <v>#N/A</v>
      </c>
      <c r="R183" s="67">
        <v>1</v>
      </c>
      <c r="S183" s="67">
        <v>1</v>
      </c>
      <c r="T183" s="67">
        <v>1</v>
      </c>
      <c r="U183" s="67">
        <v>1</v>
      </c>
      <c r="V183" s="67">
        <v>1</v>
      </c>
      <c r="W183" s="28">
        <v>0</v>
      </c>
      <c r="X183" s="28">
        <v>0</v>
      </c>
      <c r="Y183" s="28">
        <v>0</v>
      </c>
      <c r="Z183" s="28">
        <v>0</v>
      </c>
      <c r="AA183" s="28">
        <v>0</v>
      </c>
      <c r="AB183" s="64">
        <f>INDEX(角色属性!AM$8:AM$107,MATCH($D183,角色属性!$I$8:$I$107,0),1)</f>
        <v>764000</v>
      </c>
      <c r="AC183" s="64">
        <f>INDEX(角色属性!AN$8:AN$107,MATCH($D183,角色属性!$I$8:$I$107,0),1)</f>
        <v>76400</v>
      </c>
      <c r="AD183" s="64">
        <f>INDEX(角色属性!AO$8:AO$107,MATCH($D183,角色属性!$I$8:$I$107,0),1)</f>
        <v>38200</v>
      </c>
      <c r="AE183" s="64">
        <f>INDEX(角色属性!AP$8:AP$107,MATCH($D183,角色属性!$I$8:$I$107,0),1)</f>
        <v>30560</v>
      </c>
      <c r="AF183" s="64">
        <f>INDEX(角色属性!AQ$8:AQ$107,MATCH($D183,角色属性!$I$8:$I$107,0),1)</f>
        <v>30560</v>
      </c>
      <c r="AG183" s="64" t="e">
        <f>$P183/10/(1+VLOOKUP(I183,技能效果!$B$2:$D$101,3,FALSE))*怪物属性规划!A$18*INDEX(怪物属性等级系数!$A$2:$A$101,MATCH(D183,怪物属性等级系数!$D$2:$D$101,0),1)*R183+W183</f>
        <v>#N/A</v>
      </c>
      <c r="AH183" s="64" t="e">
        <f>$P183/10/(1+VLOOKUP($I183,技能效果!$B$2:$D$101,3,FALSE))*怪物属性规划!B$18*S183+X183</f>
        <v>#N/A</v>
      </c>
      <c r="AI183" s="64" t="e">
        <f>$P183/10/(1+VLOOKUP($I183,技能效果!$B$2:$D$101,3,FALSE))*怪物属性规划!C$18*T183+Y183</f>
        <v>#N/A</v>
      </c>
      <c r="AJ183" s="64" t="e">
        <f>$P183/10/(1+VLOOKUP($I183,技能效果!$B$2:$D$101,3,FALSE))*怪物属性规划!D$18*U183+Z183</f>
        <v>#N/A</v>
      </c>
      <c r="AK183" s="64" t="e">
        <f>$P183/10/(1+VLOOKUP($I183,技能效果!$B$2:$D$101,3,FALSE))*怪物属性规划!E$18*V183+AA183</f>
        <v>#N/A</v>
      </c>
      <c r="AL183" s="67">
        <f>INDEX(角色属性!BB$8:BB$107,MATCH($D183,角色属性!$I$8:$I$107,0),1)</f>
        <v>1.9900000000000009</v>
      </c>
      <c r="AM183" s="64">
        <f>INDEX(角色属性!BC$8:BC$107,MATCH($D183,角色属性!$I$8:$I$107,0),1)</f>
        <v>64834</v>
      </c>
      <c r="AN183" s="64">
        <f>INDEX(角色属性!BD$8:BD$107,MATCH($D183,角色属性!$I$8:$I$107,0),1)</f>
        <v>3328</v>
      </c>
      <c r="AO183" s="69" t="e">
        <f t="shared" si="37"/>
        <v>#N/A</v>
      </c>
      <c r="AP183" s="69">
        <f t="shared" si="38"/>
        <v>0.96397187907290738</v>
      </c>
      <c r="AQ183" s="64" t="e">
        <f>AL183*角色属性!$BA$1*(AC183*(1-AO183)+MAX(AF183-AJ183,0))</f>
        <v>#N/A</v>
      </c>
      <c r="AR183" s="64" t="e">
        <f>角色属性!$BA$1*(AH183*(1-AP183)+MAX(AK183-AE183,0))</f>
        <v>#N/A</v>
      </c>
      <c r="AS183" s="73" t="e">
        <f t="shared" si="39"/>
        <v>#N/A</v>
      </c>
      <c r="AT183" s="73" t="e">
        <f t="shared" si="40"/>
        <v>#N/A</v>
      </c>
      <c r="AU183" s="73" t="e">
        <f t="shared" si="41"/>
        <v>#N/A</v>
      </c>
      <c r="AV183" s="73" t="e">
        <f t="shared" si="42"/>
        <v>#N/A</v>
      </c>
      <c r="AW183" s="73" t="e">
        <f t="shared" si="43"/>
        <v>#N/A</v>
      </c>
      <c r="AX183" s="2" t="str">
        <f t="shared" si="44"/>
        <v>r_guanqia_181</v>
      </c>
      <c r="AY183" s="2" t="e">
        <f>ROUND(($P183*R183/10/$H183/(1+VLOOKUP($I183,技能效果!$B$2:$D$101,3,FALSE))-1)*10000,0)</f>
        <v>#N/A</v>
      </c>
      <c r="AZ183" s="2" t="e">
        <f>ROUND(($P183*S183/10/$H183/(1+VLOOKUP($I183,技能效果!$B$2:$D$101,3,FALSE))-1)*10000,0)</f>
        <v>#N/A</v>
      </c>
      <c r="BA183" s="2" t="e">
        <f>ROUND(($P183*T183/10/$H183/(1+VLOOKUP($I183,技能效果!$B$2:$D$101,3,FALSE))-1)*10000,0)</f>
        <v>#N/A</v>
      </c>
      <c r="BB183" s="2" t="e">
        <f>ROUND(($P183*U183/10/$H183/(1+VLOOKUP($I183,技能效果!$B$2:$D$101,3,FALSE))-1)*10000,0)</f>
        <v>#N/A</v>
      </c>
      <c r="BC183" s="2" t="e">
        <f>ROUND(($P183*V183/10/$H183/(1+VLOOKUP($I183,技能效果!$B$2:$D$101,3,FALSE))-1)*10000,0)</f>
        <v>#N/A</v>
      </c>
    </row>
    <row r="184" spans="2:55" x14ac:dyDescent="0.15">
      <c r="B184" s="83"/>
      <c r="C184" s="2">
        <v>182</v>
      </c>
      <c r="D184" s="2">
        <f t="shared" si="48"/>
        <v>100</v>
      </c>
      <c r="E184" s="2">
        <v>2</v>
      </c>
      <c r="F184" s="28">
        <f>INDEX([3]宠物属性!$AL$8:$AL$107,MATCH(D184,[3]宠物属性!$I$8:$I$107,0),1)</f>
        <v>460338.87876119843</v>
      </c>
      <c r="G184" s="68">
        <f>F184/INDEX(角色属性!$AI$8:$AI$107,MATCH(D184,角色属性!$I$8:$I$107,0),1)*E184</f>
        <v>1.7264693393285164</v>
      </c>
      <c r="H184" s="2">
        <f>INDEX(角色属性!$AL$8:$AL$107,MATCH(D184,角色属性!$I$8:$I$107,0),1)</f>
        <v>18743</v>
      </c>
      <c r="I184" s="2">
        <f>INDEX(角色属性!$Y$8:$Y$107,MATCH(D184,角色属性!$I$8:$I$107,0),1)</f>
        <v>100</v>
      </c>
      <c r="J184" s="28">
        <f>H184*10*(1+VLOOKUP(I184,技能效果!$B$2:$D$101,3,FALSE))</f>
        <v>261652.28000000006</v>
      </c>
      <c r="K184" s="28">
        <f>H184*10*(1+VLOOKUP(I184,技能效果!$B$2:$D$101,3,FALSE))*(1+G184)</f>
        <v>713386.91898540012</v>
      </c>
      <c r="L184" s="2">
        <f t="shared" si="34"/>
        <v>190</v>
      </c>
      <c r="M184" s="28" t="e">
        <f t="shared" si="35"/>
        <v>#N/A</v>
      </c>
      <c r="N184" s="28" t="e">
        <f t="shared" si="36"/>
        <v>#N/A</v>
      </c>
      <c r="O184" s="62" t="e">
        <f t="shared" si="46"/>
        <v>#N/A</v>
      </c>
      <c r="P184" s="62" t="e">
        <f t="shared" si="47"/>
        <v>#N/A</v>
      </c>
      <c r="Q184" s="64" t="e">
        <f t="shared" si="45"/>
        <v>#N/A</v>
      </c>
      <c r="R184" s="67">
        <v>1</v>
      </c>
      <c r="S184" s="67">
        <v>1</v>
      </c>
      <c r="T184" s="67">
        <v>1</v>
      </c>
      <c r="U184" s="67">
        <v>1</v>
      </c>
      <c r="V184" s="67">
        <v>1</v>
      </c>
      <c r="W184" s="28">
        <v>0</v>
      </c>
      <c r="X184" s="28">
        <v>0</v>
      </c>
      <c r="Y184" s="28">
        <v>0</v>
      </c>
      <c r="Z184" s="28">
        <v>0</v>
      </c>
      <c r="AA184" s="28">
        <v>0</v>
      </c>
      <c r="AB184" s="64">
        <f>INDEX(角色属性!AM$8:AM$107,MATCH($D184,角色属性!$I$8:$I$107,0),1)</f>
        <v>764000</v>
      </c>
      <c r="AC184" s="64">
        <f>INDEX(角色属性!AN$8:AN$107,MATCH($D184,角色属性!$I$8:$I$107,0),1)</f>
        <v>76400</v>
      </c>
      <c r="AD184" s="64">
        <f>INDEX(角色属性!AO$8:AO$107,MATCH($D184,角色属性!$I$8:$I$107,0),1)</f>
        <v>38200</v>
      </c>
      <c r="AE184" s="64">
        <f>INDEX(角色属性!AP$8:AP$107,MATCH($D184,角色属性!$I$8:$I$107,0),1)</f>
        <v>30560</v>
      </c>
      <c r="AF184" s="64">
        <f>INDEX(角色属性!AQ$8:AQ$107,MATCH($D184,角色属性!$I$8:$I$107,0),1)</f>
        <v>30560</v>
      </c>
      <c r="AG184" s="64" t="e">
        <f>$P184/10/(1+VLOOKUP(I184,技能效果!$B$2:$D$101,3,FALSE))*怪物属性规划!A$18*INDEX(怪物属性等级系数!$A$2:$A$101,MATCH(D184,怪物属性等级系数!$D$2:$D$101,0),1)*R184+W184</f>
        <v>#N/A</v>
      </c>
      <c r="AH184" s="64" t="e">
        <f>$P184/10/(1+VLOOKUP($I184,技能效果!$B$2:$D$101,3,FALSE))*怪物属性规划!B$18*S184+X184</f>
        <v>#N/A</v>
      </c>
      <c r="AI184" s="64" t="e">
        <f>$P184/10/(1+VLOOKUP($I184,技能效果!$B$2:$D$101,3,FALSE))*怪物属性规划!C$18*T184+Y184</f>
        <v>#N/A</v>
      </c>
      <c r="AJ184" s="64" t="e">
        <f>$P184/10/(1+VLOOKUP($I184,技能效果!$B$2:$D$101,3,FALSE))*怪物属性规划!D$18*U184+Z184</f>
        <v>#N/A</v>
      </c>
      <c r="AK184" s="64" t="e">
        <f>$P184/10/(1+VLOOKUP($I184,技能效果!$B$2:$D$101,3,FALSE))*怪物属性规划!E$18*V184+AA184</f>
        <v>#N/A</v>
      </c>
      <c r="AL184" s="67">
        <f>INDEX(角色属性!BB$8:BB$107,MATCH($D184,角色属性!$I$8:$I$107,0),1)</f>
        <v>1.9900000000000009</v>
      </c>
      <c r="AM184" s="64">
        <f>INDEX(角色属性!BC$8:BC$107,MATCH($D184,角色属性!$I$8:$I$107,0),1)</f>
        <v>64834</v>
      </c>
      <c r="AN184" s="64">
        <f>INDEX(角色属性!BD$8:BD$107,MATCH($D184,角色属性!$I$8:$I$107,0),1)</f>
        <v>3328</v>
      </c>
      <c r="AO184" s="69" t="e">
        <f t="shared" si="37"/>
        <v>#N/A</v>
      </c>
      <c r="AP184" s="69">
        <f t="shared" si="38"/>
        <v>0.96397187907290738</v>
      </c>
      <c r="AQ184" s="64" t="e">
        <f>AL184*角色属性!$BA$1*(AC184*(1-AO184)+MAX(AF184-AJ184,0))</f>
        <v>#N/A</v>
      </c>
      <c r="AR184" s="64" t="e">
        <f>角色属性!$BA$1*(AH184*(1-AP184)+MAX(AK184-AE184,0))</f>
        <v>#N/A</v>
      </c>
      <c r="AS184" s="73" t="e">
        <f t="shared" si="39"/>
        <v>#N/A</v>
      </c>
      <c r="AT184" s="73" t="e">
        <f t="shared" si="40"/>
        <v>#N/A</v>
      </c>
      <c r="AU184" s="73" t="e">
        <f t="shared" si="41"/>
        <v>#N/A</v>
      </c>
      <c r="AV184" s="73" t="e">
        <f t="shared" si="42"/>
        <v>#N/A</v>
      </c>
      <c r="AW184" s="73" t="e">
        <f t="shared" si="43"/>
        <v>#N/A</v>
      </c>
      <c r="AX184" s="2" t="str">
        <f t="shared" si="44"/>
        <v>r_guanqia_182</v>
      </c>
      <c r="AY184" s="2" t="e">
        <f>ROUND(($P184*R184/10/$H184/(1+VLOOKUP($I184,技能效果!$B$2:$D$101,3,FALSE))-1)*10000,0)</f>
        <v>#N/A</v>
      </c>
      <c r="AZ184" s="2" t="e">
        <f>ROUND(($P184*S184/10/$H184/(1+VLOOKUP($I184,技能效果!$B$2:$D$101,3,FALSE))-1)*10000,0)</f>
        <v>#N/A</v>
      </c>
      <c r="BA184" s="2" t="e">
        <f>ROUND(($P184*T184/10/$H184/(1+VLOOKUP($I184,技能效果!$B$2:$D$101,3,FALSE))-1)*10000,0)</f>
        <v>#N/A</v>
      </c>
      <c r="BB184" s="2" t="e">
        <f>ROUND(($P184*U184/10/$H184/(1+VLOOKUP($I184,技能效果!$B$2:$D$101,3,FALSE))-1)*10000,0)</f>
        <v>#N/A</v>
      </c>
      <c r="BC184" s="2" t="e">
        <f>ROUND(($P184*V184/10/$H184/(1+VLOOKUP($I184,技能效果!$B$2:$D$101,3,FALSE))-1)*10000,0)</f>
        <v>#N/A</v>
      </c>
    </row>
    <row r="185" spans="2:55" x14ac:dyDescent="0.15">
      <c r="B185" s="83"/>
      <c r="C185" s="2">
        <v>183</v>
      </c>
      <c r="D185" s="2">
        <f t="shared" si="48"/>
        <v>101</v>
      </c>
      <c r="E185" s="2">
        <v>2</v>
      </c>
      <c r="F185" s="28" t="e">
        <f>INDEX([3]宠物属性!$AL$8:$AL$107,MATCH(D185,[3]宠物属性!$I$8:$I$107,0),1)</f>
        <v>#N/A</v>
      </c>
      <c r="G185" s="68" t="e">
        <f>F185/INDEX(角色属性!$AI$8:$AI$107,MATCH(D185,角色属性!$I$8:$I$107,0),1)*E185</f>
        <v>#N/A</v>
      </c>
      <c r="H185" s="2" t="e">
        <f>INDEX(角色属性!$AL$8:$AL$107,MATCH(D185,角色属性!$I$8:$I$107,0),1)</f>
        <v>#N/A</v>
      </c>
      <c r="I185" s="2" t="e">
        <f>INDEX(角色属性!$Y$8:$Y$107,MATCH(D185,角色属性!$I$8:$I$107,0),1)</f>
        <v>#N/A</v>
      </c>
      <c r="J185" s="28" t="e">
        <f>H185*10*(1+VLOOKUP(I185,技能效果!$B$2:$D$101,3,FALSE))</f>
        <v>#N/A</v>
      </c>
      <c r="K185" s="28" t="e">
        <f>H185*10*(1+VLOOKUP(I185,技能效果!$B$2:$D$101,3,FALSE))*(1+G185)</f>
        <v>#N/A</v>
      </c>
      <c r="L185" s="2">
        <f t="shared" si="34"/>
        <v>190</v>
      </c>
      <c r="M185" s="28" t="e">
        <f t="shared" si="35"/>
        <v>#N/A</v>
      </c>
      <c r="N185" s="28" t="e">
        <f t="shared" si="36"/>
        <v>#N/A</v>
      </c>
      <c r="O185" s="62" t="e">
        <f t="shared" si="46"/>
        <v>#N/A</v>
      </c>
      <c r="P185" s="62" t="e">
        <f t="shared" si="47"/>
        <v>#N/A</v>
      </c>
      <c r="Q185" s="64" t="e">
        <f t="shared" si="45"/>
        <v>#N/A</v>
      </c>
      <c r="R185" s="67">
        <v>1</v>
      </c>
      <c r="S185" s="67">
        <v>1</v>
      </c>
      <c r="T185" s="67">
        <v>1</v>
      </c>
      <c r="U185" s="67">
        <v>1</v>
      </c>
      <c r="V185" s="67">
        <v>1</v>
      </c>
      <c r="W185" s="28">
        <v>0</v>
      </c>
      <c r="X185" s="28">
        <v>0</v>
      </c>
      <c r="Y185" s="28">
        <v>0</v>
      </c>
      <c r="Z185" s="28">
        <v>0</v>
      </c>
      <c r="AA185" s="28">
        <v>0</v>
      </c>
      <c r="AB185" s="64" t="e">
        <f>INDEX(角色属性!AM$8:AM$107,MATCH($D185,角色属性!$I$8:$I$107,0),1)</f>
        <v>#N/A</v>
      </c>
      <c r="AC185" s="64" t="e">
        <f>INDEX(角色属性!AN$8:AN$107,MATCH($D185,角色属性!$I$8:$I$107,0),1)</f>
        <v>#N/A</v>
      </c>
      <c r="AD185" s="64" t="e">
        <f>INDEX(角色属性!AO$8:AO$107,MATCH($D185,角色属性!$I$8:$I$107,0),1)</f>
        <v>#N/A</v>
      </c>
      <c r="AE185" s="64" t="e">
        <f>INDEX(角色属性!AP$8:AP$107,MATCH($D185,角色属性!$I$8:$I$107,0),1)</f>
        <v>#N/A</v>
      </c>
      <c r="AF185" s="64" t="e">
        <f>INDEX(角色属性!AQ$8:AQ$107,MATCH($D185,角色属性!$I$8:$I$107,0),1)</f>
        <v>#N/A</v>
      </c>
      <c r="AG185" s="64" t="e">
        <f>$P185/10/(1+VLOOKUP(I185,技能效果!$B$2:$D$101,3,FALSE))*怪物属性规划!A$18*INDEX(怪物属性等级系数!$A$2:$A$101,MATCH(D185,怪物属性等级系数!$D$2:$D$101,0),1)*R185+W185</f>
        <v>#N/A</v>
      </c>
      <c r="AH185" s="64" t="e">
        <f>$P185/10/(1+VLOOKUP($I185,技能效果!$B$2:$D$101,3,FALSE))*怪物属性规划!B$18*S185+X185</f>
        <v>#N/A</v>
      </c>
      <c r="AI185" s="64" t="e">
        <f>$P185/10/(1+VLOOKUP($I185,技能效果!$B$2:$D$101,3,FALSE))*怪物属性规划!C$18*T185+Y185</f>
        <v>#N/A</v>
      </c>
      <c r="AJ185" s="64" t="e">
        <f>$P185/10/(1+VLOOKUP($I185,技能效果!$B$2:$D$101,3,FALSE))*怪物属性规划!D$18*U185+Z185</f>
        <v>#N/A</v>
      </c>
      <c r="AK185" s="64" t="e">
        <f>$P185/10/(1+VLOOKUP($I185,技能效果!$B$2:$D$101,3,FALSE))*怪物属性规划!E$18*V185+AA185</f>
        <v>#N/A</v>
      </c>
      <c r="AL185" s="67" t="e">
        <f>INDEX(角色属性!BB$8:BB$107,MATCH($D185,角色属性!$I$8:$I$107,0),1)</f>
        <v>#N/A</v>
      </c>
      <c r="AM185" s="64" t="e">
        <f>INDEX(角色属性!BC$8:BC$107,MATCH($D185,角色属性!$I$8:$I$107,0),1)</f>
        <v>#N/A</v>
      </c>
      <c r="AN185" s="64" t="e">
        <f>INDEX(角色属性!BD$8:BD$107,MATCH($D185,角色属性!$I$8:$I$107,0),1)</f>
        <v>#N/A</v>
      </c>
      <c r="AO185" s="69" t="e">
        <f t="shared" si="37"/>
        <v>#N/A</v>
      </c>
      <c r="AP185" s="69" t="e">
        <f t="shared" si="38"/>
        <v>#N/A</v>
      </c>
      <c r="AQ185" s="64" t="e">
        <f>AL185*角色属性!$BA$1*(AC185*(1-AO185)+MAX(AF185-AJ185,0))</f>
        <v>#N/A</v>
      </c>
      <c r="AR185" s="64" t="e">
        <f>角色属性!$BA$1*(AH185*(1-AP185)+MAX(AK185-AE185,0))</f>
        <v>#N/A</v>
      </c>
      <c r="AS185" s="73" t="e">
        <f t="shared" si="39"/>
        <v>#N/A</v>
      </c>
      <c r="AT185" s="73" t="e">
        <f t="shared" si="40"/>
        <v>#N/A</v>
      </c>
      <c r="AU185" s="73" t="e">
        <f t="shared" si="41"/>
        <v>#N/A</v>
      </c>
      <c r="AV185" s="73" t="e">
        <f t="shared" si="42"/>
        <v>#N/A</v>
      </c>
      <c r="AW185" s="73" t="e">
        <f t="shared" si="43"/>
        <v>#N/A</v>
      </c>
      <c r="AX185" s="2" t="str">
        <f t="shared" si="44"/>
        <v>r_guanqia_183</v>
      </c>
      <c r="AY185" s="2" t="e">
        <f>ROUND(($P185*R185/10/$H185/(1+VLOOKUP($I185,技能效果!$B$2:$D$101,3,FALSE))-1)*10000,0)</f>
        <v>#N/A</v>
      </c>
      <c r="AZ185" s="2" t="e">
        <f>ROUND(($P185*S185/10/$H185/(1+VLOOKUP($I185,技能效果!$B$2:$D$101,3,FALSE))-1)*10000,0)</f>
        <v>#N/A</v>
      </c>
      <c r="BA185" s="2" t="e">
        <f>ROUND(($P185*T185/10/$H185/(1+VLOOKUP($I185,技能效果!$B$2:$D$101,3,FALSE))-1)*10000,0)</f>
        <v>#N/A</v>
      </c>
      <c r="BB185" s="2" t="e">
        <f>ROUND(($P185*U185/10/$H185/(1+VLOOKUP($I185,技能效果!$B$2:$D$101,3,FALSE))-1)*10000,0)</f>
        <v>#N/A</v>
      </c>
      <c r="BC185" s="2" t="e">
        <f>ROUND(($P185*V185/10/$H185/(1+VLOOKUP($I185,技能效果!$B$2:$D$101,3,FALSE))-1)*10000,0)</f>
        <v>#N/A</v>
      </c>
    </row>
    <row r="186" spans="2:55" x14ac:dyDescent="0.15">
      <c r="B186" s="83"/>
      <c r="C186" s="2">
        <v>184</v>
      </c>
      <c r="D186" s="2">
        <f t="shared" si="48"/>
        <v>101</v>
      </c>
      <c r="E186" s="2">
        <v>2</v>
      </c>
      <c r="F186" s="28" t="e">
        <f>INDEX([3]宠物属性!$AL$8:$AL$107,MATCH(D186,[3]宠物属性!$I$8:$I$107,0),1)</f>
        <v>#N/A</v>
      </c>
      <c r="G186" s="68" t="e">
        <f>F186/INDEX(角色属性!$AI$8:$AI$107,MATCH(D186,角色属性!$I$8:$I$107,0),1)*E186</f>
        <v>#N/A</v>
      </c>
      <c r="H186" s="2" t="e">
        <f>INDEX(角色属性!$AL$8:$AL$107,MATCH(D186,角色属性!$I$8:$I$107,0),1)</f>
        <v>#N/A</v>
      </c>
      <c r="I186" s="2" t="e">
        <f>INDEX(角色属性!$Y$8:$Y$107,MATCH(D186,角色属性!$I$8:$I$107,0),1)</f>
        <v>#N/A</v>
      </c>
      <c r="J186" s="28" t="e">
        <f>H186*10*(1+VLOOKUP(I186,技能效果!$B$2:$D$101,3,FALSE))</f>
        <v>#N/A</v>
      </c>
      <c r="K186" s="28" t="e">
        <f>H186*10*(1+VLOOKUP(I186,技能效果!$B$2:$D$101,3,FALSE))*(1+G186)</f>
        <v>#N/A</v>
      </c>
      <c r="L186" s="2">
        <f t="shared" si="34"/>
        <v>190</v>
      </c>
      <c r="M186" s="28" t="e">
        <f t="shared" si="35"/>
        <v>#N/A</v>
      </c>
      <c r="N186" s="28" t="e">
        <f t="shared" si="36"/>
        <v>#N/A</v>
      </c>
      <c r="O186" s="62" t="e">
        <f t="shared" si="46"/>
        <v>#N/A</v>
      </c>
      <c r="P186" s="62" t="e">
        <f t="shared" si="47"/>
        <v>#N/A</v>
      </c>
      <c r="Q186" s="64" t="e">
        <f t="shared" si="45"/>
        <v>#N/A</v>
      </c>
      <c r="R186" s="67">
        <v>1</v>
      </c>
      <c r="S186" s="67">
        <v>1</v>
      </c>
      <c r="T186" s="67">
        <v>1</v>
      </c>
      <c r="U186" s="67">
        <v>1</v>
      </c>
      <c r="V186" s="67">
        <v>1</v>
      </c>
      <c r="W186" s="28">
        <v>0</v>
      </c>
      <c r="X186" s="28">
        <v>0</v>
      </c>
      <c r="Y186" s="28">
        <v>0</v>
      </c>
      <c r="Z186" s="28">
        <v>0</v>
      </c>
      <c r="AA186" s="28">
        <v>0</v>
      </c>
      <c r="AB186" s="64" t="e">
        <f>INDEX(角色属性!AM$8:AM$107,MATCH($D186,角色属性!$I$8:$I$107,0),1)</f>
        <v>#N/A</v>
      </c>
      <c r="AC186" s="64" t="e">
        <f>INDEX(角色属性!AN$8:AN$107,MATCH($D186,角色属性!$I$8:$I$107,0),1)</f>
        <v>#N/A</v>
      </c>
      <c r="AD186" s="64" t="e">
        <f>INDEX(角色属性!AO$8:AO$107,MATCH($D186,角色属性!$I$8:$I$107,0),1)</f>
        <v>#N/A</v>
      </c>
      <c r="AE186" s="64" t="e">
        <f>INDEX(角色属性!AP$8:AP$107,MATCH($D186,角色属性!$I$8:$I$107,0),1)</f>
        <v>#N/A</v>
      </c>
      <c r="AF186" s="64" t="e">
        <f>INDEX(角色属性!AQ$8:AQ$107,MATCH($D186,角色属性!$I$8:$I$107,0),1)</f>
        <v>#N/A</v>
      </c>
      <c r="AG186" s="64" t="e">
        <f>$P186/10/(1+VLOOKUP(I186,技能效果!$B$2:$D$101,3,FALSE))*怪物属性规划!A$18*INDEX(怪物属性等级系数!$A$2:$A$101,MATCH(D186,怪物属性等级系数!$D$2:$D$101,0),1)*R186+W186</f>
        <v>#N/A</v>
      </c>
      <c r="AH186" s="64" t="e">
        <f>$P186/10/(1+VLOOKUP($I186,技能效果!$B$2:$D$101,3,FALSE))*怪物属性规划!B$18*S186+X186</f>
        <v>#N/A</v>
      </c>
      <c r="AI186" s="64" t="e">
        <f>$P186/10/(1+VLOOKUP($I186,技能效果!$B$2:$D$101,3,FALSE))*怪物属性规划!C$18*T186+Y186</f>
        <v>#N/A</v>
      </c>
      <c r="AJ186" s="64" t="e">
        <f>$P186/10/(1+VLOOKUP($I186,技能效果!$B$2:$D$101,3,FALSE))*怪物属性规划!D$18*U186+Z186</f>
        <v>#N/A</v>
      </c>
      <c r="AK186" s="64" t="e">
        <f>$P186/10/(1+VLOOKUP($I186,技能效果!$B$2:$D$101,3,FALSE))*怪物属性规划!E$18*V186+AA186</f>
        <v>#N/A</v>
      </c>
      <c r="AL186" s="67" t="e">
        <f>INDEX(角色属性!BB$8:BB$107,MATCH($D186,角色属性!$I$8:$I$107,0),1)</f>
        <v>#N/A</v>
      </c>
      <c r="AM186" s="64" t="e">
        <f>INDEX(角色属性!BC$8:BC$107,MATCH($D186,角色属性!$I$8:$I$107,0),1)</f>
        <v>#N/A</v>
      </c>
      <c r="AN186" s="64" t="e">
        <f>INDEX(角色属性!BD$8:BD$107,MATCH($D186,角色属性!$I$8:$I$107,0),1)</f>
        <v>#N/A</v>
      </c>
      <c r="AO186" s="69" t="e">
        <f t="shared" si="37"/>
        <v>#N/A</v>
      </c>
      <c r="AP186" s="69" t="e">
        <f t="shared" si="38"/>
        <v>#N/A</v>
      </c>
      <c r="AQ186" s="64" t="e">
        <f>AL186*角色属性!$BA$1*(AC186*(1-AO186)+MAX(AF186-AJ186,0))</f>
        <v>#N/A</v>
      </c>
      <c r="AR186" s="64" t="e">
        <f>角色属性!$BA$1*(AH186*(1-AP186)+MAX(AK186-AE186,0))</f>
        <v>#N/A</v>
      </c>
      <c r="AS186" s="73" t="e">
        <f t="shared" si="39"/>
        <v>#N/A</v>
      </c>
      <c r="AT186" s="73" t="e">
        <f t="shared" si="40"/>
        <v>#N/A</v>
      </c>
      <c r="AU186" s="73" t="e">
        <f t="shared" si="41"/>
        <v>#N/A</v>
      </c>
      <c r="AV186" s="73" t="e">
        <f t="shared" si="42"/>
        <v>#N/A</v>
      </c>
      <c r="AW186" s="73" t="e">
        <f t="shared" si="43"/>
        <v>#N/A</v>
      </c>
      <c r="AX186" s="2" t="str">
        <f t="shared" si="44"/>
        <v>r_guanqia_184</v>
      </c>
      <c r="AY186" s="2" t="e">
        <f>ROUND(($P186*R186/10/$H186/(1+VLOOKUP($I186,技能效果!$B$2:$D$101,3,FALSE))-1)*10000,0)</f>
        <v>#N/A</v>
      </c>
      <c r="AZ186" s="2" t="e">
        <f>ROUND(($P186*S186/10/$H186/(1+VLOOKUP($I186,技能效果!$B$2:$D$101,3,FALSE))-1)*10000,0)</f>
        <v>#N/A</v>
      </c>
      <c r="BA186" s="2" t="e">
        <f>ROUND(($P186*T186/10/$H186/(1+VLOOKUP($I186,技能效果!$B$2:$D$101,3,FALSE))-1)*10000,0)</f>
        <v>#N/A</v>
      </c>
      <c r="BB186" s="2" t="e">
        <f>ROUND(($P186*U186/10/$H186/(1+VLOOKUP($I186,技能效果!$B$2:$D$101,3,FALSE))-1)*10000,0)</f>
        <v>#N/A</v>
      </c>
      <c r="BC186" s="2" t="e">
        <f>ROUND(($P186*V186/10/$H186/(1+VLOOKUP($I186,技能效果!$B$2:$D$101,3,FALSE))-1)*10000,0)</f>
        <v>#N/A</v>
      </c>
    </row>
    <row r="187" spans="2:55" x14ac:dyDescent="0.15">
      <c r="B187" s="83"/>
      <c r="C187" s="2">
        <v>185</v>
      </c>
      <c r="D187" s="2">
        <f t="shared" si="48"/>
        <v>102</v>
      </c>
      <c r="E187" s="2">
        <v>2</v>
      </c>
      <c r="F187" s="28" t="e">
        <f>INDEX([3]宠物属性!$AL$8:$AL$107,MATCH(D187,[3]宠物属性!$I$8:$I$107,0),1)</f>
        <v>#N/A</v>
      </c>
      <c r="G187" s="68" t="e">
        <f>F187/INDEX(角色属性!$AI$8:$AI$107,MATCH(D187,角色属性!$I$8:$I$107,0),1)*E187</f>
        <v>#N/A</v>
      </c>
      <c r="H187" s="2" t="e">
        <f>INDEX(角色属性!$AL$8:$AL$107,MATCH(D187,角色属性!$I$8:$I$107,0),1)</f>
        <v>#N/A</v>
      </c>
      <c r="I187" s="2" t="e">
        <f>INDEX(角色属性!$Y$8:$Y$107,MATCH(D187,角色属性!$I$8:$I$107,0),1)</f>
        <v>#N/A</v>
      </c>
      <c r="J187" s="28" t="e">
        <f>H187*10*(1+VLOOKUP(I187,技能效果!$B$2:$D$101,3,FALSE))</f>
        <v>#N/A</v>
      </c>
      <c r="K187" s="28" t="e">
        <f>H187*10*(1+VLOOKUP(I187,技能效果!$B$2:$D$101,3,FALSE))*(1+G187)</f>
        <v>#N/A</v>
      </c>
      <c r="L187" s="2">
        <f t="shared" si="34"/>
        <v>190</v>
      </c>
      <c r="M187" s="28" t="e">
        <f t="shared" si="35"/>
        <v>#N/A</v>
      </c>
      <c r="N187" s="28" t="e">
        <f t="shared" si="36"/>
        <v>#N/A</v>
      </c>
      <c r="O187" s="62" t="e">
        <f t="shared" si="46"/>
        <v>#N/A</v>
      </c>
      <c r="P187" s="62" t="e">
        <f t="shared" si="47"/>
        <v>#N/A</v>
      </c>
      <c r="Q187" s="64" t="e">
        <f t="shared" si="45"/>
        <v>#N/A</v>
      </c>
      <c r="R187" s="67">
        <v>1</v>
      </c>
      <c r="S187" s="67">
        <v>1</v>
      </c>
      <c r="T187" s="67">
        <v>1</v>
      </c>
      <c r="U187" s="67">
        <v>1</v>
      </c>
      <c r="V187" s="67">
        <v>1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64" t="e">
        <f>INDEX(角色属性!AM$8:AM$107,MATCH($D187,角色属性!$I$8:$I$107,0),1)</f>
        <v>#N/A</v>
      </c>
      <c r="AC187" s="64" t="e">
        <f>INDEX(角色属性!AN$8:AN$107,MATCH($D187,角色属性!$I$8:$I$107,0),1)</f>
        <v>#N/A</v>
      </c>
      <c r="AD187" s="64" t="e">
        <f>INDEX(角色属性!AO$8:AO$107,MATCH($D187,角色属性!$I$8:$I$107,0),1)</f>
        <v>#N/A</v>
      </c>
      <c r="AE187" s="64" t="e">
        <f>INDEX(角色属性!AP$8:AP$107,MATCH($D187,角色属性!$I$8:$I$107,0),1)</f>
        <v>#N/A</v>
      </c>
      <c r="AF187" s="64" t="e">
        <f>INDEX(角色属性!AQ$8:AQ$107,MATCH($D187,角色属性!$I$8:$I$107,0),1)</f>
        <v>#N/A</v>
      </c>
      <c r="AG187" s="64" t="e">
        <f>$P187/10/(1+VLOOKUP(I187,技能效果!$B$2:$D$101,3,FALSE))*怪物属性规划!A$18*INDEX(怪物属性等级系数!$A$2:$A$101,MATCH(D187,怪物属性等级系数!$D$2:$D$101,0),1)*R187+W187</f>
        <v>#N/A</v>
      </c>
      <c r="AH187" s="64" t="e">
        <f>$P187/10/(1+VLOOKUP($I187,技能效果!$B$2:$D$101,3,FALSE))*怪物属性规划!B$18*S187+X187</f>
        <v>#N/A</v>
      </c>
      <c r="AI187" s="64" t="e">
        <f>$P187/10/(1+VLOOKUP($I187,技能效果!$B$2:$D$101,3,FALSE))*怪物属性规划!C$18*T187+Y187</f>
        <v>#N/A</v>
      </c>
      <c r="AJ187" s="64" t="e">
        <f>$P187/10/(1+VLOOKUP($I187,技能效果!$B$2:$D$101,3,FALSE))*怪物属性规划!D$18*U187+Z187</f>
        <v>#N/A</v>
      </c>
      <c r="AK187" s="64" t="e">
        <f>$P187/10/(1+VLOOKUP($I187,技能效果!$B$2:$D$101,3,FALSE))*怪物属性规划!E$18*V187+AA187</f>
        <v>#N/A</v>
      </c>
      <c r="AL187" s="67" t="e">
        <f>INDEX(角色属性!BB$8:BB$107,MATCH($D187,角色属性!$I$8:$I$107,0),1)</f>
        <v>#N/A</v>
      </c>
      <c r="AM187" s="64" t="e">
        <f>INDEX(角色属性!BC$8:BC$107,MATCH($D187,角色属性!$I$8:$I$107,0),1)</f>
        <v>#N/A</v>
      </c>
      <c r="AN187" s="64" t="e">
        <f>INDEX(角色属性!BD$8:BD$107,MATCH($D187,角色属性!$I$8:$I$107,0),1)</f>
        <v>#N/A</v>
      </c>
      <c r="AO187" s="69" t="e">
        <f t="shared" si="37"/>
        <v>#N/A</v>
      </c>
      <c r="AP187" s="69" t="e">
        <f t="shared" si="38"/>
        <v>#N/A</v>
      </c>
      <c r="AQ187" s="64" t="e">
        <f>AL187*角色属性!$BA$1*(AC187*(1-AO187)+MAX(AF187-AJ187,0))</f>
        <v>#N/A</v>
      </c>
      <c r="AR187" s="64" t="e">
        <f>角色属性!$BA$1*(AH187*(1-AP187)+MAX(AK187-AE187,0))</f>
        <v>#N/A</v>
      </c>
      <c r="AS187" s="73" t="e">
        <f t="shared" si="39"/>
        <v>#N/A</v>
      </c>
      <c r="AT187" s="73" t="e">
        <f t="shared" si="40"/>
        <v>#N/A</v>
      </c>
      <c r="AU187" s="73" t="e">
        <f t="shared" si="41"/>
        <v>#N/A</v>
      </c>
      <c r="AV187" s="73" t="e">
        <f t="shared" si="42"/>
        <v>#N/A</v>
      </c>
      <c r="AW187" s="73" t="e">
        <f t="shared" si="43"/>
        <v>#N/A</v>
      </c>
      <c r="AX187" s="2" t="str">
        <f t="shared" si="44"/>
        <v>r_guanqia_185</v>
      </c>
      <c r="AY187" s="2" t="e">
        <f>ROUND(($P187*R187/10/$H187/(1+VLOOKUP($I187,技能效果!$B$2:$D$101,3,FALSE))-1)*10000,0)</f>
        <v>#N/A</v>
      </c>
      <c r="AZ187" s="2" t="e">
        <f>ROUND(($P187*S187/10/$H187/(1+VLOOKUP($I187,技能效果!$B$2:$D$101,3,FALSE))-1)*10000,0)</f>
        <v>#N/A</v>
      </c>
      <c r="BA187" s="2" t="e">
        <f>ROUND(($P187*T187/10/$H187/(1+VLOOKUP($I187,技能效果!$B$2:$D$101,3,FALSE))-1)*10000,0)</f>
        <v>#N/A</v>
      </c>
      <c r="BB187" s="2" t="e">
        <f>ROUND(($P187*U187/10/$H187/(1+VLOOKUP($I187,技能效果!$B$2:$D$101,3,FALSE))-1)*10000,0)</f>
        <v>#N/A</v>
      </c>
      <c r="BC187" s="2" t="e">
        <f>ROUND(($P187*V187/10/$H187/(1+VLOOKUP($I187,技能效果!$B$2:$D$101,3,FALSE))-1)*10000,0)</f>
        <v>#N/A</v>
      </c>
    </row>
    <row r="188" spans="2:55" x14ac:dyDescent="0.15">
      <c r="B188" s="83"/>
      <c r="C188" s="2">
        <v>186</v>
      </c>
      <c r="D188" s="2">
        <f t="shared" si="48"/>
        <v>102</v>
      </c>
      <c r="E188" s="2">
        <v>2</v>
      </c>
      <c r="F188" s="28" t="e">
        <f>INDEX([3]宠物属性!$AL$8:$AL$107,MATCH(D188,[3]宠物属性!$I$8:$I$107,0),1)</f>
        <v>#N/A</v>
      </c>
      <c r="G188" s="68" t="e">
        <f>F188/INDEX(角色属性!$AI$8:$AI$107,MATCH(D188,角色属性!$I$8:$I$107,0),1)*E188</f>
        <v>#N/A</v>
      </c>
      <c r="H188" s="2" t="e">
        <f>INDEX(角色属性!$AL$8:$AL$107,MATCH(D188,角色属性!$I$8:$I$107,0),1)</f>
        <v>#N/A</v>
      </c>
      <c r="I188" s="2" t="e">
        <f>INDEX(角色属性!$Y$8:$Y$107,MATCH(D188,角色属性!$I$8:$I$107,0),1)</f>
        <v>#N/A</v>
      </c>
      <c r="J188" s="28" t="e">
        <f>H188*10*(1+VLOOKUP(I188,技能效果!$B$2:$D$101,3,FALSE))</f>
        <v>#N/A</v>
      </c>
      <c r="K188" s="28" t="e">
        <f>H188*10*(1+VLOOKUP(I188,技能效果!$B$2:$D$101,3,FALSE))*(1+G188)</f>
        <v>#N/A</v>
      </c>
      <c r="L188" s="2">
        <f t="shared" si="34"/>
        <v>190</v>
      </c>
      <c r="M188" s="28" t="e">
        <f t="shared" si="35"/>
        <v>#N/A</v>
      </c>
      <c r="N188" s="28" t="e">
        <f t="shared" si="36"/>
        <v>#N/A</v>
      </c>
      <c r="O188" s="62" t="e">
        <f t="shared" si="46"/>
        <v>#N/A</v>
      </c>
      <c r="P188" s="62" t="e">
        <f t="shared" si="47"/>
        <v>#N/A</v>
      </c>
      <c r="Q188" s="64" t="e">
        <f t="shared" si="45"/>
        <v>#N/A</v>
      </c>
      <c r="R188" s="67">
        <v>1</v>
      </c>
      <c r="S188" s="67">
        <v>1</v>
      </c>
      <c r="T188" s="67">
        <v>1</v>
      </c>
      <c r="U188" s="67">
        <v>1</v>
      </c>
      <c r="V188" s="67">
        <v>1</v>
      </c>
      <c r="W188" s="28">
        <v>0</v>
      </c>
      <c r="X188" s="28">
        <v>0</v>
      </c>
      <c r="Y188" s="28">
        <v>0</v>
      </c>
      <c r="Z188" s="28">
        <v>0</v>
      </c>
      <c r="AA188" s="28">
        <v>0</v>
      </c>
      <c r="AB188" s="64" t="e">
        <f>INDEX(角色属性!AM$8:AM$107,MATCH($D188,角色属性!$I$8:$I$107,0),1)</f>
        <v>#N/A</v>
      </c>
      <c r="AC188" s="64" t="e">
        <f>INDEX(角色属性!AN$8:AN$107,MATCH($D188,角色属性!$I$8:$I$107,0),1)</f>
        <v>#N/A</v>
      </c>
      <c r="AD188" s="64" t="e">
        <f>INDEX(角色属性!AO$8:AO$107,MATCH($D188,角色属性!$I$8:$I$107,0),1)</f>
        <v>#N/A</v>
      </c>
      <c r="AE188" s="64" t="e">
        <f>INDEX(角色属性!AP$8:AP$107,MATCH($D188,角色属性!$I$8:$I$107,0),1)</f>
        <v>#N/A</v>
      </c>
      <c r="AF188" s="64" t="e">
        <f>INDEX(角色属性!AQ$8:AQ$107,MATCH($D188,角色属性!$I$8:$I$107,0),1)</f>
        <v>#N/A</v>
      </c>
      <c r="AG188" s="64" t="e">
        <f>$P188/10/(1+VLOOKUP(I188,技能效果!$B$2:$D$101,3,FALSE))*怪物属性规划!A$18*INDEX(怪物属性等级系数!$A$2:$A$101,MATCH(D188,怪物属性等级系数!$D$2:$D$101,0),1)*R188+W188</f>
        <v>#N/A</v>
      </c>
      <c r="AH188" s="64" t="e">
        <f>$P188/10/(1+VLOOKUP($I188,技能效果!$B$2:$D$101,3,FALSE))*怪物属性规划!B$18*S188+X188</f>
        <v>#N/A</v>
      </c>
      <c r="AI188" s="64" t="e">
        <f>$P188/10/(1+VLOOKUP($I188,技能效果!$B$2:$D$101,3,FALSE))*怪物属性规划!C$18*T188+Y188</f>
        <v>#N/A</v>
      </c>
      <c r="AJ188" s="64" t="e">
        <f>$P188/10/(1+VLOOKUP($I188,技能效果!$B$2:$D$101,3,FALSE))*怪物属性规划!D$18*U188+Z188</f>
        <v>#N/A</v>
      </c>
      <c r="AK188" s="64" t="e">
        <f>$P188/10/(1+VLOOKUP($I188,技能效果!$B$2:$D$101,3,FALSE))*怪物属性规划!E$18*V188+AA188</f>
        <v>#N/A</v>
      </c>
      <c r="AL188" s="67" t="e">
        <f>INDEX(角色属性!BB$8:BB$107,MATCH($D188,角色属性!$I$8:$I$107,0),1)</f>
        <v>#N/A</v>
      </c>
      <c r="AM188" s="64" t="e">
        <f>INDEX(角色属性!BC$8:BC$107,MATCH($D188,角色属性!$I$8:$I$107,0),1)</f>
        <v>#N/A</v>
      </c>
      <c r="AN188" s="64" t="e">
        <f>INDEX(角色属性!BD$8:BD$107,MATCH($D188,角色属性!$I$8:$I$107,0),1)</f>
        <v>#N/A</v>
      </c>
      <c r="AO188" s="69" t="e">
        <f t="shared" si="37"/>
        <v>#N/A</v>
      </c>
      <c r="AP188" s="69" t="e">
        <f t="shared" si="38"/>
        <v>#N/A</v>
      </c>
      <c r="AQ188" s="64" t="e">
        <f>AL188*角色属性!$BA$1*(AC188*(1-AO188)+MAX(AF188-AJ188,0))</f>
        <v>#N/A</v>
      </c>
      <c r="AR188" s="64" t="e">
        <f>角色属性!$BA$1*(AH188*(1-AP188)+MAX(AK188-AE188,0))</f>
        <v>#N/A</v>
      </c>
      <c r="AS188" s="73" t="e">
        <f t="shared" si="39"/>
        <v>#N/A</v>
      </c>
      <c r="AT188" s="73" t="e">
        <f t="shared" si="40"/>
        <v>#N/A</v>
      </c>
      <c r="AU188" s="73" t="e">
        <f t="shared" si="41"/>
        <v>#N/A</v>
      </c>
      <c r="AV188" s="73" t="e">
        <f t="shared" si="42"/>
        <v>#N/A</v>
      </c>
      <c r="AW188" s="73" t="e">
        <f t="shared" si="43"/>
        <v>#N/A</v>
      </c>
      <c r="AX188" s="2" t="str">
        <f t="shared" si="44"/>
        <v>r_guanqia_186</v>
      </c>
      <c r="AY188" s="2" t="e">
        <f>ROUND(($P188*R188/10/$H188/(1+VLOOKUP($I188,技能效果!$B$2:$D$101,3,FALSE))-1)*10000,0)</f>
        <v>#N/A</v>
      </c>
      <c r="AZ188" s="2" t="e">
        <f>ROUND(($P188*S188/10/$H188/(1+VLOOKUP($I188,技能效果!$B$2:$D$101,3,FALSE))-1)*10000,0)</f>
        <v>#N/A</v>
      </c>
      <c r="BA188" s="2" t="e">
        <f>ROUND(($P188*T188/10/$H188/(1+VLOOKUP($I188,技能效果!$B$2:$D$101,3,FALSE))-1)*10000,0)</f>
        <v>#N/A</v>
      </c>
      <c r="BB188" s="2" t="e">
        <f>ROUND(($P188*U188/10/$H188/(1+VLOOKUP($I188,技能效果!$B$2:$D$101,3,FALSE))-1)*10000,0)</f>
        <v>#N/A</v>
      </c>
      <c r="BC188" s="2" t="e">
        <f>ROUND(($P188*V188/10/$H188/(1+VLOOKUP($I188,技能效果!$B$2:$D$101,3,FALSE))-1)*10000,0)</f>
        <v>#N/A</v>
      </c>
    </row>
    <row r="189" spans="2:55" x14ac:dyDescent="0.15">
      <c r="B189" s="83"/>
      <c r="C189" s="2">
        <v>187</v>
      </c>
      <c r="D189" s="2">
        <f t="shared" si="48"/>
        <v>102</v>
      </c>
      <c r="E189" s="2">
        <v>2</v>
      </c>
      <c r="F189" s="28" t="e">
        <f>INDEX([3]宠物属性!$AL$8:$AL$107,MATCH(D189,[3]宠物属性!$I$8:$I$107,0),1)</f>
        <v>#N/A</v>
      </c>
      <c r="G189" s="68" t="e">
        <f>F189/INDEX(角色属性!$AI$8:$AI$107,MATCH(D189,角色属性!$I$8:$I$107,0),1)*E189</f>
        <v>#N/A</v>
      </c>
      <c r="H189" s="2" t="e">
        <f>INDEX(角色属性!$AL$8:$AL$107,MATCH(D189,角色属性!$I$8:$I$107,0),1)</f>
        <v>#N/A</v>
      </c>
      <c r="I189" s="2" t="e">
        <f>INDEX(角色属性!$Y$8:$Y$107,MATCH(D189,角色属性!$I$8:$I$107,0),1)</f>
        <v>#N/A</v>
      </c>
      <c r="J189" s="28" t="e">
        <f>H189*10*(1+VLOOKUP(I189,技能效果!$B$2:$D$101,3,FALSE))</f>
        <v>#N/A</v>
      </c>
      <c r="K189" s="28" t="e">
        <f>H189*10*(1+VLOOKUP(I189,技能效果!$B$2:$D$101,3,FALSE))*(1+G189)</f>
        <v>#N/A</v>
      </c>
      <c r="L189" s="2">
        <f t="shared" si="34"/>
        <v>190</v>
      </c>
      <c r="M189" s="28" t="e">
        <f t="shared" si="35"/>
        <v>#N/A</v>
      </c>
      <c r="N189" s="28" t="e">
        <f t="shared" si="36"/>
        <v>#N/A</v>
      </c>
      <c r="O189" s="62" t="e">
        <f t="shared" si="46"/>
        <v>#N/A</v>
      </c>
      <c r="P189" s="62" t="e">
        <f t="shared" si="47"/>
        <v>#N/A</v>
      </c>
      <c r="Q189" s="64" t="e">
        <f t="shared" si="45"/>
        <v>#N/A</v>
      </c>
      <c r="R189" s="67">
        <v>1</v>
      </c>
      <c r="S189" s="67">
        <v>1</v>
      </c>
      <c r="T189" s="67">
        <v>1</v>
      </c>
      <c r="U189" s="67">
        <v>1</v>
      </c>
      <c r="V189" s="67">
        <v>1</v>
      </c>
      <c r="W189" s="28">
        <v>0</v>
      </c>
      <c r="X189" s="28">
        <v>0</v>
      </c>
      <c r="Y189" s="28">
        <v>0</v>
      </c>
      <c r="Z189" s="28">
        <v>0</v>
      </c>
      <c r="AA189" s="28">
        <v>0</v>
      </c>
      <c r="AB189" s="64" t="e">
        <f>INDEX(角色属性!AM$8:AM$107,MATCH($D189,角色属性!$I$8:$I$107,0),1)</f>
        <v>#N/A</v>
      </c>
      <c r="AC189" s="64" t="e">
        <f>INDEX(角色属性!AN$8:AN$107,MATCH($D189,角色属性!$I$8:$I$107,0),1)</f>
        <v>#N/A</v>
      </c>
      <c r="AD189" s="64" t="e">
        <f>INDEX(角色属性!AO$8:AO$107,MATCH($D189,角色属性!$I$8:$I$107,0),1)</f>
        <v>#N/A</v>
      </c>
      <c r="AE189" s="64" t="e">
        <f>INDEX(角色属性!AP$8:AP$107,MATCH($D189,角色属性!$I$8:$I$107,0),1)</f>
        <v>#N/A</v>
      </c>
      <c r="AF189" s="64" t="e">
        <f>INDEX(角色属性!AQ$8:AQ$107,MATCH($D189,角色属性!$I$8:$I$107,0),1)</f>
        <v>#N/A</v>
      </c>
      <c r="AG189" s="64" t="e">
        <f>$P189/10/(1+VLOOKUP(I189,技能效果!$B$2:$D$101,3,FALSE))*怪物属性规划!A$18*INDEX(怪物属性等级系数!$A$2:$A$101,MATCH(D189,怪物属性等级系数!$D$2:$D$101,0),1)*R189+W189</f>
        <v>#N/A</v>
      </c>
      <c r="AH189" s="64" t="e">
        <f>$P189/10/(1+VLOOKUP($I189,技能效果!$B$2:$D$101,3,FALSE))*怪物属性规划!B$18*S189+X189</f>
        <v>#N/A</v>
      </c>
      <c r="AI189" s="64" t="e">
        <f>$P189/10/(1+VLOOKUP($I189,技能效果!$B$2:$D$101,3,FALSE))*怪物属性规划!C$18*T189+Y189</f>
        <v>#N/A</v>
      </c>
      <c r="AJ189" s="64" t="e">
        <f>$P189/10/(1+VLOOKUP($I189,技能效果!$B$2:$D$101,3,FALSE))*怪物属性规划!D$18*U189+Z189</f>
        <v>#N/A</v>
      </c>
      <c r="AK189" s="64" t="e">
        <f>$P189/10/(1+VLOOKUP($I189,技能效果!$B$2:$D$101,3,FALSE))*怪物属性规划!E$18*V189+AA189</f>
        <v>#N/A</v>
      </c>
      <c r="AL189" s="67" t="e">
        <f>INDEX(角色属性!BB$8:BB$107,MATCH($D189,角色属性!$I$8:$I$107,0),1)</f>
        <v>#N/A</v>
      </c>
      <c r="AM189" s="64" t="e">
        <f>INDEX(角色属性!BC$8:BC$107,MATCH($D189,角色属性!$I$8:$I$107,0),1)</f>
        <v>#N/A</v>
      </c>
      <c r="AN189" s="64" t="e">
        <f>INDEX(角色属性!BD$8:BD$107,MATCH($D189,角色属性!$I$8:$I$107,0),1)</f>
        <v>#N/A</v>
      </c>
      <c r="AO189" s="69" t="e">
        <f t="shared" si="37"/>
        <v>#N/A</v>
      </c>
      <c r="AP189" s="69" t="e">
        <f t="shared" si="38"/>
        <v>#N/A</v>
      </c>
      <c r="AQ189" s="64" t="e">
        <f>AL189*角色属性!$BA$1*(AC189*(1-AO189)+MAX(AF189-AJ189,0))</f>
        <v>#N/A</v>
      </c>
      <c r="AR189" s="64" t="e">
        <f>角色属性!$BA$1*(AH189*(1-AP189)+MAX(AK189-AE189,0))</f>
        <v>#N/A</v>
      </c>
      <c r="AS189" s="73" t="e">
        <f t="shared" si="39"/>
        <v>#N/A</v>
      </c>
      <c r="AT189" s="73" t="e">
        <f t="shared" si="40"/>
        <v>#N/A</v>
      </c>
      <c r="AU189" s="73" t="e">
        <f t="shared" si="41"/>
        <v>#N/A</v>
      </c>
      <c r="AV189" s="73" t="e">
        <f t="shared" si="42"/>
        <v>#N/A</v>
      </c>
      <c r="AW189" s="73" t="e">
        <f t="shared" si="43"/>
        <v>#N/A</v>
      </c>
      <c r="AX189" s="2" t="str">
        <f t="shared" si="44"/>
        <v>r_guanqia_187</v>
      </c>
      <c r="AY189" s="2" t="e">
        <f>ROUND(($P189*R189/10/$H189/(1+VLOOKUP($I189,技能效果!$B$2:$D$101,3,FALSE))-1)*10000,0)</f>
        <v>#N/A</v>
      </c>
      <c r="AZ189" s="2" t="e">
        <f>ROUND(($P189*S189/10/$H189/(1+VLOOKUP($I189,技能效果!$B$2:$D$101,3,FALSE))-1)*10000,0)</f>
        <v>#N/A</v>
      </c>
      <c r="BA189" s="2" t="e">
        <f>ROUND(($P189*T189/10/$H189/(1+VLOOKUP($I189,技能效果!$B$2:$D$101,3,FALSE))-1)*10000,0)</f>
        <v>#N/A</v>
      </c>
      <c r="BB189" s="2" t="e">
        <f>ROUND(($P189*U189/10/$H189/(1+VLOOKUP($I189,技能效果!$B$2:$D$101,3,FALSE))-1)*10000,0)</f>
        <v>#N/A</v>
      </c>
      <c r="BC189" s="2" t="e">
        <f>ROUND(($P189*V189/10/$H189/(1+VLOOKUP($I189,技能效果!$B$2:$D$101,3,FALSE))-1)*10000,0)</f>
        <v>#N/A</v>
      </c>
    </row>
    <row r="190" spans="2:55" x14ac:dyDescent="0.15">
      <c r="B190" s="83"/>
      <c r="C190" s="2">
        <v>188</v>
      </c>
      <c r="D190" s="2">
        <f t="shared" si="48"/>
        <v>103</v>
      </c>
      <c r="E190" s="2">
        <v>2</v>
      </c>
      <c r="F190" s="28" t="e">
        <f>INDEX([3]宠物属性!$AL$8:$AL$107,MATCH(D190,[3]宠物属性!$I$8:$I$107,0),1)</f>
        <v>#N/A</v>
      </c>
      <c r="G190" s="68" t="e">
        <f>F190/INDEX(角色属性!$AI$8:$AI$107,MATCH(D190,角色属性!$I$8:$I$107,0),1)*E190</f>
        <v>#N/A</v>
      </c>
      <c r="H190" s="2" t="e">
        <f>INDEX(角色属性!$AL$8:$AL$107,MATCH(D190,角色属性!$I$8:$I$107,0),1)</f>
        <v>#N/A</v>
      </c>
      <c r="I190" s="2" t="e">
        <f>INDEX(角色属性!$Y$8:$Y$107,MATCH(D190,角色属性!$I$8:$I$107,0),1)</f>
        <v>#N/A</v>
      </c>
      <c r="J190" s="28" t="e">
        <f>H190*10*(1+VLOOKUP(I190,技能效果!$B$2:$D$101,3,FALSE))</f>
        <v>#N/A</v>
      </c>
      <c r="K190" s="28" t="e">
        <f>H190*10*(1+VLOOKUP(I190,技能效果!$B$2:$D$101,3,FALSE))*(1+G190)</f>
        <v>#N/A</v>
      </c>
      <c r="L190" s="2">
        <f t="shared" si="34"/>
        <v>190</v>
      </c>
      <c r="M190" s="28" t="e">
        <f t="shared" si="35"/>
        <v>#N/A</v>
      </c>
      <c r="N190" s="28" t="e">
        <f t="shared" si="36"/>
        <v>#N/A</v>
      </c>
      <c r="O190" s="62" t="e">
        <f t="shared" si="46"/>
        <v>#N/A</v>
      </c>
      <c r="P190" s="62" t="e">
        <f t="shared" si="47"/>
        <v>#N/A</v>
      </c>
      <c r="Q190" s="64" t="e">
        <f t="shared" si="45"/>
        <v>#N/A</v>
      </c>
      <c r="R190" s="67">
        <v>1</v>
      </c>
      <c r="S190" s="67">
        <v>1</v>
      </c>
      <c r="T190" s="67">
        <v>1</v>
      </c>
      <c r="U190" s="67">
        <v>1</v>
      </c>
      <c r="V190" s="67">
        <v>1</v>
      </c>
      <c r="W190" s="28">
        <v>0</v>
      </c>
      <c r="X190" s="28">
        <v>0</v>
      </c>
      <c r="Y190" s="28">
        <v>0</v>
      </c>
      <c r="Z190" s="28">
        <v>0</v>
      </c>
      <c r="AA190" s="28">
        <v>0</v>
      </c>
      <c r="AB190" s="64" t="e">
        <f>INDEX(角色属性!AM$8:AM$107,MATCH($D190,角色属性!$I$8:$I$107,0),1)</f>
        <v>#N/A</v>
      </c>
      <c r="AC190" s="64" t="e">
        <f>INDEX(角色属性!AN$8:AN$107,MATCH($D190,角色属性!$I$8:$I$107,0),1)</f>
        <v>#N/A</v>
      </c>
      <c r="AD190" s="64" t="e">
        <f>INDEX(角色属性!AO$8:AO$107,MATCH($D190,角色属性!$I$8:$I$107,0),1)</f>
        <v>#N/A</v>
      </c>
      <c r="AE190" s="64" t="e">
        <f>INDEX(角色属性!AP$8:AP$107,MATCH($D190,角色属性!$I$8:$I$107,0),1)</f>
        <v>#N/A</v>
      </c>
      <c r="AF190" s="64" t="e">
        <f>INDEX(角色属性!AQ$8:AQ$107,MATCH($D190,角色属性!$I$8:$I$107,0),1)</f>
        <v>#N/A</v>
      </c>
      <c r="AG190" s="64" t="e">
        <f>$P190/10/(1+VLOOKUP(I190,技能效果!$B$2:$D$101,3,FALSE))*怪物属性规划!A$18*INDEX(怪物属性等级系数!$A$2:$A$101,MATCH(D190,怪物属性等级系数!$D$2:$D$101,0),1)*R190+W190</f>
        <v>#N/A</v>
      </c>
      <c r="AH190" s="64" t="e">
        <f>$P190/10/(1+VLOOKUP($I190,技能效果!$B$2:$D$101,3,FALSE))*怪物属性规划!B$18*S190+X190</f>
        <v>#N/A</v>
      </c>
      <c r="AI190" s="64" t="e">
        <f>$P190/10/(1+VLOOKUP($I190,技能效果!$B$2:$D$101,3,FALSE))*怪物属性规划!C$18*T190+Y190</f>
        <v>#N/A</v>
      </c>
      <c r="AJ190" s="64" t="e">
        <f>$P190/10/(1+VLOOKUP($I190,技能效果!$B$2:$D$101,3,FALSE))*怪物属性规划!D$18*U190+Z190</f>
        <v>#N/A</v>
      </c>
      <c r="AK190" s="64" t="e">
        <f>$P190/10/(1+VLOOKUP($I190,技能效果!$B$2:$D$101,3,FALSE))*怪物属性规划!E$18*V190+AA190</f>
        <v>#N/A</v>
      </c>
      <c r="AL190" s="67" t="e">
        <f>INDEX(角色属性!BB$8:BB$107,MATCH($D190,角色属性!$I$8:$I$107,0),1)</f>
        <v>#N/A</v>
      </c>
      <c r="AM190" s="64" t="e">
        <f>INDEX(角色属性!BC$8:BC$107,MATCH($D190,角色属性!$I$8:$I$107,0),1)</f>
        <v>#N/A</v>
      </c>
      <c r="AN190" s="64" t="e">
        <f>INDEX(角色属性!BD$8:BD$107,MATCH($D190,角色属性!$I$8:$I$107,0),1)</f>
        <v>#N/A</v>
      </c>
      <c r="AO190" s="69" t="e">
        <f t="shared" si="37"/>
        <v>#N/A</v>
      </c>
      <c r="AP190" s="69" t="e">
        <f t="shared" si="38"/>
        <v>#N/A</v>
      </c>
      <c r="AQ190" s="64" t="e">
        <f>AL190*角色属性!$BA$1*(AC190*(1-AO190)+MAX(AF190-AJ190,0))</f>
        <v>#N/A</v>
      </c>
      <c r="AR190" s="64" t="e">
        <f>角色属性!$BA$1*(AH190*(1-AP190)+MAX(AK190-AE190,0))</f>
        <v>#N/A</v>
      </c>
      <c r="AS190" s="73" t="e">
        <f t="shared" si="39"/>
        <v>#N/A</v>
      </c>
      <c r="AT190" s="73" t="e">
        <f t="shared" si="40"/>
        <v>#N/A</v>
      </c>
      <c r="AU190" s="73" t="e">
        <f t="shared" si="41"/>
        <v>#N/A</v>
      </c>
      <c r="AV190" s="73" t="e">
        <f t="shared" si="42"/>
        <v>#N/A</v>
      </c>
      <c r="AW190" s="73" t="e">
        <f t="shared" si="43"/>
        <v>#N/A</v>
      </c>
      <c r="AX190" s="2" t="str">
        <f t="shared" si="44"/>
        <v>r_guanqia_188</v>
      </c>
      <c r="AY190" s="2" t="e">
        <f>ROUND(($P190*R190/10/$H190/(1+VLOOKUP($I190,技能效果!$B$2:$D$101,3,FALSE))-1)*10000,0)</f>
        <v>#N/A</v>
      </c>
      <c r="AZ190" s="2" t="e">
        <f>ROUND(($P190*S190/10/$H190/(1+VLOOKUP($I190,技能效果!$B$2:$D$101,3,FALSE))-1)*10000,0)</f>
        <v>#N/A</v>
      </c>
      <c r="BA190" s="2" t="e">
        <f>ROUND(($P190*T190/10/$H190/(1+VLOOKUP($I190,技能效果!$B$2:$D$101,3,FALSE))-1)*10000,0)</f>
        <v>#N/A</v>
      </c>
      <c r="BB190" s="2" t="e">
        <f>ROUND(($P190*U190/10/$H190/(1+VLOOKUP($I190,技能效果!$B$2:$D$101,3,FALSE))-1)*10000,0)</f>
        <v>#N/A</v>
      </c>
      <c r="BC190" s="2" t="e">
        <f>ROUND(($P190*V190/10/$H190/(1+VLOOKUP($I190,技能效果!$B$2:$D$101,3,FALSE))-1)*10000,0)</f>
        <v>#N/A</v>
      </c>
    </row>
    <row r="191" spans="2:55" x14ac:dyDescent="0.15">
      <c r="B191" s="83"/>
      <c r="C191" s="2">
        <v>189</v>
      </c>
      <c r="D191" s="2">
        <f t="shared" si="48"/>
        <v>103</v>
      </c>
      <c r="E191" s="2">
        <v>2</v>
      </c>
      <c r="F191" s="28" t="e">
        <f>INDEX([3]宠物属性!$AL$8:$AL$107,MATCH(D191,[3]宠物属性!$I$8:$I$107,0),1)</f>
        <v>#N/A</v>
      </c>
      <c r="G191" s="68" t="e">
        <f>F191/INDEX(角色属性!$AI$8:$AI$107,MATCH(D191,角色属性!$I$8:$I$107,0),1)*E191</f>
        <v>#N/A</v>
      </c>
      <c r="H191" s="2" t="e">
        <f>INDEX(角色属性!$AL$8:$AL$107,MATCH(D191,角色属性!$I$8:$I$107,0),1)</f>
        <v>#N/A</v>
      </c>
      <c r="I191" s="2" t="e">
        <f>INDEX(角色属性!$Y$8:$Y$107,MATCH(D191,角色属性!$I$8:$I$107,0),1)</f>
        <v>#N/A</v>
      </c>
      <c r="J191" s="28" t="e">
        <f>H191*10*(1+VLOOKUP(I191,技能效果!$B$2:$D$101,3,FALSE))</f>
        <v>#N/A</v>
      </c>
      <c r="K191" s="28" t="e">
        <f>H191*10*(1+VLOOKUP(I191,技能效果!$B$2:$D$101,3,FALSE))*(1+G191)</f>
        <v>#N/A</v>
      </c>
      <c r="L191" s="2">
        <f t="shared" si="34"/>
        <v>190</v>
      </c>
      <c r="M191" s="28" t="e">
        <f t="shared" si="35"/>
        <v>#N/A</v>
      </c>
      <c r="N191" s="28" t="e">
        <f t="shared" si="36"/>
        <v>#N/A</v>
      </c>
      <c r="O191" s="62" t="e">
        <f t="shared" si="46"/>
        <v>#N/A</v>
      </c>
      <c r="P191" s="62" t="e">
        <f t="shared" si="47"/>
        <v>#N/A</v>
      </c>
      <c r="Q191" s="64" t="e">
        <f t="shared" si="45"/>
        <v>#N/A</v>
      </c>
      <c r="R191" s="67">
        <v>1</v>
      </c>
      <c r="S191" s="67">
        <v>1</v>
      </c>
      <c r="T191" s="67">
        <v>1</v>
      </c>
      <c r="U191" s="67">
        <v>1</v>
      </c>
      <c r="V191" s="67">
        <v>1</v>
      </c>
      <c r="W191" s="28">
        <v>0</v>
      </c>
      <c r="X191" s="28">
        <v>0</v>
      </c>
      <c r="Y191" s="28">
        <v>0</v>
      </c>
      <c r="Z191" s="28">
        <v>0</v>
      </c>
      <c r="AA191" s="28">
        <v>0</v>
      </c>
      <c r="AB191" s="64" t="e">
        <f>INDEX(角色属性!AM$8:AM$107,MATCH($D191,角色属性!$I$8:$I$107,0),1)</f>
        <v>#N/A</v>
      </c>
      <c r="AC191" s="64" t="e">
        <f>INDEX(角色属性!AN$8:AN$107,MATCH($D191,角色属性!$I$8:$I$107,0),1)</f>
        <v>#N/A</v>
      </c>
      <c r="AD191" s="64" t="e">
        <f>INDEX(角色属性!AO$8:AO$107,MATCH($D191,角色属性!$I$8:$I$107,0),1)</f>
        <v>#N/A</v>
      </c>
      <c r="AE191" s="64" t="e">
        <f>INDEX(角色属性!AP$8:AP$107,MATCH($D191,角色属性!$I$8:$I$107,0),1)</f>
        <v>#N/A</v>
      </c>
      <c r="AF191" s="64" t="e">
        <f>INDEX(角色属性!AQ$8:AQ$107,MATCH($D191,角色属性!$I$8:$I$107,0),1)</f>
        <v>#N/A</v>
      </c>
      <c r="AG191" s="64" t="e">
        <f>$P191/10/(1+VLOOKUP(I191,技能效果!$B$2:$D$101,3,FALSE))*怪物属性规划!A$18*INDEX(怪物属性等级系数!$A$2:$A$101,MATCH(D191,怪物属性等级系数!$D$2:$D$101,0),1)*R191+W191</f>
        <v>#N/A</v>
      </c>
      <c r="AH191" s="64" t="e">
        <f>$P191/10/(1+VLOOKUP($I191,技能效果!$B$2:$D$101,3,FALSE))*怪物属性规划!B$18*S191+X191</f>
        <v>#N/A</v>
      </c>
      <c r="AI191" s="64" t="e">
        <f>$P191/10/(1+VLOOKUP($I191,技能效果!$B$2:$D$101,3,FALSE))*怪物属性规划!C$18*T191+Y191</f>
        <v>#N/A</v>
      </c>
      <c r="AJ191" s="64" t="e">
        <f>$P191/10/(1+VLOOKUP($I191,技能效果!$B$2:$D$101,3,FALSE))*怪物属性规划!D$18*U191+Z191</f>
        <v>#N/A</v>
      </c>
      <c r="AK191" s="64" t="e">
        <f>$P191/10/(1+VLOOKUP($I191,技能效果!$B$2:$D$101,3,FALSE))*怪物属性规划!E$18*V191+AA191</f>
        <v>#N/A</v>
      </c>
      <c r="AL191" s="67" t="e">
        <f>INDEX(角色属性!BB$8:BB$107,MATCH($D191,角色属性!$I$8:$I$107,0),1)</f>
        <v>#N/A</v>
      </c>
      <c r="AM191" s="64" t="e">
        <f>INDEX(角色属性!BC$8:BC$107,MATCH($D191,角色属性!$I$8:$I$107,0),1)</f>
        <v>#N/A</v>
      </c>
      <c r="AN191" s="64" t="e">
        <f>INDEX(角色属性!BD$8:BD$107,MATCH($D191,角色属性!$I$8:$I$107,0),1)</f>
        <v>#N/A</v>
      </c>
      <c r="AO191" s="69" t="e">
        <f t="shared" si="37"/>
        <v>#N/A</v>
      </c>
      <c r="AP191" s="69" t="e">
        <f t="shared" si="38"/>
        <v>#N/A</v>
      </c>
      <c r="AQ191" s="64" t="e">
        <f>AL191*角色属性!$BA$1*(AC191*(1-AO191)+MAX(AF191-AJ191,0))</f>
        <v>#N/A</v>
      </c>
      <c r="AR191" s="64" t="e">
        <f>角色属性!$BA$1*(AH191*(1-AP191)+MAX(AK191-AE191,0))</f>
        <v>#N/A</v>
      </c>
      <c r="AS191" s="73" t="e">
        <f t="shared" si="39"/>
        <v>#N/A</v>
      </c>
      <c r="AT191" s="73" t="e">
        <f t="shared" si="40"/>
        <v>#N/A</v>
      </c>
      <c r="AU191" s="73" t="e">
        <f t="shared" si="41"/>
        <v>#N/A</v>
      </c>
      <c r="AV191" s="73" t="e">
        <f t="shared" si="42"/>
        <v>#N/A</v>
      </c>
      <c r="AW191" s="73" t="e">
        <f t="shared" si="43"/>
        <v>#N/A</v>
      </c>
      <c r="AX191" s="2" t="str">
        <f t="shared" si="44"/>
        <v>r_guanqia_189</v>
      </c>
      <c r="AY191" s="2" t="e">
        <f>ROUND(($P191*R191/10/$H191/(1+VLOOKUP($I191,技能效果!$B$2:$D$101,3,FALSE))-1)*10000,0)</f>
        <v>#N/A</v>
      </c>
      <c r="AZ191" s="2" t="e">
        <f>ROUND(($P191*S191/10/$H191/(1+VLOOKUP($I191,技能效果!$B$2:$D$101,3,FALSE))-1)*10000,0)</f>
        <v>#N/A</v>
      </c>
      <c r="BA191" s="2" t="e">
        <f>ROUND(($P191*T191/10/$H191/(1+VLOOKUP($I191,技能效果!$B$2:$D$101,3,FALSE))-1)*10000,0)</f>
        <v>#N/A</v>
      </c>
      <c r="BB191" s="2" t="e">
        <f>ROUND(($P191*U191/10/$H191/(1+VLOOKUP($I191,技能效果!$B$2:$D$101,3,FALSE))-1)*10000,0)</f>
        <v>#N/A</v>
      </c>
      <c r="BC191" s="2" t="e">
        <f>ROUND(($P191*V191/10/$H191/(1+VLOOKUP($I191,技能效果!$B$2:$D$101,3,FALSE))-1)*10000,0)</f>
        <v>#N/A</v>
      </c>
    </row>
    <row r="192" spans="2:55" x14ac:dyDescent="0.15">
      <c r="B192" s="83"/>
      <c r="C192" s="2">
        <v>190</v>
      </c>
      <c r="D192" s="2">
        <f t="shared" si="48"/>
        <v>105</v>
      </c>
      <c r="E192" s="2">
        <v>2</v>
      </c>
      <c r="F192" s="28" t="e">
        <f>INDEX([3]宠物属性!$AL$8:$AL$107,MATCH(D192,[3]宠物属性!$I$8:$I$107,0),1)</f>
        <v>#N/A</v>
      </c>
      <c r="G192" s="68" t="e">
        <f>F192/INDEX(角色属性!$AI$8:$AI$107,MATCH(D192,角色属性!$I$8:$I$107,0),1)*E192</f>
        <v>#N/A</v>
      </c>
      <c r="H192" s="2" t="e">
        <f>INDEX(角色属性!$AL$8:$AL$107,MATCH(D192,角色属性!$I$8:$I$107,0),1)</f>
        <v>#N/A</v>
      </c>
      <c r="I192" s="2" t="e">
        <f>INDEX(角色属性!$Y$8:$Y$107,MATCH(D192,角色属性!$I$8:$I$107,0),1)</f>
        <v>#N/A</v>
      </c>
      <c r="J192" s="28" t="e">
        <f>H192*10*(1+VLOOKUP(I192,技能效果!$B$2:$D$101,3,FALSE))</f>
        <v>#N/A</v>
      </c>
      <c r="K192" s="28" t="e">
        <f>H192*10*(1+VLOOKUP(I192,技能效果!$B$2:$D$101,3,FALSE))*(1+G192)</f>
        <v>#N/A</v>
      </c>
      <c r="L192" s="2">
        <f t="shared" si="34"/>
        <v>190</v>
      </c>
      <c r="M192" s="28" t="e">
        <f t="shared" si="35"/>
        <v>#N/A</v>
      </c>
      <c r="N192" s="28" t="e">
        <f t="shared" si="36"/>
        <v>#N/A</v>
      </c>
      <c r="O192" s="62" t="e">
        <f t="shared" si="46"/>
        <v>#N/A</v>
      </c>
      <c r="P192" s="62" t="e">
        <f t="shared" si="47"/>
        <v>#N/A</v>
      </c>
      <c r="Q192" s="64" t="e">
        <f t="shared" si="45"/>
        <v>#N/A</v>
      </c>
      <c r="R192" s="67">
        <v>1</v>
      </c>
      <c r="S192" s="67">
        <v>1</v>
      </c>
      <c r="T192" s="67">
        <v>1</v>
      </c>
      <c r="U192" s="67">
        <v>1</v>
      </c>
      <c r="V192" s="67">
        <v>1</v>
      </c>
      <c r="W192" s="28">
        <v>0</v>
      </c>
      <c r="X192" s="28">
        <v>0</v>
      </c>
      <c r="Y192" s="28">
        <v>0</v>
      </c>
      <c r="Z192" s="28">
        <v>0</v>
      </c>
      <c r="AA192" s="28">
        <v>0</v>
      </c>
      <c r="AB192" s="64" t="e">
        <f>INDEX(角色属性!AM$8:AM$107,MATCH($D192,角色属性!$I$8:$I$107,0),1)</f>
        <v>#N/A</v>
      </c>
      <c r="AC192" s="64" t="e">
        <f>INDEX(角色属性!AN$8:AN$107,MATCH($D192,角色属性!$I$8:$I$107,0),1)</f>
        <v>#N/A</v>
      </c>
      <c r="AD192" s="64" t="e">
        <f>INDEX(角色属性!AO$8:AO$107,MATCH($D192,角色属性!$I$8:$I$107,0),1)</f>
        <v>#N/A</v>
      </c>
      <c r="AE192" s="64" t="e">
        <f>INDEX(角色属性!AP$8:AP$107,MATCH($D192,角色属性!$I$8:$I$107,0),1)</f>
        <v>#N/A</v>
      </c>
      <c r="AF192" s="64" t="e">
        <f>INDEX(角色属性!AQ$8:AQ$107,MATCH($D192,角色属性!$I$8:$I$107,0),1)</f>
        <v>#N/A</v>
      </c>
      <c r="AG192" s="64" t="e">
        <f>$P192/10/(1+VLOOKUP(I192,技能效果!$B$2:$D$101,3,FALSE))*怪物属性规划!A$18*INDEX(怪物属性等级系数!$A$2:$A$101,MATCH(D192,怪物属性等级系数!$D$2:$D$101,0),1)*R192+W192</f>
        <v>#N/A</v>
      </c>
      <c r="AH192" s="64" t="e">
        <f>$P192/10/(1+VLOOKUP($I192,技能效果!$B$2:$D$101,3,FALSE))*怪物属性规划!B$18*S192+X192</f>
        <v>#N/A</v>
      </c>
      <c r="AI192" s="64" t="e">
        <f>$P192/10/(1+VLOOKUP($I192,技能效果!$B$2:$D$101,3,FALSE))*怪物属性规划!C$18*T192+Y192</f>
        <v>#N/A</v>
      </c>
      <c r="AJ192" s="64" t="e">
        <f>$P192/10/(1+VLOOKUP($I192,技能效果!$B$2:$D$101,3,FALSE))*怪物属性规划!D$18*U192+Z192</f>
        <v>#N/A</v>
      </c>
      <c r="AK192" s="64" t="e">
        <f>$P192/10/(1+VLOOKUP($I192,技能效果!$B$2:$D$101,3,FALSE))*怪物属性规划!E$18*V192+AA192</f>
        <v>#N/A</v>
      </c>
      <c r="AL192" s="67" t="e">
        <f>INDEX(角色属性!BB$8:BB$107,MATCH($D192,角色属性!$I$8:$I$107,0),1)</f>
        <v>#N/A</v>
      </c>
      <c r="AM192" s="64" t="e">
        <f>INDEX(角色属性!BC$8:BC$107,MATCH($D192,角色属性!$I$8:$I$107,0),1)</f>
        <v>#N/A</v>
      </c>
      <c r="AN192" s="64" t="e">
        <f>INDEX(角色属性!BD$8:BD$107,MATCH($D192,角色属性!$I$8:$I$107,0),1)</f>
        <v>#N/A</v>
      </c>
      <c r="AO192" s="69" t="e">
        <f t="shared" si="37"/>
        <v>#N/A</v>
      </c>
      <c r="AP192" s="69" t="e">
        <f t="shared" si="38"/>
        <v>#N/A</v>
      </c>
      <c r="AQ192" s="64" t="e">
        <f>AL192*角色属性!$BA$1*(AC192*(1-AO192)+MAX(AF192-AJ192,0))</f>
        <v>#N/A</v>
      </c>
      <c r="AR192" s="64" t="e">
        <f>角色属性!$BA$1*(AH192*(1-AP192)+MAX(AK192-AE192,0))</f>
        <v>#N/A</v>
      </c>
      <c r="AS192" s="73" t="e">
        <f t="shared" si="39"/>
        <v>#N/A</v>
      </c>
      <c r="AT192" s="73" t="e">
        <f t="shared" si="40"/>
        <v>#N/A</v>
      </c>
      <c r="AU192" s="73" t="e">
        <f t="shared" si="41"/>
        <v>#N/A</v>
      </c>
      <c r="AV192" s="73" t="e">
        <f t="shared" si="42"/>
        <v>#N/A</v>
      </c>
      <c r="AW192" s="73" t="e">
        <f t="shared" si="43"/>
        <v>#N/A</v>
      </c>
      <c r="AX192" s="2" t="str">
        <f t="shared" si="44"/>
        <v>r_guanqia_190</v>
      </c>
      <c r="AY192" s="2" t="e">
        <f>ROUND(($P192*R192/10/$H192/(1+VLOOKUP($I192,技能效果!$B$2:$D$101,3,FALSE))-1)*10000,0)</f>
        <v>#N/A</v>
      </c>
      <c r="AZ192" s="2" t="e">
        <f>ROUND(($P192*S192/10/$H192/(1+VLOOKUP($I192,技能效果!$B$2:$D$101,3,FALSE))-1)*10000,0)</f>
        <v>#N/A</v>
      </c>
      <c r="BA192" s="2" t="e">
        <f>ROUND(($P192*T192/10/$H192/(1+VLOOKUP($I192,技能效果!$B$2:$D$101,3,FALSE))-1)*10000,0)</f>
        <v>#N/A</v>
      </c>
      <c r="BB192" s="2" t="e">
        <f>ROUND(($P192*U192/10/$H192/(1+VLOOKUP($I192,技能效果!$B$2:$D$101,3,FALSE))-1)*10000,0)</f>
        <v>#N/A</v>
      </c>
      <c r="BC192" s="2" t="e">
        <f>ROUND(($P192*V192/10/$H192/(1+VLOOKUP($I192,技能效果!$B$2:$D$101,3,FALSE))-1)*10000,0)</f>
        <v>#N/A</v>
      </c>
    </row>
    <row r="193" spans="2:55" x14ac:dyDescent="0.15">
      <c r="B193" s="83" t="s">
        <v>131</v>
      </c>
      <c r="C193" s="2">
        <v>191</v>
      </c>
      <c r="D193" s="2">
        <f t="shared" si="48"/>
        <v>105</v>
      </c>
      <c r="E193" s="2">
        <v>2</v>
      </c>
      <c r="F193" s="28" t="e">
        <f>INDEX([3]宠物属性!$AL$8:$AL$107,MATCH(D193,[3]宠物属性!$I$8:$I$107,0),1)</f>
        <v>#N/A</v>
      </c>
      <c r="G193" s="68" t="e">
        <f>F193/INDEX(角色属性!$AI$8:$AI$107,MATCH(D193,角色属性!$I$8:$I$107,0),1)*E193</f>
        <v>#N/A</v>
      </c>
      <c r="H193" s="2" t="e">
        <f>INDEX(角色属性!$AL$8:$AL$107,MATCH(D193,角色属性!$I$8:$I$107,0),1)</f>
        <v>#N/A</v>
      </c>
      <c r="I193" s="2" t="e">
        <f>INDEX(角色属性!$Y$8:$Y$107,MATCH(D193,角色属性!$I$8:$I$107,0),1)</f>
        <v>#N/A</v>
      </c>
      <c r="J193" s="28" t="e">
        <f>H193*10*(1+VLOOKUP(I193,技能效果!$B$2:$D$101,3,FALSE))</f>
        <v>#N/A</v>
      </c>
      <c r="K193" s="28" t="e">
        <f>H193*10*(1+VLOOKUP(I193,技能效果!$B$2:$D$101,3,FALSE))*(1+G193)</f>
        <v>#N/A</v>
      </c>
      <c r="L193" s="2">
        <f t="shared" si="34"/>
        <v>200</v>
      </c>
      <c r="M193" s="28" t="e">
        <f t="shared" si="35"/>
        <v>#N/A</v>
      </c>
      <c r="N193" s="28" t="e">
        <f t="shared" si="36"/>
        <v>#N/A</v>
      </c>
      <c r="O193" s="62" t="e">
        <f t="shared" si="46"/>
        <v>#N/A</v>
      </c>
      <c r="P193" s="62" t="e">
        <f t="shared" si="47"/>
        <v>#N/A</v>
      </c>
      <c r="Q193" s="64" t="e">
        <f t="shared" si="45"/>
        <v>#N/A</v>
      </c>
      <c r="R193" s="67">
        <v>1</v>
      </c>
      <c r="S193" s="67">
        <v>1</v>
      </c>
      <c r="T193" s="67">
        <v>1</v>
      </c>
      <c r="U193" s="67">
        <v>1</v>
      </c>
      <c r="V193" s="67">
        <v>1</v>
      </c>
      <c r="W193" s="28">
        <v>0</v>
      </c>
      <c r="X193" s="28">
        <v>0</v>
      </c>
      <c r="Y193" s="28">
        <v>0</v>
      </c>
      <c r="Z193" s="28">
        <v>0</v>
      </c>
      <c r="AA193" s="28">
        <v>0</v>
      </c>
      <c r="AB193" s="64" t="e">
        <f>INDEX(角色属性!AM$8:AM$107,MATCH($D193,角色属性!$I$8:$I$107,0),1)</f>
        <v>#N/A</v>
      </c>
      <c r="AC193" s="64" t="e">
        <f>INDEX(角色属性!AN$8:AN$107,MATCH($D193,角色属性!$I$8:$I$107,0),1)</f>
        <v>#N/A</v>
      </c>
      <c r="AD193" s="64" t="e">
        <f>INDEX(角色属性!AO$8:AO$107,MATCH($D193,角色属性!$I$8:$I$107,0),1)</f>
        <v>#N/A</v>
      </c>
      <c r="AE193" s="64" t="e">
        <f>INDEX(角色属性!AP$8:AP$107,MATCH($D193,角色属性!$I$8:$I$107,0),1)</f>
        <v>#N/A</v>
      </c>
      <c r="AF193" s="64" t="e">
        <f>INDEX(角色属性!AQ$8:AQ$107,MATCH($D193,角色属性!$I$8:$I$107,0),1)</f>
        <v>#N/A</v>
      </c>
      <c r="AG193" s="64" t="e">
        <f>$P193/10/(1+VLOOKUP(I193,技能效果!$B$2:$D$101,3,FALSE))*怪物属性规划!A$18*INDEX(怪物属性等级系数!$A$2:$A$101,MATCH(D193,怪物属性等级系数!$D$2:$D$101,0),1)*R193+W193</f>
        <v>#N/A</v>
      </c>
      <c r="AH193" s="64" t="e">
        <f>$P193/10/(1+VLOOKUP($I193,技能效果!$B$2:$D$101,3,FALSE))*怪物属性规划!B$18*S193+X193</f>
        <v>#N/A</v>
      </c>
      <c r="AI193" s="64" t="e">
        <f>$P193/10/(1+VLOOKUP($I193,技能效果!$B$2:$D$101,3,FALSE))*怪物属性规划!C$18*T193+Y193</f>
        <v>#N/A</v>
      </c>
      <c r="AJ193" s="64" t="e">
        <f>$P193/10/(1+VLOOKUP($I193,技能效果!$B$2:$D$101,3,FALSE))*怪物属性规划!D$18*U193+Z193</f>
        <v>#N/A</v>
      </c>
      <c r="AK193" s="64" t="e">
        <f>$P193/10/(1+VLOOKUP($I193,技能效果!$B$2:$D$101,3,FALSE))*怪物属性规划!E$18*V193+AA193</f>
        <v>#N/A</v>
      </c>
      <c r="AL193" s="67" t="e">
        <f>INDEX(角色属性!BB$8:BB$107,MATCH($D193,角色属性!$I$8:$I$107,0),1)</f>
        <v>#N/A</v>
      </c>
      <c r="AM193" s="64" t="e">
        <f>INDEX(角色属性!BC$8:BC$107,MATCH($D193,角色属性!$I$8:$I$107,0),1)</f>
        <v>#N/A</v>
      </c>
      <c r="AN193" s="64" t="e">
        <f>INDEX(角色属性!BD$8:BD$107,MATCH($D193,角色属性!$I$8:$I$107,0),1)</f>
        <v>#N/A</v>
      </c>
      <c r="AO193" s="69" t="e">
        <f t="shared" si="37"/>
        <v>#N/A</v>
      </c>
      <c r="AP193" s="69" t="e">
        <f t="shared" si="38"/>
        <v>#N/A</v>
      </c>
      <c r="AQ193" s="64" t="e">
        <f>AL193*角色属性!$BA$1*(AC193*(1-AO193)+MAX(AF193-AJ193,0))</f>
        <v>#N/A</v>
      </c>
      <c r="AR193" s="64" t="e">
        <f>角色属性!$BA$1*(AH193*(1-AP193)+MAX(AK193-AE193,0))</f>
        <v>#N/A</v>
      </c>
      <c r="AS193" s="73" t="e">
        <f t="shared" si="39"/>
        <v>#N/A</v>
      </c>
      <c r="AT193" s="73" t="e">
        <f t="shared" si="40"/>
        <v>#N/A</v>
      </c>
      <c r="AU193" s="73" t="e">
        <f t="shared" si="41"/>
        <v>#N/A</v>
      </c>
      <c r="AV193" s="73" t="e">
        <f t="shared" si="42"/>
        <v>#N/A</v>
      </c>
      <c r="AW193" s="73" t="e">
        <f t="shared" si="43"/>
        <v>#N/A</v>
      </c>
      <c r="AX193" s="2" t="str">
        <f t="shared" si="44"/>
        <v>r_guanqia_191</v>
      </c>
      <c r="AY193" s="2" t="e">
        <f>ROUND(($P193*R193/10/$H193/(1+VLOOKUP($I193,技能效果!$B$2:$D$101,3,FALSE))-1)*10000,0)</f>
        <v>#N/A</v>
      </c>
      <c r="AZ193" s="2" t="e">
        <f>ROUND(($P193*S193/10/$H193/(1+VLOOKUP($I193,技能效果!$B$2:$D$101,3,FALSE))-1)*10000,0)</f>
        <v>#N/A</v>
      </c>
      <c r="BA193" s="2" t="e">
        <f>ROUND(($P193*T193/10/$H193/(1+VLOOKUP($I193,技能效果!$B$2:$D$101,3,FALSE))-1)*10000,0)</f>
        <v>#N/A</v>
      </c>
      <c r="BB193" s="2" t="e">
        <f>ROUND(($P193*U193/10/$H193/(1+VLOOKUP($I193,技能效果!$B$2:$D$101,3,FALSE))-1)*10000,0)</f>
        <v>#N/A</v>
      </c>
      <c r="BC193" s="2" t="e">
        <f>ROUND(($P193*V193/10/$H193/(1+VLOOKUP($I193,技能效果!$B$2:$D$101,3,FALSE))-1)*10000,0)</f>
        <v>#N/A</v>
      </c>
    </row>
    <row r="194" spans="2:55" x14ac:dyDescent="0.15">
      <c r="B194" s="83"/>
      <c r="C194" s="2">
        <v>192</v>
      </c>
      <c r="D194" s="2">
        <f t="shared" si="48"/>
        <v>105</v>
      </c>
      <c r="E194" s="2">
        <v>2</v>
      </c>
      <c r="F194" s="28" t="e">
        <f>INDEX([3]宠物属性!$AL$8:$AL$107,MATCH(D194,[3]宠物属性!$I$8:$I$107,0),1)</f>
        <v>#N/A</v>
      </c>
      <c r="G194" s="68" t="e">
        <f>F194/INDEX(角色属性!$AI$8:$AI$107,MATCH(D194,角色属性!$I$8:$I$107,0),1)*E194</f>
        <v>#N/A</v>
      </c>
      <c r="H194" s="2" t="e">
        <f>INDEX(角色属性!$AL$8:$AL$107,MATCH(D194,角色属性!$I$8:$I$107,0),1)</f>
        <v>#N/A</v>
      </c>
      <c r="I194" s="2" t="e">
        <f>INDEX(角色属性!$Y$8:$Y$107,MATCH(D194,角色属性!$I$8:$I$107,0),1)</f>
        <v>#N/A</v>
      </c>
      <c r="J194" s="28" t="e">
        <f>H194*10*(1+VLOOKUP(I194,技能效果!$B$2:$D$101,3,FALSE))</f>
        <v>#N/A</v>
      </c>
      <c r="K194" s="28" t="e">
        <f>H194*10*(1+VLOOKUP(I194,技能效果!$B$2:$D$101,3,FALSE))*(1+G194)</f>
        <v>#N/A</v>
      </c>
      <c r="L194" s="2">
        <f t="shared" si="34"/>
        <v>200</v>
      </c>
      <c r="M194" s="28" t="e">
        <f t="shared" si="35"/>
        <v>#N/A</v>
      </c>
      <c r="N194" s="28" t="e">
        <f t="shared" si="36"/>
        <v>#N/A</v>
      </c>
      <c r="O194" s="62" t="e">
        <f t="shared" si="46"/>
        <v>#N/A</v>
      </c>
      <c r="P194" s="62" t="e">
        <f t="shared" si="47"/>
        <v>#N/A</v>
      </c>
      <c r="Q194" s="64" t="e">
        <f t="shared" si="45"/>
        <v>#N/A</v>
      </c>
      <c r="R194" s="67">
        <v>1</v>
      </c>
      <c r="S194" s="67">
        <v>1</v>
      </c>
      <c r="T194" s="67">
        <v>1</v>
      </c>
      <c r="U194" s="67">
        <v>1</v>
      </c>
      <c r="V194" s="67">
        <v>1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64" t="e">
        <f>INDEX(角色属性!AM$8:AM$107,MATCH($D194,角色属性!$I$8:$I$107,0),1)</f>
        <v>#N/A</v>
      </c>
      <c r="AC194" s="64" t="e">
        <f>INDEX(角色属性!AN$8:AN$107,MATCH($D194,角色属性!$I$8:$I$107,0),1)</f>
        <v>#N/A</v>
      </c>
      <c r="AD194" s="64" t="e">
        <f>INDEX(角色属性!AO$8:AO$107,MATCH($D194,角色属性!$I$8:$I$107,0),1)</f>
        <v>#N/A</v>
      </c>
      <c r="AE194" s="64" t="e">
        <f>INDEX(角色属性!AP$8:AP$107,MATCH($D194,角色属性!$I$8:$I$107,0),1)</f>
        <v>#N/A</v>
      </c>
      <c r="AF194" s="64" t="e">
        <f>INDEX(角色属性!AQ$8:AQ$107,MATCH($D194,角色属性!$I$8:$I$107,0),1)</f>
        <v>#N/A</v>
      </c>
      <c r="AG194" s="64" t="e">
        <f>$P194/10/(1+VLOOKUP(I194,技能效果!$B$2:$D$101,3,FALSE))*怪物属性规划!A$18*INDEX(怪物属性等级系数!$A$2:$A$101,MATCH(D194,怪物属性等级系数!$D$2:$D$101,0),1)*R194+W194</f>
        <v>#N/A</v>
      </c>
      <c r="AH194" s="64" t="e">
        <f>$P194/10/(1+VLOOKUP($I194,技能效果!$B$2:$D$101,3,FALSE))*怪物属性规划!B$18*S194+X194</f>
        <v>#N/A</v>
      </c>
      <c r="AI194" s="64" t="e">
        <f>$P194/10/(1+VLOOKUP($I194,技能效果!$B$2:$D$101,3,FALSE))*怪物属性规划!C$18*T194+Y194</f>
        <v>#N/A</v>
      </c>
      <c r="AJ194" s="64" t="e">
        <f>$P194/10/(1+VLOOKUP($I194,技能效果!$B$2:$D$101,3,FALSE))*怪物属性规划!D$18*U194+Z194</f>
        <v>#N/A</v>
      </c>
      <c r="AK194" s="64" t="e">
        <f>$P194/10/(1+VLOOKUP($I194,技能效果!$B$2:$D$101,3,FALSE))*怪物属性规划!E$18*V194+AA194</f>
        <v>#N/A</v>
      </c>
      <c r="AL194" s="67" t="e">
        <f>INDEX(角色属性!BB$8:BB$107,MATCH($D194,角色属性!$I$8:$I$107,0),1)</f>
        <v>#N/A</v>
      </c>
      <c r="AM194" s="64" t="e">
        <f>INDEX(角色属性!BC$8:BC$107,MATCH($D194,角色属性!$I$8:$I$107,0),1)</f>
        <v>#N/A</v>
      </c>
      <c r="AN194" s="64" t="e">
        <f>INDEX(角色属性!BD$8:BD$107,MATCH($D194,角色属性!$I$8:$I$107,0),1)</f>
        <v>#N/A</v>
      </c>
      <c r="AO194" s="69" t="e">
        <f t="shared" si="37"/>
        <v>#N/A</v>
      </c>
      <c r="AP194" s="69" t="e">
        <f t="shared" si="38"/>
        <v>#N/A</v>
      </c>
      <c r="AQ194" s="64" t="e">
        <f>AL194*角色属性!$BA$1*(AC194*(1-AO194)+MAX(AF194-AJ194,0))</f>
        <v>#N/A</v>
      </c>
      <c r="AR194" s="64" t="e">
        <f>角色属性!$BA$1*(AH194*(1-AP194)+MAX(AK194-AE194,0))</f>
        <v>#N/A</v>
      </c>
      <c r="AS194" s="73" t="e">
        <f t="shared" si="39"/>
        <v>#N/A</v>
      </c>
      <c r="AT194" s="73" t="e">
        <f t="shared" si="40"/>
        <v>#N/A</v>
      </c>
      <c r="AU194" s="73" t="e">
        <f t="shared" si="41"/>
        <v>#N/A</v>
      </c>
      <c r="AV194" s="73" t="e">
        <f t="shared" si="42"/>
        <v>#N/A</v>
      </c>
      <c r="AW194" s="73" t="e">
        <f t="shared" si="43"/>
        <v>#N/A</v>
      </c>
      <c r="AX194" s="2" t="str">
        <f t="shared" si="44"/>
        <v>r_guanqia_192</v>
      </c>
      <c r="AY194" s="2" t="e">
        <f>ROUND(($P194*R194/10/$H194/(1+VLOOKUP($I194,技能效果!$B$2:$D$101,3,FALSE))-1)*10000,0)</f>
        <v>#N/A</v>
      </c>
      <c r="AZ194" s="2" t="e">
        <f>ROUND(($P194*S194/10/$H194/(1+VLOOKUP($I194,技能效果!$B$2:$D$101,3,FALSE))-1)*10000,0)</f>
        <v>#N/A</v>
      </c>
      <c r="BA194" s="2" t="e">
        <f>ROUND(($P194*T194/10/$H194/(1+VLOOKUP($I194,技能效果!$B$2:$D$101,3,FALSE))-1)*10000,0)</f>
        <v>#N/A</v>
      </c>
      <c r="BB194" s="2" t="e">
        <f>ROUND(($P194*U194/10/$H194/(1+VLOOKUP($I194,技能效果!$B$2:$D$101,3,FALSE))-1)*10000,0)</f>
        <v>#N/A</v>
      </c>
      <c r="BC194" s="2" t="e">
        <f>ROUND(($P194*V194/10/$H194/(1+VLOOKUP($I194,技能效果!$B$2:$D$101,3,FALSE))-1)*10000,0)</f>
        <v>#N/A</v>
      </c>
    </row>
    <row r="195" spans="2:55" x14ac:dyDescent="0.15">
      <c r="B195" s="83"/>
      <c r="C195" s="2">
        <v>193</v>
      </c>
      <c r="D195" s="2">
        <f t="shared" si="48"/>
        <v>106</v>
      </c>
      <c r="E195" s="2">
        <v>2</v>
      </c>
      <c r="F195" s="28" t="e">
        <f>INDEX([3]宠物属性!$AL$8:$AL$107,MATCH(D195,[3]宠物属性!$I$8:$I$107,0),1)</f>
        <v>#N/A</v>
      </c>
      <c r="G195" s="68" t="e">
        <f>F195/INDEX(角色属性!$AI$8:$AI$107,MATCH(D195,角色属性!$I$8:$I$107,0),1)*E195</f>
        <v>#N/A</v>
      </c>
      <c r="H195" s="2" t="e">
        <f>INDEX(角色属性!$AL$8:$AL$107,MATCH(D195,角色属性!$I$8:$I$107,0),1)</f>
        <v>#N/A</v>
      </c>
      <c r="I195" s="2" t="e">
        <f>INDEX(角色属性!$Y$8:$Y$107,MATCH(D195,角色属性!$I$8:$I$107,0),1)</f>
        <v>#N/A</v>
      </c>
      <c r="J195" s="28" t="e">
        <f>H195*10*(1+VLOOKUP(I195,技能效果!$B$2:$D$101,3,FALSE))</f>
        <v>#N/A</v>
      </c>
      <c r="K195" s="28" t="e">
        <f>H195*10*(1+VLOOKUP(I195,技能效果!$B$2:$D$101,3,FALSE))*(1+G195)</f>
        <v>#N/A</v>
      </c>
      <c r="L195" s="2">
        <f t="shared" si="34"/>
        <v>200</v>
      </c>
      <c r="M195" s="28" t="e">
        <f t="shared" si="35"/>
        <v>#N/A</v>
      </c>
      <c r="N195" s="28" t="e">
        <f t="shared" si="36"/>
        <v>#N/A</v>
      </c>
      <c r="O195" s="62" t="e">
        <f t="shared" si="46"/>
        <v>#N/A</v>
      </c>
      <c r="P195" s="62" t="e">
        <f t="shared" si="47"/>
        <v>#N/A</v>
      </c>
      <c r="Q195" s="64" t="e">
        <f t="shared" si="45"/>
        <v>#N/A</v>
      </c>
      <c r="R195" s="67">
        <v>1</v>
      </c>
      <c r="S195" s="67">
        <v>1</v>
      </c>
      <c r="T195" s="67">
        <v>1</v>
      </c>
      <c r="U195" s="67">
        <v>1</v>
      </c>
      <c r="V195" s="67">
        <v>1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64" t="e">
        <f>INDEX(角色属性!AM$8:AM$107,MATCH($D195,角色属性!$I$8:$I$107,0),1)</f>
        <v>#N/A</v>
      </c>
      <c r="AC195" s="64" t="e">
        <f>INDEX(角色属性!AN$8:AN$107,MATCH($D195,角色属性!$I$8:$I$107,0),1)</f>
        <v>#N/A</v>
      </c>
      <c r="AD195" s="64" t="e">
        <f>INDEX(角色属性!AO$8:AO$107,MATCH($D195,角色属性!$I$8:$I$107,0),1)</f>
        <v>#N/A</v>
      </c>
      <c r="AE195" s="64" t="e">
        <f>INDEX(角色属性!AP$8:AP$107,MATCH($D195,角色属性!$I$8:$I$107,0),1)</f>
        <v>#N/A</v>
      </c>
      <c r="AF195" s="64" t="e">
        <f>INDEX(角色属性!AQ$8:AQ$107,MATCH($D195,角色属性!$I$8:$I$107,0),1)</f>
        <v>#N/A</v>
      </c>
      <c r="AG195" s="64" t="e">
        <f>$P195/10/(1+VLOOKUP(I195,技能效果!$B$2:$D$101,3,FALSE))*怪物属性规划!A$18*INDEX(怪物属性等级系数!$A$2:$A$101,MATCH(D195,怪物属性等级系数!$D$2:$D$101,0),1)*R195+W195</f>
        <v>#N/A</v>
      </c>
      <c r="AH195" s="64" t="e">
        <f>$P195/10/(1+VLOOKUP($I195,技能效果!$B$2:$D$101,3,FALSE))*怪物属性规划!B$18*S195+X195</f>
        <v>#N/A</v>
      </c>
      <c r="AI195" s="64" t="e">
        <f>$P195/10/(1+VLOOKUP($I195,技能效果!$B$2:$D$101,3,FALSE))*怪物属性规划!C$18*T195+Y195</f>
        <v>#N/A</v>
      </c>
      <c r="AJ195" s="64" t="e">
        <f>$P195/10/(1+VLOOKUP($I195,技能效果!$B$2:$D$101,3,FALSE))*怪物属性规划!D$18*U195+Z195</f>
        <v>#N/A</v>
      </c>
      <c r="AK195" s="64" t="e">
        <f>$P195/10/(1+VLOOKUP($I195,技能效果!$B$2:$D$101,3,FALSE))*怪物属性规划!E$18*V195+AA195</f>
        <v>#N/A</v>
      </c>
      <c r="AL195" s="67" t="e">
        <f>INDEX(角色属性!BB$8:BB$107,MATCH($D195,角色属性!$I$8:$I$107,0),1)</f>
        <v>#N/A</v>
      </c>
      <c r="AM195" s="64" t="e">
        <f>INDEX(角色属性!BC$8:BC$107,MATCH($D195,角色属性!$I$8:$I$107,0),1)</f>
        <v>#N/A</v>
      </c>
      <c r="AN195" s="64" t="e">
        <f>INDEX(角色属性!BD$8:BD$107,MATCH($D195,角色属性!$I$8:$I$107,0),1)</f>
        <v>#N/A</v>
      </c>
      <c r="AO195" s="69" t="e">
        <f t="shared" si="37"/>
        <v>#N/A</v>
      </c>
      <c r="AP195" s="69" t="e">
        <f t="shared" si="38"/>
        <v>#N/A</v>
      </c>
      <c r="AQ195" s="64" t="e">
        <f>AL195*角色属性!$BA$1*(AC195*(1-AO195)+MAX(AF195-AJ195,0))</f>
        <v>#N/A</v>
      </c>
      <c r="AR195" s="64" t="e">
        <f>角色属性!$BA$1*(AH195*(1-AP195)+MAX(AK195-AE195,0))</f>
        <v>#N/A</v>
      </c>
      <c r="AS195" s="73" t="e">
        <f t="shared" si="39"/>
        <v>#N/A</v>
      </c>
      <c r="AT195" s="73" t="e">
        <f t="shared" si="40"/>
        <v>#N/A</v>
      </c>
      <c r="AU195" s="73" t="e">
        <f t="shared" si="41"/>
        <v>#N/A</v>
      </c>
      <c r="AV195" s="73" t="e">
        <f t="shared" si="42"/>
        <v>#N/A</v>
      </c>
      <c r="AW195" s="73" t="e">
        <f t="shared" si="43"/>
        <v>#N/A</v>
      </c>
      <c r="AX195" s="2" t="str">
        <f t="shared" si="44"/>
        <v>r_guanqia_193</v>
      </c>
      <c r="AY195" s="2" t="e">
        <f>ROUND(($P195*R195/10/$H195/(1+VLOOKUP($I195,技能效果!$B$2:$D$101,3,FALSE))-1)*10000,0)</f>
        <v>#N/A</v>
      </c>
      <c r="AZ195" s="2" t="e">
        <f>ROUND(($P195*S195/10/$H195/(1+VLOOKUP($I195,技能效果!$B$2:$D$101,3,FALSE))-1)*10000,0)</f>
        <v>#N/A</v>
      </c>
      <c r="BA195" s="2" t="e">
        <f>ROUND(($P195*T195/10/$H195/(1+VLOOKUP($I195,技能效果!$B$2:$D$101,3,FALSE))-1)*10000,0)</f>
        <v>#N/A</v>
      </c>
      <c r="BB195" s="2" t="e">
        <f>ROUND(($P195*U195/10/$H195/(1+VLOOKUP($I195,技能效果!$B$2:$D$101,3,FALSE))-1)*10000,0)</f>
        <v>#N/A</v>
      </c>
      <c r="BC195" s="2" t="e">
        <f>ROUND(($P195*V195/10/$H195/(1+VLOOKUP($I195,技能效果!$B$2:$D$101,3,FALSE))-1)*10000,0)</f>
        <v>#N/A</v>
      </c>
    </row>
    <row r="196" spans="2:55" x14ac:dyDescent="0.15">
      <c r="B196" s="83"/>
      <c r="C196" s="2">
        <v>194</v>
      </c>
      <c r="D196" s="2">
        <f t="shared" si="48"/>
        <v>106</v>
      </c>
      <c r="E196" s="2">
        <v>2</v>
      </c>
      <c r="F196" s="28" t="e">
        <f>INDEX([3]宠物属性!$AL$8:$AL$107,MATCH(D196,[3]宠物属性!$I$8:$I$107,0),1)</f>
        <v>#N/A</v>
      </c>
      <c r="G196" s="68" t="e">
        <f>F196/INDEX(角色属性!$AI$8:$AI$107,MATCH(D196,角色属性!$I$8:$I$107,0),1)*E196</f>
        <v>#N/A</v>
      </c>
      <c r="H196" s="2" t="e">
        <f>INDEX(角色属性!$AL$8:$AL$107,MATCH(D196,角色属性!$I$8:$I$107,0),1)</f>
        <v>#N/A</v>
      </c>
      <c r="I196" s="2" t="e">
        <f>INDEX(角色属性!$Y$8:$Y$107,MATCH(D196,角色属性!$I$8:$I$107,0),1)</f>
        <v>#N/A</v>
      </c>
      <c r="J196" s="28" t="e">
        <f>H196*10*(1+VLOOKUP(I196,技能效果!$B$2:$D$101,3,FALSE))</f>
        <v>#N/A</v>
      </c>
      <c r="K196" s="28" t="e">
        <f>H196*10*(1+VLOOKUP(I196,技能效果!$B$2:$D$101,3,FALSE))*(1+G196)</f>
        <v>#N/A</v>
      </c>
      <c r="L196" s="2">
        <f t="shared" ref="L196:L202" si="49">(INT((C196-1)/10)+1)*10</f>
        <v>200</v>
      </c>
      <c r="M196" s="28" t="e">
        <f t="shared" ref="M196:M202" si="50">INDEX($J$3:$J$202,MATCH(L196,$C$3:$C$202,0),1)</f>
        <v>#N/A</v>
      </c>
      <c r="N196" s="28" t="e">
        <f t="shared" ref="N196:N202" si="51">INDEX($K$3:$K$202,MATCH(L196,$C$3:$C$202,0),1)</f>
        <v>#N/A</v>
      </c>
      <c r="O196" s="62" t="e">
        <f t="shared" si="46"/>
        <v>#N/A</v>
      </c>
      <c r="P196" s="62" t="e">
        <f t="shared" si="47"/>
        <v>#N/A</v>
      </c>
      <c r="Q196" s="64" t="e">
        <f t="shared" si="45"/>
        <v>#N/A</v>
      </c>
      <c r="R196" s="67">
        <v>1</v>
      </c>
      <c r="S196" s="67">
        <v>1</v>
      </c>
      <c r="T196" s="67">
        <v>1</v>
      </c>
      <c r="U196" s="67">
        <v>1</v>
      </c>
      <c r="V196" s="67">
        <v>1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64" t="e">
        <f>INDEX(角色属性!AM$8:AM$107,MATCH($D196,角色属性!$I$8:$I$107,0),1)</f>
        <v>#N/A</v>
      </c>
      <c r="AC196" s="64" t="e">
        <f>INDEX(角色属性!AN$8:AN$107,MATCH($D196,角色属性!$I$8:$I$107,0),1)</f>
        <v>#N/A</v>
      </c>
      <c r="AD196" s="64" t="e">
        <f>INDEX(角色属性!AO$8:AO$107,MATCH($D196,角色属性!$I$8:$I$107,0),1)</f>
        <v>#N/A</v>
      </c>
      <c r="AE196" s="64" t="e">
        <f>INDEX(角色属性!AP$8:AP$107,MATCH($D196,角色属性!$I$8:$I$107,0),1)</f>
        <v>#N/A</v>
      </c>
      <c r="AF196" s="64" t="e">
        <f>INDEX(角色属性!AQ$8:AQ$107,MATCH($D196,角色属性!$I$8:$I$107,0),1)</f>
        <v>#N/A</v>
      </c>
      <c r="AG196" s="64" t="e">
        <f>$P196/10/(1+VLOOKUP(I196,技能效果!$B$2:$D$101,3,FALSE))*怪物属性规划!A$18*INDEX(怪物属性等级系数!$A$2:$A$101,MATCH(D196,怪物属性等级系数!$D$2:$D$101,0),1)*R196+W196</f>
        <v>#N/A</v>
      </c>
      <c r="AH196" s="64" t="e">
        <f>$P196/10/(1+VLOOKUP($I196,技能效果!$B$2:$D$101,3,FALSE))*怪物属性规划!B$18*S196+X196</f>
        <v>#N/A</v>
      </c>
      <c r="AI196" s="64" t="e">
        <f>$P196/10/(1+VLOOKUP($I196,技能效果!$B$2:$D$101,3,FALSE))*怪物属性规划!C$18*T196+Y196</f>
        <v>#N/A</v>
      </c>
      <c r="AJ196" s="64" t="e">
        <f>$P196/10/(1+VLOOKUP($I196,技能效果!$B$2:$D$101,3,FALSE))*怪物属性规划!D$18*U196+Z196</f>
        <v>#N/A</v>
      </c>
      <c r="AK196" s="64" t="e">
        <f>$P196/10/(1+VLOOKUP($I196,技能效果!$B$2:$D$101,3,FALSE))*怪物属性规划!E$18*V196+AA196</f>
        <v>#N/A</v>
      </c>
      <c r="AL196" s="67" t="e">
        <f>INDEX(角色属性!BB$8:BB$107,MATCH($D196,角色属性!$I$8:$I$107,0),1)</f>
        <v>#N/A</v>
      </c>
      <c r="AM196" s="64" t="e">
        <f>INDEX(角色属性!BC$8:BC$107,MATCH($D196,角色属性!$I$8:$I$107,0),1)</f>
        <v>#N/A</v>
      </c>
      <c r="AN196" s="64" t="e">
        <f>INDEX(角色属性!BD$8:BD$107,MATCH($D196,角色属性!$I$8:$I$107,0),1)</f>
        <v>#N/A</v>
      </c>
      <c r="AO196" s="69" t="e">
        <f t="shared" ref="AO196:AO202" si="52">1*AI196/(AI196+0+0.429*AM196)</f>
        <v>#N/A</v>
      </c>
      <c r="AP196" s="69" t="e">
        <f t="shared" ref="AP196:AP202" si="53">1*AD196/(AD196+0+0.429*AN196)</f>
        <v>#N/A</v>
      </c>
      <c r="AQ196" s="64" t="e">
        <f>AL196*角色属性!$BA$1*(AC196*(1-AO196)+MAX(AF196-AJ196,0))</f>
        <v>#N/A</v>
      </c>
      <c r="AR196" s="64" t="e">
        <f>角色属性!$BA$1*(AH196*(1-AP196)+MAX(AK196-AE196,0))</f>
        <v>#N/A</v>
      </c>
      <c r="AS196" s="73" t="e">
        <f t="shared" ref="AS196:AS202" si="54">AG196/(AQ196*1.8)</f>
        <v>#N/A</v>
      </c>
      <c r="AT196" s="73" t="e">
        <f t="shared" ref="AT196:AT202" si="55">AG196/(AQ196*1.8*1.5)</f>
        <v>#N/A</v>
      </c>
      <c r="AU196" s="73" t="e">
        <f t="shared" ref="AU196:AU202" si="56">AG196/(AQ196*1.8*2)</f>
        <v>#N/A</v>
      </c>
      <c r="AV196" s="73" t="e">
        <f t="shared" ref="AV196:AV202" si="57">AB196/AR196</f>
        <v>#N/A</v>
      </c>
      <c r="AW196" s="73" t="e">
        <f t="shared" ref="AW196:AW202" si="58">AB196/(AR196*1.5)</f>
        <v>#N/A</v>
      </c>
      <c r="AX196" s="2" t="str">
        <f t="shared" ref="AX196:AX202" si="59">"r_guanqia_"&amp;C196</f>
        <v>r_guanqia_194</v>
      </c>
      <c r="AY196" s="2" t="e">
        <f>ROUND(($P196*R196/10/$H196/(1+VLOOKUP($I196,技能效果!$B$2:$D$101,3,FALSE))-1)*10000,0)</f>
        <v>#N/A</v>
      </c>
      <c r="AZ196" s="2" t="e">
        <f>ROUND(($P196*S196/10/$H196/(1+VLOOKUP($I196,技能效果!$B$2:$D$101,3,FALSE))-1)*10000,0)</f>
        <v>#N/A</v>
      </c>
      <c r="BA196" s="2" t="e">
        <f>ROUND(($P196*T196/10/$H196/(1+VLOOKUP($I196,技能效果!$B$2:$D$101,3,FALSE))-1)*10000,0)</f>
        <v>#N/A</v>
      </c>
      <c r="BB196" s="2" t="e">
        <f>ROUND(($P196*U196/10/$H196/(1+VLOOKUP($I196,技能效果!$B$2:$D$101,3,FALSE))-1)*10000,0)</f>
        <v>#N/A</v>
      </c>
      <c r="BC196" s="2" t="e">
        <f>ROUND(($P196*V196/10/$H196/(1+VLOOKUP($I196,技能效果!$B$2:$D$101,3,FALSE))-1)*10000,0)</f>
        <v>#N/A</v>
      </c>
    </row>
    <row r="197" spans="2:55" x14ac:dyDescent="0.15">
      <c r="B197" s="83"/>
      <c r="C197" s="2">
        <v>195</v>
      </c>
      <c r="D197" s="2">
        <f t="shared" si="48"/>
        <v>107</v>
      </c>
      <c r="E197" s="2">
        <v>2</v>
      </c>
      <c r="F197" s="28" t="e">
        <f>INDEX([3]宠物属性!$AL$8:$AL$107,MATCH(D197,[3]宠物属性!$I$8:$I$107,0),1)</f>
        <v>#N/A</v>
      </c>
      <c r="G197" s="68" t="e">
        <f>F197/INDEX(角色属性!$AI$8:$AI$107,MATCH(D197,角色属性!$I$8:$I$107,0),1)*E197</f>
        <v>#N/A</v>
      </c>
      <c r="H197" s="2" t="e">
        <f>INDEX(角色属性!$AL$8:$AL$107,MATCH(D197,角色属性!$I$8:$I$107,0),1)</f>
        <v>#N/A</v>
      </c>
      <c r="I197" s="2" t="e">
        <f>INDEX(角色属性!$Y$8:$Y$107,MATCH(D197,角色属性!$I$8:$I$107,0),1)</f>
        <v>#N/A</v>
      </c>
      <c r="J197" s="28" t="e">
        <f>H197*10*(1+VLOOKUP(I197,技能效果!$B$2:$D$101,3,FALSE))</f>
        <v>#N/A</v>
      </c>
      <c r="K197" s="28" t="e">
        <f>H197*10*(1+VLOOKUP(I197,技能效果!$B$2:$D$101,3,FALSE))*(1+G197)</f>
        <v>#N/A</v>
      </c>
      <c r="L197" s="2">
        <f t="shared" si="49"/>
        <v>200</v>
      </c>
      <c r="M197" s="28" t="e">
        <f t="shared" si="50"/>
        <v>#N/A</v>
      </c>
      <c r="N197" s="28" t="e">
        <f t="shared" si="51"/>
        <v>#N/A</v>
      </c>
      <c r="O197" s="62" t="e">
        <f t="shared" si="46"/>
        <v>#N/A</v>
      </c>
      <c r="P197" s="62" t="e">
        <f t="shared" si="47"/>
        <v>#N/A</v>
      </c>
      <c r="Q197" s="64" t="e">
        <f t="shared" ref="Q197:Q202" si="60">O197-O196</f>
        <v>#N/A</v>
      </c>
      <c r="R197" s="67">
        <v>1</v>
      </c>
      <c r="S197" s="67">
        <v>1</v>
      </c>
      <c r="T197" s="67">
        <v>1</v>
      </c>
      <c r="U197" s="67">
        <v>1</v>
      </c>
      <c r="V197" s="67">
        <v>1</v>
      </c>
      <c r="W197" s="28">
        <v>0</v>
      </c>
      <c r="X197" s="28">
        <v>0</v>
      </c>
      <c r="Y197" s="28">
        <v>0</v>
      </c>
      <c r="Z197" s="28">
        <v>0</v>
      </c>
      <c r="AA197" s="28">
        <v>0</v>
      </c>
      <c r="AB197" s="64" t="e">
        <f>INDEX(角色属性!AM$8:AM$107,MATCH($D197,角色属性!$I$8:$I$107,0),1)</f>
        <v>#N/A</v>
      </c>
      <c r="AC197" s="64" t="e">
        <f>INDEX(角色属性!AN$8:AN$107,MATCH($D197,角色属性!$I$8:$I$107,0),1)</f>
        <v>#N/A</v>
      </c>
      <c r="AD197" s="64" t="e">
        <f>INDEX(角色属性!AO$8:AO$107,MATCH($D197,角色属性!$I$8:$I$107,0),1)</f>
        <v>#N/A</v>
      </c>
      <c r="AE197" s="64" t="e">
        <f>INDEX(角色属性!AP$8:AP$107,MATCH($D197,角色属性!$I$8:$I$107,0),1)</f>
        <v>#N/A</v>
      </c>
      <c r="AF197" s="64" t="e">
        <f>INDEX(角色属性!AQ$8:AQ$107,MATCH($D197,角色属性!$I$8:$I$107,0),1)</f>
        <v>#N/A</v>
      </c>
      <c r="AG197" s="64" t="e">
        <f>$P197/10/(1+VLOOKUP(I197,技能效果!$B$2:$D$101,3,FALSE))*怪物属性规划!A$18*INDEX(怪物属性等级系数!$A$2:$A$101,MATCH(D197,怪物属性等级系数!$D$2:$D$101,0),1)*R197+W197</f>
        <v>#N/A</v>
      </c>
      <c r="AH197" s="64" t="e">
        <f>$P197/10/(1+VLOOKUP($I197,技能效果!$B$2:$D$101,3,FALSE))*怪物属性规划!B$18*S197+X197</f>
        <v>#N/A</v>
      </c>
      <c r="AI197" s="64" t="e">
        <f>$P197/10/(1+VLOOKUP($I197,技能效果!$B$2:$D$101,3,FALSE))*怪物属性规划!C$18*T197+Y197</f>
        <v>#N/A</v>
      </c>
      <c r="AJ197" s="64" t="e">
        <f>$P197/10/(1+VLOOKUP($I197,技能效果!$B$2:$D$101,3,FALSE))*怪物属性规划!D$18*U197+Z197</f>
        <v>#N/A</v>
      </c>
      <c r="AK197" s="64" t="e">
        <f>$P197/10/(1+VLOOKUP($I197,技能效果!$B$2:$D$101,3,FALSE))*怪物属性规划!E$18*V197+AA197</f>
        <v>#N/A</v>
      </c>
      <c r="AL197" s="67" t="e">
        <f>INDEX(角色属性!BB$8:BB$107,MATCH($D197,角色属性!$I$8:$I$107,0),1)</f>
        <v>#N/A</v>
      </c>
      <c r="AM197" s="64" t="e">
        <f>INDEX(角色属性!BC$8:BC$107,MATCH($D197,角色属性!$I$8:$I$107,0),1)</f>
        <v>#N/A</v>
      </c>
      <c r="AN197" s="64" t="e">
        <f>INDEX(角色属性!BD$8:BD$107,MATCH($D197,角色属性!$I$8:$I$107,0),1)</f>
        <v>#N/A</v>
      </c>
      <c r="AO197" s="69" t="e">
        <f t="shared" si="52"/>
        <v>#N/A</v>
      </c>
      <c r="AP197" s="69" t="e">
        <f t="shared" si="53"/>
        <v>#N/A</v>
      </c>
      <c r="AQ197" s="64" t="e">
        <f>AL197*角色属性!$BA$1*(AC197*(1-AO197)+MAX(AF197-AJ197,0))</f>
        <v>#N/A</v>
      </c>
      <c r="AR197" s="64" t="e">
        <f>角色属性!$BA$1*(AH197*(1-AP197)+MAX(AK197-AE197,0))</f>
        <v>#N/A</v>
      </c>
      <c r="AS197" s="73" t="e">
        <f t="shared" si="54"/>
        <v>#N/A</v>
      </c>
      <c r="AT197" s="73" t="e">
        <f t="shared" si="55"/>
        <v>#N/A</v>
      </c>
      <c r="AU197" s="73" t="e">
        <f t="shared" si="56"/>
        <v>#N/A</v>
      </c>
      <c r="AV197" s="73" t="e">
        <f t="shared" si="57"/>
        <v>#N/A</v>
      </c>
      <c r="AW197" s="73" t="e">
        <f t="shared" si="58"/>
        <v>#N/A</v>
      </c>
      <c r="AX197" s="2" t="str">
        <f t="shared" si="59"/>
        <v>r_guanqia_195</v>
      </c>
      <c r="AY197" s="2" t="e">
        <f>ROUND(($P197*R197/10/$H197/(1+VLOOKUP($I197,技能效果!$B$2:$D$101,3,FALSE))-1)*10000,0)</f>
        <v>#N/A</v>
      </c>
      <c r="AZ197" s="2" t="e">
        <f>ROUND(($P197*S197/10/$H197/(1+VLOOKUP($I197,技能效果!$B$2:$D$101,3,FALSE))-1)*10000,0)</f>
        <v>#N/A</v>
      </c>
      <c r="BA197" s="2" t="e">
        <f>ROUND(($P197*T197/10/$H197/(1+VLOOKUP($I197,技能效果!$B$2:$D$101,3,FALSE))-1)*10000,0)</f>
        <v>#N/A</v>
      </c>
      <c r="BB197" s="2" t="e">
        <f>ROUND(($P197*U197/10/$H197/(1+VLOOKUP($I197,技能效果!$B$2:$D$101,3,FALSE))-1)*10000,0)</f>
        <v>#N/A</v>
      </c>
      <c r="BC197" s="2" t="e">
        <f>ROUND(($P197*V197/10/$H197/(1+VLOOKUP($I197,技能效果!$B$2:$D$101,3,FALSE))-1)*10000,0)</f>
        <v>#N/A</v>
      </c>
    </row>
    <row r="198" spans="2:55" x14ac:dyDescent="0.15">
      <c r="B198" s="83"/>
      <c r="C198" s="2">
        <v>196</v>
      </c>
      <c r="D198" s="2">
        <f t="shared" si="48"/>
        <v>107</v>
      </c>
      <c r="E198" s="2">
        <v>2</v>
      </c>
      <c r="F198" s="28" t="e">
        <f>INDEX([3]宠物属性!$AL$8:$AL$107,MATCH(D198,[3]宠物属性!$I$8:$I$107,0),1)</f>
        <v>#N/A</v>
      </c>
      <c r="G198" s="68" t="e">
        <f>F198/INDEX(角色属性!$AI$8:$AI$107,MATCH(D198,角色属性!$I$8:$I$107,0),1)*E198</f>
        <v>#N/A</v>
      </c>
      <c r="H198" s="2" t="e">
        <f>INDEX(角色属性!$AL$8:$AL$107,MATCH(D198,角色属性!$I$8:$I$107,0),1)</f>
        <v>#N/A</v>
      </c>
      <c r="I198" s="2" t="e">
        <f>INDEX(角色属性!$Y$8:$Y$107,MATCH(D198,角色属性!$I$8:$I$107,0),1)</f>
        <v>#N/A</v>
      </c>
      <c r="J198" s="28" t="e">
        <f>H198*10*(1+VLOOKUP(I198,技能效果!$B$2:$D$101,3,FALSE))</f>
        <v>#N/A</v>
      </c>
      <c r="K198" s="28" t="e">
        <f>H198*10*(1+VLOOKUP(I198,技能效果!$B$2:$D$101,3,FALSE))*(1+G198)</f>
        <v>#N/A</v>
      </c>
      <c r="L198" s="2">
        <f t="shared" si="49"/>
        <v>200</v>
      </c>
      <c r="M198" s="28" t="e">
        <f t="shared" si="50"/>
        <v>#N/A</v>
      </c>
      <c r="N198" s="28" t="e">
        <f t="shared" si="51"/>
        <v>#N/A</v>
      </c>
      <c r="O198" s="62" t="e">
        <f t="shared" si="46"/>
        <v>#N/A</v>
      </c>
      <c r="P198" s="62" t="e">
        <f t="shared" si="47"/>
        <v>#N/A</v>
      </c>
      <c r="Q198" s="64" t="e">
        <f t="shared" si="60"/>
        <v>#N/A</v>
      </c>
      <c r="R198" s="67">
        <v>1</v>
      </c>
      <c r="S198" s="67">
        <v>1</v>
      </c>
      <c r="T198" s="67">
        <v>1</v>
      </c>
      <c r="U198" s="67">
        <v>1</v>
      </c>
      <c r="V198" s="67">
        <v>1</v>
      </c>
      <c r="W198" s="28">
        <v>0</v>
      </c>
      <c r="X198" s="28">
        <v>0</v>
      </c>
      <c r="Y198" s="28">
        <v>0</v>
      </c>
      <c r="Z198" s="28">
        <v>0</v>
      </c>
      <c r="AA198" s="28">
        <v>0</v>
      </c>
      <c r="AB198" s="64" t="e">
        <f>INDEX(角色属性!AM$8:AM$107,MATCH($D198,角色属性!$I$8:$I$107,0),1)</f>
        <v>#N/A</v>
      </c>
      <c r="AC198" s="64" t="e">
        <f>INDEX(角色属性!AN$8:AN$107,MATCH($D198,角色属性!$I$8:$I$107,0),1)</f>
        <v>#N/A</v>
      </c>
      <c r="AD198" s="64" t="e">
        <f>INDEX(角色属性!AO$8:AO$107,MATCH($D198,角色属性!$I$8:$I$107,0),1)</f>
        <v>#N/A</v>
      </c>
      <c r="AE198" s="64" t="e">
        <f>INDEX(角色属性!AP$8:AP$107,MATCH($D198,角色属性!$I$8:$I$107,0),1)</f>
        <v>#N/A</v>
      </c>
      <c r="AF198" s="64" t="e">
        <f>INDEX(角色属性!AQ$8:AQ$107,MATCH($D198,角色属性!$I$8:$I$107,0),1)</f>
        <v>#N/A</v>
      </c>
      <c r="AG198" s="64" t="e">
        <f>$P198/10/(1+VLOOKUP(I198,技能效果!$B$2:$D$101,3,FALSE))*怪物属性规划!A$18*INDEX(怪物属性等级系数!$A$2:$A$101,MATCH(D198,怪物属性等级系数!$D$2:$D$101,0),1)*R198+W198</f>
        <v>#N/A</v>
      </c>
      <c r="AH198" s="64" t="e">
        <f>$P198/10/(1+VLOOKUP($I198,技能效果!$B$2:$D$101,3,FALSE))*怪物属性规划!B$18*S198+X198</f>
        <v>#N/A</v>
      </c>
      <c r="AI198" s="64" t="e">
        <f>$P198/10/(1+VLOOKUP($I198,技能效果!$B$2:$D$101,3,FALSE))*怪物属性规划!C$18*T198+Y198</f>
        <v>#N/A</v>
      </c>
      <c r="AJ198" s="64" t="e">
        <f>$P198/10/(1+VLOOKUP($I198,技能效果!$B$2:$D$101,3,FALSE))*怪物属性规划!D$18*U198+Z198</f>
        <v>#N/A</v>
      </c>
      <c r="AK198" s="64" t="e">
        <f>$P198/10/(1+VLOOKUP($I198,技能效果!$B$2:$D$101,3,FALSE))*怪物属性规划!E$18*V198+AA198</f>
        <v>#N/A</v>
      </c>
      <c r="AL198" s="67" t="e">
        <f>INDEX(角色属性!BB$8:BB$107,MATCH($D198,角色属性!$I$8:$I$107,0),1)</f>
        <v>#N/A</v>
      </c>
      <c r="AM198" s="64" t="e">
        <f>INDEX(角色属性!BC$8:BC$107,MATCH($D198,角色属性!$I$8:$I$107,0),1)</f>
        <v>#N/A</v>
      </c>
      <c r="AN198" s="64" t="e">
        <f>INDEX(角色属性!BD$8:BD$107,MATCH($D198,角色属性!$I$8:$I$107,0),1)</f>
        <v>#N/A</v>
      </c>
      <c r="AO198" s="69" t="e">
        <f t="shared" si="52"/>
        <v>#N/A</v>
      </c>
      <c r="AP198" s="69" t="e">
        <f t="shared" si="53"/>
        <v>#N/A</v>
      </c>
      <c r="AQ198" s="64" t="e">
        <f>AL198*角色属性!$BA$1*(AC198*(1-AO198)+MAX(AF198-AJ198,0))</f>
        <v>#N/A</v>
      </c>
      <c r="AR198" s="64" t="e">
        <f>角色属性!$BA$1*(AH198*(1-AP198)+MAX(AK198-AE198,0))</f>
        <v>#N/A</v>
      </c>
      <c r="AS198" s="73" t="e">
        <f t="shared" si="54"/>
        <v>#N/A</v>
      </c>
      <c r="AT198" s="73" t="e">
        <f t="shared" si="55"/>
        <v>#N/A</v>
      </c>
      <c r="AU198" s="73" t="e">
        <f t="shared" si="56"/>
        <v>#N/A</v>
      </c>
      <c r="AV198" s="73" t="e">
        <f t="shared" si="57"/>
        <v>#N/A</v>
      </c>
      <c r="AW198" s="73" t="e">
        <f t="shared" si="58"/>
        <v>#N/A</v>
      </c>
      <c r="AX198" s="2" t="str">
        <f t="shared" si="59"/>
        <v>r_guanqia_196</v>
      </c>
      <c r="AY198" s="2" t="e">
        <f>ROUND(($P198*R198/10/$H198/(1+VLOOKUP($I198,技能效果!$B$2:$D$101,3,FALSE))-1)*10000,0)</f>
        <v>#N/A</v>
      </c>
      <c r="AZ198" s="2" t="e">
        <f>ROUND(($P198*S198/10/$H198/(1+VLOOKUP($I198,技能效果!$B$2:$D$101,3,FALSE))-1)*10000,0)</f>
        <v>#N/A</v>
      </c>
      <c r="BA198" s="2" t="e">
        <f>ROUND(($P198*T198/10/$H198/(1+VLOOKUP($I198,技能效果!$B$2:$D$101,3,FALSE))-1)*10000,0)</f>
        <v>#N/A</v>
      </c>
      <c r="BB198" s="2" t="e">
        <f>ROUND(($P198*U198/10/$H198/(1+VLOOKUP($I198,技能效果!$B$2:$D$101,3,FALSE))-1)*10000,0)</f>
        <v>#N/A</v>
      </c>
      <c r="BC198" s="2" t="e">
        <f>ROUND(($P198*V198/10/$H198/(1+VLOOKUP($I198,技能效果!$B$2:$D$101,3,FALSE))-1)*10000,0)</f>
        <v>#N/A</v>
      </c>
    </row>
    <row r="199" spans="2:55" x14ac:dyDescent="0.15">
      <c r="B199" s="83"/>
      <c r="C199" s="2">
        <v>197</v>
      </c>
      <c r="D199" s="2">
        <f t="shared" si="48"/>
        <v>107</v>
      </c>
      <c r="E199" s="2">
        <v>2</v>
      </c>
      <c r="F199" s="28" t="e">
        <f>INDEX([3]宠物属性!$AL$8:$AL$107,MATCH(D199,[3]宠物属性!$I$8:$I$107,0),1)</f>
        <v>#N/A</v>
      </c>
      <c r="G199" s="68" t="e">
        <f>F199/INDEX(角色属性!$AI$8:$AI$107,MATCH(D199,角色属性!$I$8:$I$107,0),1)*E199</f>
        <v>#N/A</v>
      </c>
      <c r="H199" s="2" t="e">
        <f>INDEX(角色属性!$AL$8:$AL$107,MATCH(D199,角色属性!$I$8:$I$107,0),1)</f>
        <v>#N/A</v>
      </c>
      <c r="I199" s="2" t="e">
        <f>INDEX(角色属性!$Y$8:$Y$107,MATCH(D199,角色属性!$I$8:$I$107,0),1)</f>
        <v>#N/A</v>
      </c>
      <c r="J199" s="28" t="e">
        <f>H199*10*(1+VLOOKUP(I199,技能效果!$B$2:$D$101,3,FALSE))</f>
        <v>#N/A</v>
      </c>
      <c r="K199" s="28" t="e">
        <f>H199*10*(1+VLOOKUP(I199,技能效果!$B$2:$D$101,3,FALSE))*(1+G199)</f>
        <v>#N/A</v>
      </c>
      <c r="L199" s="2">
        <f t="shared" si="49"/>
        <v>200</v>
      </c>
      <c r="M199" s="28" t="e">
        <f t="shared" si="50"/>
        <v>#N/A</v>
      </c>
      <c r="N199" s="28" t="e">
        <f t="shared" si="51"/>
        <v>#N/A</v>
      </c>
      <c r="O199" s="62" t="e">
        <f t="shared" si="46"/>
        <v>#N/A</v>
      </c>
      <c r="P199" s="62" t="e">
        <f t="shared" si="47"/>
        <v>#N/A</v>
      </c>
      <c r="Q199" s="64" t="e">
        <f t="shared" si="60"/>
        <v>#N/A</v>
      </c>
      <c r="R199" s="67">
        <v>1</v>
      </c>
      <c r="S199" s="67">
        <v>1</v>
      </c>
      <c r="T199" s="67">
        <v>1</v>
      </c>
      <c r="U199" s="67">
        <v>1</v>
      </c>
      <c r="V199" s="67">
        <v>1</v>
      </c>
      <c r="W199" s="28">
        <v>0</v>
      </c>
      <c r="X199" s="28">
        <v>0</v>
      </c>
      <c r="Y199" s="28">
        <v>0</v>
      </c>
      <c r="Z199" s="28">
        <v>0</v>
      </c>
      <c r="AA199" s="28">
        <v>0</v>
      </c>
      <c r="AB199" s="64" t="e">
        <f>INDEX(角色属性!AM$8:AM$107,MATCH($D199,角色属性!$I$8:$I$107,0),1)</f>
        <v>#N/A</v>
      </c>
      <c r="AC199" s="64" t="e">
        <f>INDEX(角色属性!AN$8:AN$107,MATCH($D199,角色属性!$I$8:$I$107,0),1)</f>
        <v>#N/A</v>
      </c>
      <c r="AD199" s="64" t="e">
        <f>INDEX(角色属性!AO$8:AO$107,MATCH($D199,角色属性!$I$8:$I$107,0),1)</f>
        <v>#N/A</v>
      </c>
      <c r="AE199" s="64" t="e">
        <f>INDEX(角色属性!AP$8:AP$107,MATCH($D199,角色属性!$I$8:$I$107,0),1)</f>
        <v>#N/A</v>
      </c>
      <c r="AF199" s="64" t="e">
        <f>INDEX(角色属性!AQ$8:AQ$107,MATCH($D199,角色属性!$I$8:$I$107,0),1)</f>
        <v>#N/A</v>
      </c>
      <c r="AG199" s="64" t="e">
        <f>$P199/10/(1+VLOOKUP(I199,技能效果!$B$2:$D$101,3,FALSE))*怪物属性规划!A$18*INDEX(怪物属性等级系数!$A$2:$A$101,MATCH(D199,怪物属性等级系数!$D$2:$D$101,0),1)*R199+W199</f>
        <v>#N/A</v>
      </c>
      <c r="AH199" s="64" t="e">
        <f>$P199/10/(1+VLOOKUP($I199,技能效果!$B$2:$D$101,3,FALSE))*怪物属性规划!B$18*S199+X199</f>
        <v>#N/A</v>
      </c>
      <c r="AI199" s="64" t="e">
        <f>$P199/10/(1+VLOOKUP($I199,技能效果!$B$2:$D$101,3,FALSE))*怪物属性规划!C$18*T199+Y199</f>
        <v>#N/A</v>
      </c>
      <c r="AJ199" s="64" t="e">
        <f>$P199/10/(1+VLOOKUP($I199,技能效果!$B$2:$D$101,3,FALSE))*怪物属性规划!D$18*U199+Z199</f>
        <v>#N/A</v>
      </c>
      <c r="AK199" s="64" t="e">
        <f>$P199/10/(1+VLOOKUP($I199,技能效果!$B$2:$D$101,3,FALSE))*怪物属性规划!E$18*V199+AA199</f>
        <v>#N/A</v>
      </c>
      <c r="AL199" s="67" t="e">
        <f>INDEX(角色属性!BB$8:BB$107,MATCH($D199,角色属性!$I$8:$I$107,0),1)</f>
        <v>#N/A</v>
      </c>
      <c r="AM199" s="64" t="e">
        <f>INDEX(角色属性!BC$8:BC$107,MATCH($D199,角色属性!$I$8:$I$107,0),1)</f>
        <v>#N/A</v>
      </c>
      <c r="AN199" s="64" t="e">
        <f>INDEX(角色属性!BD$8:BD$107,MATCH($D199,角色属性!$I$8:$I$107,0),1)</f>
        <v>#N/A</v>
      </c>
      <c r="AO199" s="69" t="e">
        <f t="shared" si="52"/>
        <v>#N/A</v>
      </c>
      <c r="AP199" s="69" t="e">
        <f t="shared" si="53"/>
        <v>#N/A</v>
      </c>
      <c r="AQ199" s="64" t="e">
        <f>AL199*角色属性!$BA$1*(AC199*(1-AO199)+MAX(AF199-AJ199,0))</f>
        <v>#N/A</v>
      </c>
      <c r="AR199" s="64" t="e">
        <f>角色属性!$BA$1*(AH199*(1-AP199)+MAX(AK199-AE199,0))</f>
        <v>#N/A</v>
      </c>
      <c r="AS199" s="73" t="e">
        <f t="shared" si="54"/>
        <v>#N/A</v>
      </c>
      <c r="AT199" s="73" t="e">
        <f t="shared" si="55"/>
        <v>#N/A</v>
      </c>
      <c r="AU199" s="73" t="e">
        <f t="shared" si="56"/>
        <v>#N/A</v>
      </c>
      <c r="AV199" s="73" t="e">
        <f t="shared" si="57"/>
        <v>#N/A</v>
      </c>
      <c r="AW199" s="73" t="e">
        <f t="shared" si="58"/>
        <v>#N/A</v>
      </c>
      <c r="AX199" s="2" t="str">
        <f t="shared" si="59"/>
        <v>r_guanqia_197</v>
      </c>
      <c r="AY199" s="2" t="e">
        <f>ROUND(($P199*R199/10/$H199/(1+VLOOKUP($I199,技能效果!$B$2:$D$101,3,FALSE))-1)*10000,0)</f>
        <v>#N/A</v>
      </c>
      <c r="AZ199" s="2" t="e">
        <f>ROUND(($P199*S199/10/$H199/(1+VLOOKUP($I199,技能效果!$B$2:$D$101,3,FALSE))-1)*10000,0)</f>
        <v>#N/A</v>
      </c>
      <c r="BA199" s="2" t="e">
        <f>ROUND(($P199*T199/10/$H199/(1+VLOOKUP($I199,技能效果!$B$2:$D$101,3,FALSE))-1)*10000,0)</f>
        <v>#N/A</v>
      </c>
      <c r="BB199" s="2" t="e">
        <f>ROUND(($P199*U199/10/$H199/(1+VLOOKUP($I199,技能效果!$B$2:$D$101,3,FALSE))-1)*10000,0)</f>
        <v>#N/A</v>
      </c>
      <c r="BC199" s="2" t="e">
        <f>ROUND(($P199*V199/10/$H199/(1+VLOOKUP($I199,技能效果!$B$2:$D$101,3,FALSE))-1)*10000,0)</f>
        <v>#N/A</v>
      </c>
    </row>
    <row r="200" spans="2:55" x14ac:dyDescent="0.15">
      <c r="B200" s="83"/>
      <c r="C200" s="2">
        <v>198</v>
      </c>
      <c r="D200" s="2">
        <f t="shared" si="48"/>
        <v>108</v>
      </c>
      <c r="E200" s="2">
        <v>2</v>
      </c>
      <c r="F200" s="28" t="e">
        <f>INDEX([3]宠物属性!$AL$8:$AL$107,MATCH(D200,[3]宠物属性!$I$8:$I$107,0),1)</f>
        <v>#N/A</v>
      </c>
      <c r="G200" s="68" t="e">
        <f>F200/INDEX(角色属性!$AI$8:$AI$107,MATCH(D200,角色属性!$I$8:$I$107,0),1)*E200</f>
        <v>#N/A</v>
      </c>
      <c r="H200" s="2" t="e">
        <f>INDEX(角色属性!$AL$8:$AL$107,MATCH(D200,角色属性!$I$8:$I$107,0),1)</f>
        <v>#N/A</v>
      </c>
      <c r="I200" s="2" t="e">
        <f>INDEX(角色属性!$Y$8:$Y$107,MATCH(D200,角色属性!$I$8:$I$107,0),1)</f>
        <v>#N/A</v>
      </c>
      <c r="J200" s="28" t="e">
        <f>H200*10*(1+VLOOKUP(I200,技能效果!$B$2:$D$101,3,FALSE))</f>
        <v>#N/A</v>
      </c>
      <c r="K200" s="28" t="e">
        <f>H200*10*(1+VLOOKUP(I200,技能效果!$B$2:$D$101,3,FALSE))*(1+G200)</f>
        <v>#N/A</v>
      </c>
      <c r="L200" s="2">
        <f t="shared" si="49"/>
        <v>200</v>
      </c>
      <c r="M200" s="28" t="e">
        <f t="shared" si="50"/>
        <v>#N/A</v>
      </c>
      <c r="N200" s="28" t="e">
        <f t="shared" si="51"/>
        <v>#N/A</v>
      </c>
      <c r="O200" s="62" t="e">
        <f t="shared" si="46"/>
        <v>#N/A</v>
      </c>
      <c r="P200" s="62" t="e">
        <f t="shared" si="47"/>
        <v>#N/A</v>
      </c>
      <c r="Q200" s="64" t="e">
        <f t="shared" si="60"/>
        <v>#N/A</v>
      </c>
      <c r="R200" s="67">
        <v>1</v>
      </c>
      <c r="S200" s="67">
        <v>1</v>
      </c>
      <c r="T200" s="67">
        <v>1</v>
      </c>
      <c r="U200" s="67">
        <v>1</v>
      </c>
      <c r="V200" s="67">
        <v>1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64" t="e">
        <f>INDEX(角色属性!AM$8:AM$107,MATCH($D200,角色属性!$I$8:$I$107,0),1)</f>
        <v>#N/A</v>
      </c>
      <c r="AC200" s="64" t="e">
        <f>INDEX(角色属性!AN$8:AN$107,MATCH($D200,角色属性!$I$8:$I$107,0),1)</f>
        <v>#N/A</v>
      </c>
      <c r="AD200" s="64" t="e">
        <f>INDEX(角色属性!AO$8:AO$107,MATCH($D200,角色属性!$I$8:$I$107,0),1)</f>
        <v>#N/A</v>
      </c>
      <c r="AE200" s="64" t="e">
        <f>INDEX(角色属性!AP$8:AP$107,MATCH($D200,角色属性!$I$8:$I$107,0),1)</f>
        <v>#N/A</v>
      </c>
      <c r="AF200" s="64" t="e">
        <f>INDEX(角色属性!AQ$8:AQ$107,MATCH($D200,角色属性!$I$8:$I$107,0),1)</f>
        <v>#N/A</v>
      </c>
      <c r="AG200" s="64" t="e">
        <f>$P200/10/(1+VLOOKUP(I200,技能效果!$B$2:$D$101,3,FALSE))*怪物属性规划!A$18*INDEX(怪物属性等级系数!$A$2:$A$101,MATCH(D200,怪物属性等级系数!$D$2:$D$101,0),1)*R200+W200</f>
        <v>#N/A</v>
      </c>
      <c r="AH200" s="64" t="e">
        <f>$P200/10/(1+VLOOKUP($I200,技能效果!$B$2:$D$101,3,FALSE))*怪物属性规划!B$18*S200+X200</f>
        <v>#N/A</v>
      </c>
      <c r="AI200" s="64" t="e">
        <f>$P200/10/(1+VLOOKUP($I200,技能效果!$B$2:$D$101,3,FALSE))*怪物属性规划!C$18*T200+Y200</f>
        <v>#N/A</v>
      </c>
      <c r="AJ200" s="64" t="e">
        <f>$P200/10/(1+VLOOKUP($I200,技能效果!$B$2:$D$101,3,FALSE))*怪物属性规划!D$18*U200+Z200</f>
        <v>#N/A</v>
      </c>
      <c r="AK200" s="64" t="e">
        <f>$P200/10/(1+VLOOKUP($I200,技能效果!$B$2:$D$101,3,FALSE))*怪物属性规划!E$18*V200+AA200</f>
        <v>#N/A</v>
      </c>
      <c r="AL200" s="67" t="e">
        <f>INDEX(角色属性!BB$8:BB$107,MATCH($D200,角色属性!$I$8:$I$107,0),1)</f>
        <v>#N/A</v>
      </c>
      <c r="AM200" s="64" t="e">
        <f>INDEX(角色属性!BC$8:BC$107,MATCH($D200,角色属性!$I$8:$I$107,0),1)</f>
        <v>#N/A</v>
      </c>
      <c r="AN200" s="64" t="e">
        <f>INDEX(角色属性!BD$8:BD$107,MATCH($D200,角色属性!$I$8:$I$107,0),1)</f>
        <v>#N/A</v>
      </c>
      <c r="AO200" s="69" t="e">
        <f t="shared" si="52"/>
        <v>#N/A</v>
      </c>
      <c r="AP200" s="69" t="e">
        <f t="shared" si="53"/>
        <v>#N/A</v>
      </c>
      <c r="AQ200" s="64" t="e">
        <f>AL200*角色属性!$BA$1*(AC200*(1-AO200)+MAX(AF200-AJ200,0))</f>
        <v>#N/A</v>
      </c>
      <c r="AR200" s="64" t="e">
        <f>角色属性!$BA$1*(AH200*(1-AP200)+MAX(AK200-AE200,0))</f>
        <v>#N/A</v>
      </c>
      <c r="AS200" s="73" t="e">
        <f t="shared" si="54"/>
        <v>#N/A</v>
      </c>
      <c r="AT200" s="73" t="e">
        <f t="shared" si="55"/>
        <v>#N/A</v>
      </c>
      <c r="AU200" s="73" t="e">
        <f t="shared" si="56"/>
        <v>#N/A</v>
      </c>
      <c r="AV200" s="73" t="e">
        <f t="shared" si="57"/>
        <v>#N/A</v>
      </c>
      <c r="AW200" s="73" t="e">
        <f t="shared" si="58"/>
        <v>#N/A</v>
      </c>
      <c r="AX200" s="2" t="str">
        <f t="shared" si="59"/>
        <v>r_guanqia_198</v>
      </c>
      <c r="AY200" s="2" t="e">
        <f>ROUND(($P200*R200/10/$H200/(1+VLOOKUP($I200,技能效果!$B$2:$D$101,3,FALSE))-1)*10000,0)</f>
        <v>#N/A</v>
      </c>
      <c r="AZ200" s="2" t="e">
        <f>ROUND(($P200*S200/10/$H200/(1+VLOOKUP($I200,技能效果!$B$2:$D$101,3,FALSE))-1)*10000,0)</f>
        <v>#N/A</v>
      </c>
      <c r="BA200" s="2" t="e">
        <f>ROUND(($P200*T200/10/$H200/(1+VLOOKUP($I200,技能效果!$B$2:$D$101,3,FALSE))-1)*10000,0)</f>
        <v>#N/A</v>
      </c>
      <c r="BB200" s="2" t="e">
        <f>ROUND(($P200*U200/10/$H200/(1+VLOOKUP($I200,技能效果!$B$2:$D$101,3,FALSE))-1)*10000,0)</f>
        <v>#N/A</v>
      </c>
      <c r="BC200" s="2" t="e">
        <f>ROUND(($P200*V200/10/$H200/(1+VLOOKUP($I200,技能效果!$B$2:$D$101,3,FALSE))-1)*10000,0)</f>
        <v>#N/A</v>
      </c>
    </row>
    <row r="201" spans="2:55" x14ac:dyDescent="0.15">
      <c r="B201" s="83"/>
      <c r="C201" s="2">
        <v>199</v>
      </c>
      <c r="D201" s="2">
        <f t="shared" si="48"/>
        <v>108</v>
      </c>
      <c r="E201" s="2">
        <v>2</v>
      </c>
      <c r="F201" s="28" t="e">
        <f>INDEX([3]宠物属性!$AL$8:$AL$107,MATCH(D201,[3]宠物属性!$I$8:$I$107,0),1)</f>
        <v>#N/A</v>
      </c>
      <c r="G201" s="68" t="e">
        <f>F201/INDEX(角色属性!$AI$8:$AI$107,MATCH(D201,角色属性!$I$8:$I$107,0),1)*E201</f>
        <v>#N/A</v>
      </c>
      <c r="H201" s="2" t="e">
        <f>INDEX(角色属性!$AL$8:$AL$107,MATCH(D201,角色属性!$I$8:$I$107,0),1)</f>
        <v>#N/A</v>
      </c>
      <c r="I201" s="2" t="e">
        <f>INDEX(角色属性!$Y$8:$Y$107,MATCH(D201,角色属性!$I$8:$I$107,0),1)</f>
        <v>#N/A</v>
      </c>
      <c r="J201" s="28" t="e">
        <f>H201*10*(1+VLOOKUP(I201,技能效果!$B$2:$D$101,3,FALSE))</f>
        <v>#N/A</v>
      </c>
      <c r="K201" s="28" t="e">
        <f>H201*10*(1+VLOOKUP(I201,技能效果!$B$2:$D$101,3,FALSE))*(1+G201)</f>
        <v>#N/A</v>
      </c>
      <c r="L201" s="2">
        <f t="shared" si="49"/>
        <v>200</v>
      </c>
      <c r="M201" s="28" t="e">
        <f t="shared" si="50"/>
        <v>#N/A</v>
      </c>
      <c r="N201" s="28" t="e">
        <f t="shared" si="51"/>
        <v>#N/A</v>
      </c>
      <c r="O201" s="62" t="e">
        <f t="shared" si="46"/>
        <v>#N/A</v>
      </c>
      <c r="P201" s="62" t="e">
        <f t="shared" si="47"/>
        <v>#N/A</v>
      </c>
      <c r="Q201" s="64" t="e">
        <f t="shared" si="60"/>
        <v>#N/A</v>
      </c>
      <c r="R201" s="67">
        <v>1</v>
      </c>
      <c r="S201" s="67">
        <v>1</v>
      </c>
      <c r="T201" s="67">
        <v>1</v>
      </c>
      <c r="U201" s="67">
        <v>1</v>
      </c>
      <c r="V201" s="67">
        <v>1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64" t="e">
        <f>INDEX(角色属性!AM$8:AM$107,MATCH($D201,角色属性!$I$8:$I$107,0),1)</f>
        <v>#N/A</v>
      </c>
      <c r="AC201" s="64" t="e">
        <f>INDEX(角色属性!AN$8:AN$107,MATCH($D201,角色属性!$I$8:$I$107,0),1)</f>
        <v>#N/A</v>
      </c>
      <c r="AD201" s="64" t="e">
        <f>INDEX(角色属性!AO$8:AO$107,MATCH($D201,角色属性!$I$8:$I$107,0),1)</f>
        <v>#N/A</v>
      </c>
      <c r="AE201" s="64" t="e">
        <f>INDEX(角色属性!AP$8:AP$107,MATCH($D201,角色属性!$I$8:$I$107,0),1)</f>
        <v>#N/A</v>
      </c>
      <c r="AF201" s="64" t="e">
        <f>INDEX(角色属性!AQ$8:AQ$107,MATCH($D201,角色属性!$I$8:$I$107,0),1)</f>
        <v>#N/A</v>
      </c>
      <c r="AG201" s="64" t="e">
        <f>$P201/10/(1+VLOOKUP(I201,技能效果!$B$2:$D$101,3,FALSE))*怪物属性规划!A$18*INDEX(怪物属性等级系数!$A$2:$A$101,MATCH(D201,怪物属性等级系数!$D$2:$D$101,0),1)*R201+W201</f>
        <v>#N/A</v>
      </c>
      <c r="AH201" s="64" t="e">
        <f>$P201/10/(1+VLOOKUP($I201,技能效果!$B$2:$D$101,3,FALSE))*怪物属性规划!B$18*S201+X201</f>
        <v>#N/A</v>
      </c>
      <c r="AI201" s="64" t="e">
        <f>$P201/10/(1+VLOOKUP($I201,技能效果!$B$2:$D$101,3,FALSE))*怪物属性规划!C$18*T201+Y201</f>
        <v>#N/A</v>
      </c>
      <c r="AJ201" s="64" t="e">
        <f>$P201/10/(1+VLOOKUP($I201,技能效果!$B$2:$D$101,3,FALSE))*怪物属性规划!D$18*U201+Z201</f>
        <v>#N/A</v>
      </c>
      <c r="AK201" s="64" t="e">
        <f>$P201/10/(1+VLOOKUP($I201,技能效果!$B$2:$D$101,3,FALSE))*怪物属性规划!E$18*V201+AA201</f>
        <v>#N/A</v>
      </c>
      <c r="AL201" s="67" t="e">
        <f>INDEX(角色属性!BB$8:BB$107,MATCH($D201,角色属性!$I$8:$I$107,0),1)</f>
        <v>#N/A</v>
      </c>
      <c r="AM201" s="64" t="e">
        <f>INDEX(角色属性!BC$8:BC$107,MATCH($D201,角色属性!$I$8:$I$107,0),1)</f>
        <v>#N/A</v>
      </c>
      <c r="AN201" s="64" t="e">
        <f>INDEX(角色属性!BD$8:BD$107,MATCH($D201,角色属性!$I$8:$I$107,0),1)</f>
        <v>#N/A</v>
      </c>
      <c r="AO201" s="69" t="e">
        <f t="shared" si="52"/>
        <v>#N/A</v>
      </c>
      <c r="AP201" s="69" t="e">
        <f t="shared" si="53"/>
        <v>#N/A</v>
      </c>
      <c r="AQ201" s="64" t="e">
        <f>AL201*角色属性!$BA$1*(AC201*(1-AO201)+MAX(AF201-AJ201,0))</f>
        <v>#N/A</v>
      </c>
      <c r="AR201" s="64" t="e">
        <f>角色属性!$BA$1*(AH201*(1-AP201)+MAX(AK201-AE201,0))</f>
        <v>#N/A</v>
      </c>
      <c r="AS201" s="73" t="e">
        <f t="shared" si="54"/>
        <v>#N/A</v>
      </c>
      <c r="AT201" s="73" t="e">
        <f t="shared" si="55"/>
        <v>#N/A</v>
      </c>
      <c r="AU201" s="73" t="e">
        <f t="shared" si="56"/>
        <v>#N/A</v>
      </c>
      <c r="AV201" s="73" t="e">
        <f t="shared" si="57"/>
        <v>#N/A</v>
      </c>
      <c r="AW201" s="73" t="e">
        <f t="shared" si="58"/>
        <v>#N/A</v>
      </c>
      <c r="AX201" s="2" t="str">
        <f t="shared" si="59"/>
        <v>r_guanqia_199</v>
      </c>
      <c r="AY201" s="2" t="e">
        <f>ROUND(($P201*R201/10/$H201/(1+VLOOKUP($I201,技能效果!$B$2:$D$101,3,FALSE))-1)*10000,0)</f>
        <v>#N/A</v>
      </c>
      <c r="AZ201" s="2" t="e">
        <f>ROUND(($P201*S201/10/$H201/(1+VLOOKUP($I201,技能效果!$B$2:$D$101,3,FALSE))-1)*10000,0)</f>
        <v>#N/A</v>
      </c>
      <c r="BA201" s="2" t="e">
        <f>ROUND(($P201*T201/10/$H201/(1+VLOOKUP($I201,技能效果!$B$2:$D$101,3,FALSE))-1)*10000,0)</f>
        <v>#N/A</v>
      </c>
      <c r="BB201" s="2" t="e">
        <f>ROUND(($P201*U201/10/$H201/(1+VLOOKUP($I201,技能效果!$B$2:$D$101,3,FALSE))-1)*10000,0)</f>
        <v>#N/A</v>
      </c>
      <c r="BC201" s="2" t="e">
        <f>ROUND(($P201*V201/10/$H201/(1+VLOOKUP($I201,技能效果!$B$2:$D$101,3,FALSE))-1)*10000,0)</f>
        <v>#N/A</v>
      </c>
    </row>
    <row r="202" spans="2:55" x14ac:dyDescent="0.15">
      <c r="B202" s="83"/>
      <c r="C202" s="2">
        <v>200</v>
      </c>
      <c r="D202" s="2">
        <f t="shared" si="48"/>
        <v>110</v>
      </c>
      <c r="E202" s="2">
        <v>2</v>
      </c>
      <c r="F202" s="28" t="e">
        <f>INDEX([3]宠物属性!$AL$8:$AL$107,MATCH(D202,[3]宠物属性!$I$8:$I$107,0),1)</f>
        <v>#N/A</v>
      </c>
      <c r="G202" s="68" t="e">
        <f>F202/INDEX(角色属性!$AI$8:$AI$107,MATCH(D202,角色属性!$I$8:$I$107,0),1)*E202</f>
        <v>#N/A</v>
      </c>
      <c r="H202" s="2" t="e">
        <f>INDEX(角色属性!$AL$8:$AL$107,MATCH(D202,角色属性!$I$8:$I$107,0),1)</f>
        <v>#N/A</v>
      </c>
      <c r="I202" s="2" t="e">
        <f>INDEX(角色属性!$Y$8:$Y$107,MATCH(D202,角色属性!$I$8:$I$107,0),1)</f>
        <v>#N/A</v>
      </c>
      <c r="J202" s="28" t="e">
        <f>H202*10*(1+VLOOKUP(I202,技能效果!$B$2:$D$101,3,FALSE))</f>
        <v>#N/A</v>
      </c>
      <c r="K202" s="28" t="e">
        <f>H202*10*(1+VLOOKUP(I202,技能效果!$B$2:$D$101,3,FALSE))*(1+G202)</f>
        <v>#N/A</v>
      </c>
      <c r="L202" s="2">
        <f t="shared" si="49"/>
        <v>200</v>
      </c>
      <c r="M202" s="28" t="e">
        <f t="shared" si="50"/>
        <v>#N/A</v>
      </c>
      <c r="N202" s="28" t="e">
        <f t="shared" si="51"/>
        <v>#N/A</v>
      </c>
      <c r="O202" s="62" t="e">
        <f t="shared" si="46"/>
        <v>#N/A</v>
      </c>
      <c r="P202" s="62" t="e">
        <f t="shared" si="47"/>
        <v>#N/A</v>
      </c>
      <c r="Q202" s="64" t="e">
        <f t="shared" si="60"/>
        <v>#N/A</v>
      </c>
      <c r="R202" s="67">
        <v>1</v>
      </c>
      <c r="S202" s="67">
        <v>1</v>
      </c>
      <c r="T202" s="67">
        <v>1</v>
      </c>
      <c r="U202" s="67">
        <v>1</v>
      </c>
      <c r="V202" s="67">
        <v>1</v>
      </c>
      <c r="W202" s="28">
        <v>0</v>
      </c>
      <c r="X202" s="28">
        <v>0</v>
      </c>
      <c r="Y202" s="28">
        <v>0</v>
      </c>
      <c r="Z202" s="28">
        <v>0</v>
      </c>
      <c r="AA202" s="28">
        <v>0</v>
      </c>
      <c r="AB202" s="64" t="e">
        <f>INDEX(角色属性!AM$8:AM$107,MATCH($D202,角色属性!$I$8:$I$107,0),1)</f>
        <v>#N/A</v>
      </c>
      <c r="AC202" s="64" t="e">
        <f>INDEX(角色属性!AN$8:AN$107,MATCH($D202,角色属性!$I$8:$I$107,0),1)</f>
        <v>#N/A</v>
      </c>
      <c r="AD202" s="64" t="e">
        <f>INDEX(角色属性!AO$8:AO$107,MATCH($D202,角色属性!$I$8:$I$107,0),1)</f>
        <v>#N/A</v>
      </c>
      <c r="AE202" s="64" t="e">
        <f>INDEX(角色属性!AP$8:AP$107,MATCH($D202,角色属性!$I$8:$I$107,0),1)</f>
        <v>#N/A</v>
      </c>
      <c r="AF202" s="64" t="e">
        <f>INDEX(角色属性!AQ$8:AQ$107,MATCH($D202,角色属性!$I$8:$I$107,0),1)</f>
        <v>#N/A</v>
      </c>
      <c r="AG202" s="64" t="e">
        <f>$P202/10/(1+VLOOKUP(I202,技能效果!$B$2:$D$101,3,FALSE))*怪物属性规划!A$18*INDEX(怪物属性等级系数!$A$2:$A$101,MATCH(D202,怪物属性等级系数!$D$2:$D$101,0),1)*R202+W202</f>
        <v>#N/A</v>
      </c>
      <c r="AH202" s="64" t="e">
        <f>$P202/10/(1+VLOOKUP($I202,技能效果!$B$2:$D$101,3,FALSE))*怪物属性规划!B$18*S202+X202</f>
        <v>#N/A</v>
      </c>
      <c r="AI202" s="64" t="e">
        <f>$P202/10/(1+VLOOKUP($I202,技能效果!$B$2:$D$101,3,FALSE))*怪物属性规划!C$18*T202+Y202</f>
        <v>#N/A</v>
      </c>
      <c r="AJ202" s="64" t="e">
        <f>$P202/10/(1+VLOOKUP($I202,技能效果!$B$2:$D$101,3,FALSE))*怪物属性规划!D$18*U202+Z202</f>
        <v>#N/A</v>
      </c>
      <c r="AK202" s="64" t="e">
        <f>$P202/10/(1+VLOOKUP($I202,技能效果!$B$2:$D$101,3,FALSE))*怪物属性规划!E$18*V202+AA202</f>
        <v>#N/A</v>
      </c>
      <c r="AL202" s="67" t="e">
        <f>INDEX(角色属性!BB$8:BB$107,MATCH($D202,角色属性!$I$8:$I$107,0),1)</f>
        <v>#N/A</v>
      </c>
      <c r="AM202" s="64" t="e">
        <f>INDEX(角色属性!BC$8:BC$107,MATCH($D202,角色属性!$I$8:$I$107,0),1)</f>
        <v>#N/A</v>
      </c>
      <c r="AN202" s="64" t="e">
        <f>INDEX(角色属性!BD$8:BD$107,MATCH($D202,角色属性!$I$8:$I$107,0),1)</f>
        <v>#N/A</v>
      </c>
      <c r="AO202" s="69" t="e">
        <f t="shared" si="52"/>
        <v>#N/A</v>
      </c>
      <c r="AP202" s="69" t="e">
        <f t="shared" si="53"/>
        <v>#N/A</v>
      </c>
      <c r="AQ202" s="64" t="e">
        <f>AL202*角色属性!$BA$1*(AC202*(1-AO202)+MAX(AF202-AJ202,0))</f>
        <v>#N/A</v>
      </c>
      <c r="AR202" s="64" t="e">
        <f>角色属性!$BA$1*(AH202*(1-AP202)+MAX(AK202-AE202,0))</f>
        <v>#N/A</v>
      </c>
      <c r="AS202" s="73" t="e">
        <f t="shared" si="54"/>
        <v>#N/A</v>
      </c>
      <c r="AT202" s="73" t="e">
        <f t="shared" si="55"/>
        <v>#N/A</v>
      </c>
      <c r="AU202" s="73" t="e">
        <f t="shared" si="56"/>
        <v>#N/A</v>
      </c>
      <c r="AV202" s="73" t="e">
        <f t="shared" si="57"/>
        <v>#N/A</v>
      </c>
      <c r="AW202" s="73" t="e">
        <f t="shared" si="58"/>
        <v>#N/A</v>
      </c>
      <c r="AX202" s="2" t="str">
        <f t="shared" si="59"/>
        <v>r_guanqia_200</v>
      </c>
      <c r="AY202" s="2" t="e">
        <f>ROUND(($P202*R202/10/$H202/(1+VLOOKUP($I202,技能效果!$B$2:$D$101,3,FALSE))-1)*10000,0)</f>
        <v>#N/A</v>
      </c>
      <c r="AZ202" s="2" t="e">
        <f>ROUND(($P202*S202/10/$H202/(1+VLOOKUP($I202,技能效果!$B$2:$D$101,3,FALSE))-1)*10000,0)</f>
        <v>#N/A</v>
      </c>
      <c r="BA202" s="2" t="e">
        <f>ROUND(($P202*T202/10/$H202/(1+VLOOKUP($I202,技能效果!$B$2:$D$101,3,FALSE))-1)*10000,0)</f>
        <v>#N/A</v>
      </c>
      <c r="BB202" s="2" t="e">
        <f>ROUND(($P202*U202/10/$H202/(1+VLOOKUP($I202,技能效果!$B$2:$D$101,3,FALSE))-1)*10000,0)</f>
        <v>#N/A</v>
      </c>
      <c r="BC202" s="2" t="e">
        <f>ROUND(($P202*V202/10/$H202/(1+VLOOKUP($I202,技能效果!$B$2:$D$101,3,FALSE))-1)*10000,0)</f>
        <v>#N/A</v>
      </c>
    </row>
  </sheetData>
  <mergeCells count="24">
    <mergeCell ref="B193:B202"/>
    <mergeCell ref="B123:B132"/>
    <mergeCell ref="B133:B142"/>
    <mergeCell ref="B143:B152"/>
    <mergeCell ref="B153:B162"/>
    <mergeCell ref="B163:B172"/>
    <mergeCell ref="B173:B182"/>
    <mergeCell ref="B83:B92"/>
    <mergeCell ref="B93:B102"/>
    <mergeCell ref="B103:B112"/>
    <mergeCell ref="R1:V1"/>
    <mergeCell ref="B183:B192"/>
    <mergeCell ref="B113:B122"/>
    <mergeCell ref="B3:B12"/>
    <mergeCell ref="B13:B22"/>
    <mergeCell ref="B23:B32"/>
    <mergeCell ref="B33:B42"/>
    <mergeCell ref="B43:B52"/>
    <mergeCell ref="B53:B62"/>
    <mergeCell ref="AB1:AF1"/>
    <mergeCell ref="AG1:AK1"/>
    <mergeCell ref="W1:AA1"/>
    <mergeCell ref="B63:B72"/>
    <mergeCell ref="B73:B8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workbookViewId="0">
      <selection activeCell="L44" sqref="L44"/>
    </sheetView>
  </sheetViews>
  <sheetFormatPr defaultRowHeight="11.25" x14ac:dyDescent="0.15"/>
  <cols>
    <col min="1" max="2" width="9" style="1"/>
    <col min="3" max="3" width="13.125" style="1" customWidth="1"/>
    <col min="4" max="16384" width="9" style="1"/>
  </cols>
  <sheetData>
    <row r="2" spans="2:10" x14ac:dyDescent="0.15">
      <c r="B2" s="2" t="s">
        <v>158</v>
      </c>
      <c r="C2" s="2" t="s">
        <v>187</v>
      </c>
      <c r="D2" s="51" t="s">
        <v>60</v>
      </c>
      <c r="E2" s="53" t="s">
        <v>59</v>
      </c>
      <c r="F2" s="52" t="s">
        <v>61</v>
      </c>
      <c r="G2" s="54" t="s">
        <v>62</v>
      </c>
      <c r="H2" s="50" t="s">
        <v>191</v>
      </c>
      <c r="I2" s="50" t="s">
        <v>192</v>
      </c>
      <c r="J2" s="50" t="s">
        <v>193</v>
      </c>
    </row>
    <row r="3" spans="2:10" x14ac:dyDescent="0.15">
      <c r="B3" s="2" t="s">
        <v>188</v>
      </c>
      <c r="C3" s="2" t="s">
        <v>159</v>
      </c>
      <c r="D3" s="51" t="s">
        <v>194</v>
      </c>
      <c r="E3" s="53" t="s">
        <v>195</v>
      </c>
      <c r="F3" s="52" t="s">
        <v>195</v>
      </c>
      <c r="G3" s="54" t="s">
        <v>194</v>
      </c>
      <c r="H3" s="50" t="s">
        <v>195</v>
      </c>
      <c r="I3" s="50" t="s">
        <v>194</v>
      </c>
      <c r="J3" s="50" t="s">
        <v>194</v>
      </c>
    </row>
    <row r="4" spans="2:10" x14ac:dyDescent="0.15">
      <c r="B4" s="2" t="s">
        <v>188</v>
      </c>
      <c r="C4" s="2" t="s">
        <v>160</v>
      </c>
      <c r="D4" s="51" t="s">
        <v>194</v>
      </c>
      <c r="E4" s="53" t="s">
        <v>195</v>
      </c>
      <c r="F4" s="52" t="s">
        <v>195</v>
      </c>
      <c r="G4" s="54" t="s">
        <v>194</v>
      </c>
      <c r="H4" s="50" t="s">
        <v>195</v>
      </c>
      <c r="I4" s="50" t="s">
        <v>194</v>
      </c>
      <c r="J4" s="50" t="s">
        <v>194</v>
      </c>
    </row>
    <row r="5" spans="2:10" x14ac:dyDescent="0.15">
      <c r="B5" s="2" t="s">
        <v>188</v>
      </c>
      <c r="C5" s="2" t="s">
        <v>161</v>
      </c>
      <c r="D5" s="51" t="s">
        <v>195</v>
      </c>
      <c r="E5" s="53" t="s">
        <v>195</v>
      </c>
      <c r="F5" s="52" t="s">
        <v>194</v>
      </c>
      <c r="G5" s="54" t="s">
        <v>194</v>
      </c>
      <c r="H5" s="50" t="s">
        <v>197</v>
      </c>
      <c r="I5" s="50" t="s">
        <v>194</v>
      </c>
      <c r="J5" s="50" t="s">
        <v>194</v>
      </c>
    </row>
    <row r="6" spans="2:10" x14ac:dyDescent="0.15">
      <c r="B6" s="2" t="s">
        <v>188</v>
      </c>
      <c r="C6" s="2" t="s">
        <v>166</v>
      </c>
      <c r="D6" s="51" t="s">
        <v>194</v>
      </c>
      <c r="E6" s="53" t="s">
        <v>194</v>
      </c>
      <c r="F6" s="52" t="s">
        <v>194</v>
      </c>
      <c r="G6" s="54" t="s">
        <v>195</v>
      </c>
      <c r="H6" s="50" t="s">
        <v>194</v>
      </c>
      <c r="I6" s="50" t="s">
        <v>194</v>
      </c>
      <c r="J6" s="50" t="s">
        <v>195</v>
      </c>
    </row>
    <row r="7" spans="2:10" x14ac:dyDescent="0.15">
      <c r="B7" s="2" t="s">
        <v>188</v>
      </c>
      <c r="C7" s="2" t="s">
        <v>167</v>
      </c>
      <c r="D7" s="51" t="s">
        <v>194</v>
      </c>
      <c r="E7" s="53" t="s">
        <v>194</v>
      </c>
      <c r="F7" s="52" t="s">
        <v>194</v>
      </c>
      <c r="G7" s="54" t="s">
        <v>195</v>
      </c>
      <c r="H7" s="50" t="s">
        <v>194</v>
      </c>
      <c r="I7" s="50" t="s">
        <v>194</v>
      </c>
      <c r="J7" s="50" t="s">
        <v>195</v>
      </c>
    </row>
    <row r="8" spans="2:10" x14ac:dyDescent="0.15">
      <c r="B8" s="2" t="s">
        <v>188</v>
      </c>
      <c r="C8" s="2" t="s">
        <v>168</v>
      </c>
      <c r="D8" s="51" t="s">
        <v>194</v>
      </c>
      <c r="E8" s="53" t="s">
        <v>194</v>
      </c>
      <c r="F8" s="52" t="s">
        <v>194</v>
      </c>
      <c r="G8" s="54" t="s">
        <v>195</v>
      </c>
      <c r="H8" s="50" t="s">
        <v>194</v>
      </c>
      <c r="I8" s="50" t="s">
        <v>194</v>
      </c>
      <c r="J8" s="50" t="s">
        <v>195</v>
      </c>
    </row>
    <row r="9" spans="2:10" x14ac:dyDescent="0.15">
      <c r="B9" s="2" t="s">
        <v>188</v>
      </c>
      <c r="C9" s="2" t="s">
        <v>169</v>
      </c>
      <c r="D9" s="51" t="s">
        <v>194</v>
      </c>
      <c r="E9" s="53" t="s">
        <v>195</v>
      </c>
      <c r="F9" s="52" t="s">
        <v>194</v>
      </c>
      <c r="G9" s="54" t="s">
        <v>196</v>
      </c>
      <c r="H9" s="50" t="s">
        <v>195</v>
      </c>
      <c r="I9" s="50" t="s">
        <v>194</v>
      </c>
      <c r="J9" s="50" t="s">
        <v>194</v>
      </c>
    </row>
    <row r="10" spans="2:10" x14ac:dyDescent="0.15">
      <c r="B10" s="2" t="s">
        <v>188</v>
      </c>
      <c r="C10" s="2" t="s">
        <v>170</v>
      </c>
      <c r="D10" s="51" t="s">
        <v>194</v>
      </c>
      <c r="E10" s="53" t="s">
        <v>194</v>
      </c>
      <c r="F10" s="52" t="s">
        <v>195</v>
      </c>
      <c r="G10" s="54" t="s">
        <v>194</v>
      </c>
      <c r="H10" s="50" t="s">
        <v>195</v>
      </c>
      <c r="I10" s="50" t="s">
        <v>194</v>
      </c>
      <c r="J10" s="50" t="s">
        <v>194</v>
      </c>
    </row>
    <row r="11" spans="2:10" x14ac:dyDescent="0.15">
      <c r="B11" s="2" t="s">
        <v>188</v>
      </c>
      <c r="C11" s="2" t="s">
        <v>171</v>
      </c>
      <c r="D11" s="51" t="s">
        <v>195</v>
      </c>
      <c r="E11" s="53" t="s">
        <v>196</v>
      </c>
      <c r="F11" s="52" t="s">
        <v>194</v>
      </c>
      <c r="G11" s="54" t="s">
        <v>194</v>
      </c>
      <c r="H11" s="50" t="s">
        <v>195</v>
      </c>
      <c r="I11" s="50" t="s">
        <v>194</v>
      </c>
      <c r="J11" s="50" t="s">
        <v>195</v>
      </c>
    </row>
    <row r="12" spans="2:10" x14ac:dyDescent="0.15">
      <c r="B12" s="2" t="s">
        <v>188</v>
      </c>
      <c r="C12" s="2" t="s">
        <v>172</v>
      </c>
      <c r="D12" s="51" t="s">
        <v>195</v>
      </c>
      <c r="E12" s="53" t="s">
        <v>194</v>
      </c>
      <c r="F12" s="52" t="s">
        <v>194</v>
      </c>
      <c r="G12" s="54" t="s">
        <v>194</v>
      </c>
      <c r="H12" s="50" t="s">
        <v>195</v>
      </c>
      <c r="I12" s="50" t="s">
        <v>194</v>
      </c>
      <c r="J12" s="50" t="s">
        <v>194</v>
      </c>
    </row>
    <row r="13" spans="2:10" x14ac:dyDescent="0.15">
      <c r="B13" s="2" t="s">
        <v>189</v>
      </c>
      <c r="C13" s="2" t="s">
        <v>162</v>
      </c>
      <c r="D13" s="51" t="s">
        <v>195</v>
      </c>
      <c r="E13" s="53" t="s">
        <v>196</v>
      </c>
      <c r="F13" s="52" t="s">
        <v>196</v>
      </c>
      <c r="G13" s="54" t="s">
        <v>196</v>
      </c>
      <c r="H13" s="50" t="s">
        <v>196</v>
      </c>
      <c r="I13" s="50" t="s">
        <v>195</v>
      </c>
      <c r="J13" s="50" t="s">
        <v>196</v>
      </c>
    </row>
    <row r="14" spans="2:10" x14ac:dyDescent="0.15">
      <c r="B14" s="2" t="s">
        <v>189</v>
      </c>
      <c r="C14" s="2" t="s">
        <v>163</v>
      </c>
      <c r="D14" s="51" t="s">
        <v>196</v>
      </c>
      <c r="E14" s="53" t="s">
        <v>195</v>
      </c>
      <c r="F14" s="52" t="s">
        <v>196</v>
      </c>
      <c r="G14" s="54" t="s">
        <v>196</v>
      </c>
      <c r="H14" s="50" t="s">
        <v>196</v>
      </c>
      <c r="I14" s="50" t="s">
        <v>195</v>
      </c>
      <c r="J14" s="50" t="s">
        <v>196</v>
      </c>
    </row>
    <row r="15" spans="2:10" x14ac:dyDescent="0.15">
      <c r="B15" s="2" t="s">
        <v>189</v>
      </c>
      <c r="C15" s="2" t="s">
        <v>164</v>
      </c>
      <c r="D15" s="51" t="s">
        <v>196</v>
      </c>
      <c r="E15" s="53" t="s">
        <v>196</v>
      </c>
      <c r="F15" s="52" t="s">
        <v>196</v>
      </c>
      <c r="G15" s="54" t="s">
        <v>195</v>
      </c>
      <c r="H15" s="50" t="s">
        <v>196</v>
      </c>
      <c r="I15" s="50" t="s">
        <v>195</v>
      </c>
      <c r="J15" s="50" t="s">
        <v>196</v>
      </c>
    </row>
    <row r="16" spans="2:10" x14ac:dyDescent="0.15">
      <c r="B16" s="2" t="s">
        <v>189</v>
      </c>
      <c r="C16" s="2" t="s">
        <v>165</v>
      </c>
      <c r="D16" s="51" t="s">
        <v>196</v>
      </c>
      <c r="E16" s="53" t="s">
        <v>196</v>
      </c>
      <c r="F16" s="52" t="s">
        <v>195</v>
      </c>
      <c r="G16" s="54" t="s">
        <v>196</v>
      </c>
      <c r="H16" s="50" t="s">
        <v>196</v>
      </c>
      <c r="I16" s="50" t="s">
        <v>195</v>
      </c>
      <c r="J16" s="50" t="s">
        <v>196</v>
      </c>
    </row>
    <row r="17" spans="2:10" x14ac:dyDescent="0.15">
      <c r="B17" s="2" t="s">
        <v>189</v>
      </c>
      <c r="C17" s="2" t="s">
        <v>173</v>
      </c>
      <c r="D17" s="51" t="s">
        <v>195</v>
      </c>
      <c r="E17" s="53" t="s">
        <v>196</v>
      </c>
      <c r="F17" s="52" t="s">
        <v>196</v>
      </c>
      <c r="G17" s="54" t="s">
        <v>196</v>
      </c>
      <c r="H17" s="50" t="s">
        <v>196</v>
      </c>
      <c r="I17" s="50" t="s">
        <v>195</v>
      </c>
      <c r="J17" s="50" t="s">
        <v>194</v>
      </c>
    </row>
    <row r="18" spans="2:10" x14ac:dyDescent="0.15">
      <c r="B18" s="2" t="s">
        <v>189</v>
      </c>
      <c r="C18" s="2" t="s">
        <v>174</v>
      </c>
      <c r="D18" s="51" t="s">
        <v>196</v>
      </c>
      <c r="E18" s="53" t="s">
        <v>195</v>
      </c>
      <c r="F18" s="52" t="s">
        <v>196</v>
      </c>
      <c r="G18" s="54" t="s">
        <v>196</v>
      </c>
      <c r="H18" s="50" t="s">
        <v>196</v>
      </c>
      <c r="I18" s="50" t="s">
        <v>195</v>
      </c>
      <c r="J18" s="50" t="s">
        <v>194</v>
      </c>
    </row>
    <row r="19" spans="2:10" x14ac:dyDescent="0.15">
      <c r="B19" s="2" t="s">
        <v>189</v>
      </c>
      <c r="C19" s="2" t="s">
        <v>175</v>
      </c>
      <c r="D19" s="51" t="s">
        <v>196</v>
      </c>
      <c r="E19" s="53" t="s">
        <v>196</v>
      </c>
      <c r="F19" s="52" t="s">
        <v>196</v>
      </c>
      <c r="G19" s="54" t="s">
        <v>195</v>
      </c>
      <c r="H19" s="50" t="s">
        <v>196</v>
      </c>
      <c r="I19" s="50" t="s">
        <v>195</v>
      </c>
      <c r="J19" s="50" t="s">
        <v>194</v>
      </c>
    </row>
    <row r="20" spans="2:10" x14ac:dyDescent="0.15">
      <c r="B20" s="2" t="s">
        <v>189</v>
      </c>
      <c r="C20" s="2" t="s">
        <v>176</v>
      </c>
      <c r="D20" s="51" t="s">
        <v>196</v>
      </c>
      <c r="E20" s="53" t="s">
        <v>196</v>
      </c>
      <c r="F20" s="52" t="s">
        <v>195</v>
      </c>
      <c r="G20" s="54" t="s">
        <v>196</v>
      </c>
      <c r="H20" s="50" t="s">
        <v>196</v>
      </c>
      <c r="I20" s="50" t="s">
        <v>195</v>
      </c>
      <c r="J20" s="50" t="s">
        <v>194</v>
      </c>
    </row>
    <row r="21" spans="2:10" x14ac:dyDescent="0.15">
      <c r="B21" s="2" t="s">
        <v>189</v>
      </c>
      <c r="C21" s="2" t="s">
        <v>177</v>
      </c>
      <c r="D21" s="51" t="s">
        <v>195</v>
      </c>
      <c r="E21" s="53" t="s">
        <v>196</v>
      </c>
      <c r="F21" s="52" t="s">
        <v>196</v>
      </c>
      <c r="G21" s="54" t="s">
        <v>196</v>
      </c>
      <c r="H21" s="50" t="s">
        <v>195</v>
      </c>
      <c r="I21" s="50" t="s">
        <v>194</v>
      </c>
      <c r="J21" s="50" t="s">
        <v>196</v>
      </c>
    </row>
    <row r="22" spans="2:10" x14ac:dyDescent="0.15">
      <c r="B22" s="2" t="s">
        <v>189</v>
      </c>
      <c r="C22" s="2" t="s">
        <v>178</v>
      </c>
      <c r="D22" s="51" t="s">
        <v>196</v>
      </c>
      <c r="E22" s="53" t="s">
        <v>195</v>
      </c>
      <c r="F22" s="52" t="s">
        <v>196</v>
      </c>
      <c r="G22" s="54" t="s">
        <v>196</v>
      </c>
      <c r="H22" s="50" t="s">
        <v>195</v>
      </c>
      <c r="I22" s="50" t="s">
        <v>194</v>
      </c>
      <c r="J22" s="50" t="s">
        <v>196</v>
      </c>
    </row>
    <row r="23" spans="2:10" x14ac:dyDescent="0.15">
      <c r="B23" s="2" t="s">
        <v>189</v>
      </c>
      <c r="C23" s="2" t="s">
        <v>179</v>
      </c>
      <c r="D23" s="51" t="s">
        <v>196</v>
      </c>
      <c r="E23" s="53" t="s">
        <v>196</v>
      </c>
      <c r="F23" s="52" t="s">
        <v>195</v>
      </c>
      <c r="G23" s="54" t="s">
        <v>196</v>
      </c>
      <c r="H23" s="50" t="s">
        <v>195</v>
      </c>
      <c r="I23" s="50" t="s">
        <v>194</v>
      </c>
      <c r="J23" s="50" t="s">
        <v>196</v>
      </c>
    </row>
    <row r="24" spans="2:10" x14ac:dyDescent="0.15">
      <c r="B24" s="2" t="s">
        <v>189</v>
      </c>
      <c r="C24" s="2" t="s">
        <v>180</v>
      </c>
      <c r="D24" s="51" t="s">
        <v>196</v>
      </c>
      <c r="E24" s="53" t="s">
        <v>196</v>
      </c>
      <c r="F24" s="52" t="s">
        <v>196</v>
      </c>
      <c r="G24" s="54" t="s">
        <v>195</v>
      </c>
      <c r="H24" s="50" t="s">
        <v>195</v>
      </c>
      <c r="I24" s="50" t="s">
        <v>194</v>
      </c>
      <c r="J24" s="50" t="s">
        <v>196</v>
      </c>
    </row>
    <row r="25" spans="2:10" x14ac:dyDescent="0.15">
      <c r="B25" s="2" t="s">
        <v>190</v>
      </c>
      <c r="C25" s="2" t="s">
        <v>181</v>
      </c>
      <c r="D25" s="51" t="s">
        <v>196</v>
      </c>
      <c r="E25" s="53" t="s">
        <v>195</v>
      </c>
      <c r="F25" s="52" t="s">
        <v>194</v>
      </c>
      <c r="G25" s="54" t="s">
        <v>194</v>
      </c>
      <c r="H25" s="50" t="s">
        <v>196</v>
      </c>
      <c r="I25" s="50" t="s">
        <v>194</v>
      </c>
      <c r="J25" s="50" t="s">
        <v>195</v>
      </c>
    </row>
    <row r="26" spans="2:10" x14ac:dyDescent="0.15">
      <c r="B26" s="2" t="s">
        <v>190</v>
      </c>
      <c r="C26" s="2" t="s">
        <v>182</v>
      </c>
      <c r="D26" s="51" t="s">
        <v>195</v>
      </c>
      <c r="E26" s="53" t="s">
        <v>194</v>
      </c>
      <c r="F26" s="52" t="s">
        <v>196</v>
      </c>
      <c r="G26" s="54" t="s">
        <v>194</v>
      </c>
      <c r="H26" s="50" t="s">
        <v>195</v>
      </c>
      <c r="I26" s="50" t="s">
        <v>196</v>
      </c>
      <c r="J26" s="50" t="s">
        <v>194</v>
      </c>
    </row>
    <row r="27" spans="2:10" x14ac:dyDescent="0.15">
      <c r="B27" s="2" t="s">
        <v>190</v>
      </c>
      <c r="C27" s="2" t="s">
        <v>183</v>
      </c>
      <c r="D27" s="51" t="s">
        <v>194</v>
      </c>
      <c r="E27" s="53" t="s">
        <v>195</v>
      </c>
      <c r="F27" s="52" t="s">
        <v>194</v>
      </c>
      <c r="G27" s="54" t="s">
        <v>196</v>
      </c>
      <c r="H27" s="50" t="s">
        <v>195</v>
      </c>
      <c r="I27" s="50" t="s">
        <v>196</v>
      </c>
      <c r="J27" s="50" t="s">
        <v>194</v>
      </c>
    </row>
    <row r="28" spans="2:10" x14ac:dyDescent="0.15">
      <c r="B28" s="2" t="s">
        <v>190</v>
      </c>
      <c r="C28" s="2" t="s">
        <v>184</v>
      </c>
      <c r="D28" s="51" t="s">
        <v>194</v>
      </c>
      <c r="E28" s="53" t="s">
        <v>196</v>
      </c>
      <c r="F28" s="52" t="s">
        <v>195</v>
      </c>
      <c r="G28" s="54" t="s">
        <v>194</v>
      </c>
      <c r="H28" s="50" t="s">
        <v>194</v>
      </c>
      <c r="I28" s="50" t="s">
        <v>196</v>
      </c>
      <c r="J28" s="50" t="s">
        <v>195</v>
      </c>
    </row>
    <row r="29" spans="2:10" x14ac:dyDescent="0.15">
      <c r="B29" s="2" t="s">
        <v>190</v>
      </c>
      <c r="C29" s="2" t="s">
        <v>185</v>
      </c>
      <c r="D29" s="51" t="s">
        <v>195</v>
      </c>
      <c r="E29" s="53" t="s">
        <v>196</v>
      </c>
      <c r="F29" s="52" t="s">
        <v>196</v>
      </c>
      <c r="G29" s="54" t="s">
        <v>196</v>
      </c>
      <c r="H29" s="50" t="s">
        <v>196</v>
      </c>
      <c r="I29" s="50" t="s">
        <v>195</v>
      </c>
      <c r="J29" s="50" t="s">
        <v>196</v>
      </c>
    </row>
    <row r="30" spans="2:10" x14ac:dyDescent="0.15">
      <c r="B30" s="2" t="s">
        <v>190</v>
      </c>
      <c r="C30" s="2" t="s">
        <v>186</v>
      </c>
      <c r="D30" s="51" t="s">
        <v>196</v>
      </c>
      <c r="E30" s="53" t="s">
        <v>195</v>
      </c>
      <c r="F30" s="52" t="s">
        <v>196</v>
      </c>
      <c r="G30" s="54" t="s">
        <v>194</v>
      </c>
      <c r="H30" s="50" t="s">
        <v>194</v>
      </c>
      <c r="I30" s="50" t="s">
        <v>195</v>
      </c>
      <c r="J30" s="50" t="s">
        <v>196</v>
      </c>
    </row>
  </sheetData>
  <phoneticPr fontId="2" type="noConversion"/>
  <conditionalFormatting sqref="D3:J30">
    <cfRule type="cellIs" dxfId="0" priority="1" operator="equal">
      <formula>"弱"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workbookViewId="0">
      <selection activeCell="B3" sqref="B3:D13"/>
    </sheetView>
  </sheetViews>
  <sheetFormatPr defaultRowHeight="11.25" x14ac:dyDescent="0.15"/>
  <cols>
    <col min="1" max="16384" width="9" style="1"/>
  </cols>
  <sheetData>
    <row r="3" spans="2:4" x14ac:dyDescent="0.15">
      <c r="B3" s="2" t="s">
        <v>283</v>
      </c>
      <c r="C3" s="2" t="s">
        <v>284</v>
      </c>
      <c r="D3" s="2" t="s">
        <v>285</v>
      </c>
    </row>
    <row r="4" spans="2:4" x14ac:dyDescent="0.15">
      <c r="B4" s="2">
        <v>1</v>
      </c>
      <c r="C4" s="2">
        <v>1</v>
      </c>
      <c r="D4" s="17">
        <v>42.4</v>
      </c>
    </row>
    <row r="5" spans="2:4" x14ac:dyDescent="0.15">
      <c r="B5" s="2">
        <v>2</v>
      </c>
      <c r="C5" s="2">
        <v>2</v>
      </c>
      <c r="D5" s="17">
        <v>84.8</v>
      </c>
    </row>
    <row r="6" spans="2:4" x14ac:dyDescent="0.15">
      <c r="B6" s="2">
        <v>3</v>
      </c>
      <c r="C6" s="2">
        <v>3</v>
      </c>
      <c r="D6" s="17">
        <v>127.2</v>
      </c>
    </row>
    <row r="7" spans="2:4" x14ac:dyDescent="0.15">
      <c r="B7" s="2">
        <v>4</v>
      </c>
      <c r="C7" s="2">
        <v>4</v>
      </c>
      <c r="D7" s="17">
        <v>169.6</v>
      </c>
    </row>
    <row r="8" spans="2:4" x14ac:dyDescent="0.15">
      <c r="B8" s="2">
        <v>5</v>
      </c>
      <c r="C8" s="2">
        <v>5</v>
      </c>
      <c r="D8" s="17">
        <v>212</v>
      </c>
    </row>
    <row r="9" spans="2:4" x14ac:dyDescent="0.15">
      <c r="B9" s="2">
        <v>6</v>
      </c>
      <c r="C9" s="2">
        <v>6</v>
      </c>
      <c r="D9" s="17">
        <v>254.4</v>
      </c>
    </row>
    <row r="10" spans="2:4" x14ac:dyDescent="0.15">
      <c r="B10" s="2">
        <v>7</v>
      </c>
      <c r="C10" s="2">
        <v>7</v>
      </c>
      <c r="D10" s="17">
        <v>296.8</v>
      </c>
    </row>
    <row r="11" spans="2:4" x14ac:dyDescent="0.15">
      <c r="B11" s="2">
        <v>8</v>
      </c>
      <c r="C11" s="2">
        <v>8</v>
      </c>
      <c r="D11" s="17">
        <v>339.2</v>
      </c>
    </row>
    <row r="12" spans="2:4" x14ac:dyDescent="0.15">
      <c r="B12" s="2">
        <v>9</v>
      </c>
      <c r="C12" s="2">
        <v>9</v>
      </c>
      <c r="D12" s="17">
        <v>381.6</v>
      </c>
    </row>
    <row r="13" spans="2:4" x14ac:dyDescent="0.15">
      <c r="B13" s="2">
        <v>10</v>
      </c>
      <c r="C13" s="2">
        <v>10</v>
      </c>
      <c r="D13" s="17">
        <v>424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怪物属性规划</vt:lpstr>
      <vt:lpstr>角色属性</vt:lpstr>
      <vt:lpstr>圣火属性</vt:lpstr>
      <vt:lpstr>技能效果</vt:lpstr>
      <vt:lpstr>怪物属性等级系数</vt:lpstr>
      <vt:lpstr>关卡等级</vt:lpstr>
      <vt:lpstr>怪物列表</vt:lpstr>
      <vt:lpstr>神器属性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2016-03-02T07:15:23Z</dcterms:created>
  <dcterms:modified xsi:type="dcterms:W3CDTF">2016-07-21T06:23:52Z</dcterms:modified>
</cp:coreProperties>
</file>