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2.xml" ContentType="application/vnd.openxmlformats-officedocument.spreadsheetml.comments+xml"/>
  <Override PartName="/xl/drawings/drawing8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ate1904="1"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bjornlunden.sharepoint.com/Tidrapporter/2021/06. juni/"/>
    </mc:Choice>
  </mc:AlternateContent>
  <xr:revisionPtr revIDLastSave="208" documentId="8_{0B364B2E-2D25-443B-BB0E-779405DE3ADC}" xr6:coauthVersionLast="46" xr6:coauthVersionMax="47" xr10:uidLastSave="{974BD254-DF65-4D4B-BAC2-131BFBE2906B}"/>
  <workbookProtection workbookAlgorithmName="SHA-512" workbookHashValue="8hYObhNKlOTgmCY7qmZPMv96fnV4P4qm+s5+a00NbHboOS6xt1Ah2p2k9lbh9XIjHM+4jTLBeADVMvH2pfS+QA==" workbookSaltValue="u6v6oblaBLtlkocXM5lQqA==" workbookSpinCount="100000" lockStructure="1"/>
  <bookViews>
    <workbookView xWindow="-108" yWindow="-108" windowWidth="23256" windowHeight="13176" tabRatio="668" xr2:uid="{00000000-000D-0000-FFFF-FFFF00000000}"/>
  </bookViews>
  <sheets>
    <sheet name="Tidrapport" sheetId="45" r:id="rId1"/>
    <sheet name="Utlägg" sheetId="34" r:id="rId2"/>
    <sheet name="Bilersättning" sheetId="33" r:id="rId3"/>
    <sheet name="Inrikes traktamente" sheetId="46" r:id="rId4"/>
    <sheet name="Utrikes traktamente" sheetId="47" r:id="rId5"/>
    <sheet name="Grunddata" sheetId="38" state="hidden" r:id="rId6"/>
    <sheet name="Utrikes traktamente v1" sheetId="32" state="hidden" r:id="rId7"/>
    <sheet name="Tidrapport (jan)" sheetId="49" state="hidden" r:id="rId8"/>
    <sheet name="Tidrapport (2)" sheetId="50" state="hidden" r:id="rId9"/>
    <sheet name="Röda dagar" sheetId="48" state="hidden" r:id="rId10"/>
  </sheets>
  <definedNames>
    <definedName name="_xlnm._FilterDatabase" localSheetId="9" hidden="1">'Röda dagar'!$B$6:$B$118</definedName>
    <definedName name="_xlnm.Print_Area" localSheetId="0">Tidrapport!$A$1:$AE$44</definedName>
    <definedName name="_xlnm.Print_Area" localSheetId="8">'Tidrapport (2)'!$A$1:$AG$44</definedName>
    <definedName name="_xlnm.Print_Area" localSheetId="7">'Tidrapport (jan)'!$A$1:$AG$44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8" i="48" l="1"/>
  <c r="G129" i="48"/>
  <c r="G130" i="48"/>
  <c r="G127" i="48"/>
  <c r="K16" i="45"/>
  <c r="R132" i="38"/>
  <c r="G126" i="48" l="1"/>
  <c r="S132" i="38" s="1"/>
  <c r="AF15" i="45"/>
  <c r="AF16" i="45"/>
  <c r="AF17" i="45"/>
  <c r="AF18" i="45"/>
  <c r="AF19" i="45"/>
  <c r="AF20" i="45"/>
  <c r="AF21" i="45"/>
  <c r="AF22" i="45"/>
  <c r="AF23" i="45"/>
  <c r="AF24" i="45"/>
  <c r="AF25" i="45"/>
  <c r="AF26" i="45"/>
  <c r="AF27" i="45"/>
  <c r="AF28" i="45"/>
  <c r="AF29" i="45"/>
  <c r="AF30" i="45"/>
  <c r="AF31" i="45"/>
  <c r="AF32" i="45"/>
  <c r="AF33" i="45"/>
  <c r="AF34" i="45"/>
  <c r="AF35" i="45"/>
  <c r="AF36" i="45"/>
  <c r="AF37" i="45"/>
  <c r="AF38" i="45"/>
  <c r="AF39" i="45"/>
  <c r="AF40" i="45"/>
  <c r="AF41" i="45"/>
  <c r="AF12" i="45"/>
  <c r="AF14" i="45"/>
  <c r="K15" i="45" l="1"/>
  <c r="R121" i="38"/>
  <c r="S121" i="38" s="1"/>
  <c r="R96" i="38"/>
  <c r="S96" i="38" s="1"/>
  <c r="R138" i="38"/>
  <c r="S138" i="38" s="1"/>
  <c r="R139" i="38"/>
  <c r="R140" i="38"/>
  <c r="R141" i="38"/>
  <c r="S141" i="38" s="1"/>
  <c r="R142" i="38"/>
  <c r="S142" i="38" s="1"/>
  <c r="R143" i="38"/>
  <c r="R144" i="38"/>
  <c r="R145" i="38"/>
  <c r="S145" i="38" s="1"/>
  <c r="R146" i="38"/>
  <c r="S146" i="38" s="1"/>
  <c r="R147" i="38"/>
  <c r="R148" i="38"/>
  <c r="R149" i="38"/>
  <c r="S149" i="38" s="1"/>
  <c r="R150" i="38"/>
  <c r="S150" i="38" s="1"/>
  <c r="R151" i="38"/>
  <c r="S151" i="38" s="1"/>
  <c r="R152" i="38"/>
  <c r="R153" i="38"/>
  <c r="S153" i="38" s="1"/>
  <c r="R154" i="38"/>
  <c r="S154" i="38" s="1"/>
  <c r="R155" i="38"/>
  <c r="S155" i="38" s="1"/>
  <c r="R156" i="38"/>
  <c r="S156" i="38" s="1"/>
  <c r="R157" i="38"/>
  <c r="S157" i="38" s="1"/>
  <c r="R158" i="38"/>
  <c r="S158" i="38" s="1"/>
  <c r="R159" i="38"/>
  <c r="R160" i="38"/>
  <c r="R161" i="38"/>
  <c r="S161" i="38" s="1"/>
  <c r="R162" i="38"/>
  <c r="S162" i="38" s="1"/>
  <c r="R163" i="38"/>
  <c r="S163" i="38" s="1"/>
  <c r="R164" i="38"/>
  <c r="S164" i="38" s="1"/>
  <c r="R165" i="38"/>
  <c r="S165" i="38" s="1"/>
  <c r="R166" i="38"/>
  <c r="S166" i="38" s="1"/>
  <c r="R167" i="38"/>
  <c r="S167" i="38" s="1"/>
  <c r="R168" i="38"/>
  <c r="S168" i="38" s="1"/>
  <c r="R169" i="38"/>
  <c r="S169" i="38" s="1"/>
  <c r="R170" i="38"/>
  <c r="S170" i="38" s="1"/>
  <c r="R171" i="38"/>
  <c r="S171" i="38" s="1"/>
  <c r="R172" i="38"/>
  <c r="S172" i="38" s="1"/>
  <c r="R173" i="38"/>
  <c r="S173" i="38" s="1"/>
  <c r="R174" i="38"/>
  <c r="S174" i="38" s="1"/>
  <c r="R137" i="38"/>
  <c r="S137" i="38" s="1"/>
  <c r="R133" i="38"/>
  <c r="S133" i="38" s="1"/>
  <c r="R134" i="38"/>
  <c r="S134" i="38" s="1"/>
  <c r="R135" i="38"/>
  <c r="S135" i="38" s="1"/>
  <c r="R136" i="38"/>
  <c r="S136" i="38" s="1"/>
  <c r="S152" i="38"/>
  <c r="S159" i="38"/>
  <c r="S160" i="38"/>
  <c r="S139" i="38"/>
  <c r="S140" i="38"/>
  <c r="S143" i="38"/>
  <c r="S144" i="38"/>
  <c r="S147" i="38"/>
  <c r="S148" i="38"/>
  <c r="G13" i="48"/>
  <c r="G123" i="48" l="1"/>
  <c r="R129" i="38" s="1"/>
  <c r="S129" i="38" s="1"/>
  <c r="G124" i="48"/>
  <c r="R130" i="38" s="1"/>
  <c r="S130" i="38" s="1"/>
  <c r="G125" i="48"/>
  <c r="R131" i="38" s="1"/>
  <c r="S131" i="38" s="1"/>
  <c r="P10" i="46" l="1"/>
  <c r="P11" i="46"/>
  <c r="P12" i="46"/>
  <c r="P13" i="46"/>
  <c r="P14" i="46"/>
  <c r="P15" i="46"/>
  <c r="P16" i="46"/>
  <c r="P17" i="46"/>
  <c r="P18" i="46"/>
  <c r="P19" i="46"/>
  <c r="P20" i="46"/>
  <c r="P21" i="46"/>
  <c r="P22" i="46"/>
  <c r="P23" i="46"/>
  <c r="P24" i="46"/>
  <c r="P25" i="46"/>
  <c r="P26" i="46"/>
  <c r="P27" i="46"/>
  <c r="P28" i="46"/>
  <c r="P29" i="46"/>
  <c r="P30" i="46"/>
  <c r="J4" i="45"/>
  <c r="P9" i="46"/>
  <c r="K22" i="45" l="1"/>
  <c r="K36" i="45" l="1"/>
  <c r="V26" i="45"/>
  <c r="V27" i="45"/>
  <c r="V28" i="45"/>
  <c r="V29" i="45"/>
  <c r="V30" i="45"/>
  <c r="V31" i="45"/>
  <c r="V32" i="45"/>
  <c r="V33" i="45"/>
  <c r="V34" i="45"/>
  <c r="V35" i="45"/>
  <c r="V39" i="45"/>
  <c r="V41" i="45"/>
  <c r="V24" i="45"/>
  <c r="V25" i="45"/>
  <c r="K17" i="45" l="1"/>
  <c r="K14" i="45" l="1"/>
  <c r="K23" i="45"/>
  <c r="K24" i="45"/>
  <c r="K29" i="45"/>
  <c r="K30" i="45"/>
  <c r="K31" i="45"/>
  <c r="K21" i="45" l="1"/>
  <c r="K20" i="45"/>
  <c r="G122" i="48"/>
  <c r="R128" i="38" s="1"/>
  <c r="S128" i="38" s="1"/>
  <c r="G121" i="48"/>
  <c r="R127" i="38" s="1"/>
  <c r="S127" i="38" s="1"/>
  <c r="G18" i="48"/>
  <c r="G19" i="48"/>
  <c r="G20" i="48"/>
  <c r="G21" i="48"/>
  <c r="G22" i="48"/>
  <c r="G23" i="48"/>
  <c r="G24" i="48"/>
  <c r="G25" i="48"/>
  <c r="G26" i="48"/>
  <c r="G27" i="48"/>
  <c r="G28" i="48"/>
  <c r="G29" i="48"/>
  <c r="G30" i="48"/>
  <c r="G31" i="48"/>
  <c r="G32" i="48"/>
  <c r="G33" i="48"/>
  <c r="G34" i="48"/>
  <c r="G35" i="48"/>
  <c r="G36" i="48"/>
  <c r="G37" i="48"/>
  <c r="G38" i="48"/>
  <c r="G39" i="48"/>
  <c r="G40" i="48"/>
  <c r="G41" i="48"/>
  <c r="G42" i="48"/>
  <c r="G43" i="48"/>
  <c r="G44" i="48"/>
  <c r="G45" i="48"/>
  <c r="G46" i="48"/>
  <c r="G47" i="48"/>
  <c r="G48" i="48"/>
  <c r="G49" i="48"/>
  <c r="G50" i="48"/>
  <c r="G51" i="48"/>
  <c r="G52" i="48"/>
  <c r="G53" i="48"/>
  <c r="G54" i="48"/>
  <c r="G55" i="48"/>
  <c r="G56" i="48"/>
  <c r="G57" i="48"/>
  <c r="G58" i="48"/>
  <c r="G59" i="48"/>
  <c r="G60" i="48"/>
  <c r="G61" i="48"/>
  <c r="G62" i="48"/>
  <c r="G63" i="48"/>
  <c r="G64" i="48"/>
  <c r="G65" i="48"/>
  <c r="G66" i="48"/>
  <c r="G67" i="48"/>
  <c r="G68" i="48"/>
  <c r="G69" i="48"/>
  <c r="G70" i="48"/>
  <c r="G71" i="48"/>
  <c r="G72" i="48"/>
  <c r="G73" i="48"/>
  <c r="G74" i="48"/>
  <c r="G75" i="48"/>
  <c r="G76" i="48"/>
  <c r="G77" i="48"/>
  <c r="G78" i="48"/>
  <c r="G79" i="48"/>
  <c r="G80" i="48"/>
  <c r="G81" i="48"/>
  <c r="G82" i="48"/>
  <c r="G83" i="48"/>
  <c r="G84" i="48"/>
  <c r="G85" i="48"/>
  <c r="G86" i="48"/>
  <c r="G87" i="48"/>
  <c r="G88" i="48"/>
  <c r="G89" i="48"/>
  <c r="G90" i="48"/>
  <c r="G91" i="48"/>
  <c r="G92" i="48"/>
  <c r="G93" i="48"/>
  <c r="G94" i="48"/>
  <c r="G95" i="48"/>
  <c r="G96" i="48"/>
  <c r="G97" i="48"/>
  <c r="G98" i="48"/>
  <c r="G99" i="48"/>
  <c r="G100" i="48"/>
  <c r="G101" i="48"/>
  <c r="G102" i="48"/>
  <c r="G103" i="48"/>
  <c r="G104" i="48"/>
  <c r="G105" i="48"/>
  <c r="G106" i="48"/>
  <c r="G107" i="48"/>
  <c r="G108" i="48"/>
  <c r="G109" i="48"/>
  <c r="G110" i="48"/>
  <c r="G111" i="48"/>
  <c r="G112" i="48"/>
  <c r="G113" i="48"/>
  <c r="G114" i="48"/>
  <c r="G115" i="48"/>
  <c r="G116" i="48"/>
  <c r="G117" i="48"/>
  <c r="R123" i="38" s="1"/>
  <c r="S123" i="38" s="1"/>
  <c r="G118" i="48"/>
  <c r="R124" i="38" s="1"/>
  <c r="S124" i="38" s="1"/>
  <c r="G119" i="48"/>
  <c r="R125" i="38" s="1"/>
  <c r="S125" i="38" s="1"/>
  <c r="G120" i="48"/>
  <c r="R126" i="38" s="1"/>
  <c r="S126" i="38" s="1"/>
  <c r="G6" i="48"/>
  <c r="G7" i="48"/>
  <c r="G8" i="48"/>
  <c r="G9" i="48"/>
  <c r="G10" i="48"/>
  <c r="G11" i="48"/>
  <c r="G12" i="48"/>
  <c r="G14" i="48"/>
  <c r="G15" i="48"/>
  <c r="G16" i="48"/>
  <c r="G17" i="48"/>
  <c r="G5" i="48"/>
  <c r="K131" i="48"/>
  <c r="L131" i="48" s="1"/>
  <c r="M131" i="48" s="1"/>
  <c r="N131" i="48" s="1"/>
  <c r="K132" i="48"/>
  <c r="L132" i="48" s="1"/>
  <c r="M132" i="48" s="1"/>
  <c r="N132" i="48" s="1"/>
  <c r="K133" i="48"/>
  <c r="L133" i="48" s="1"/>
  <c r="M133" i="48" s="1"/>
  <c r="N133" i="48" s="1"/>
  <c r="K130" i="48"/>
  <c r="L130" i="48" s="1"/>
  <c r="M130" i="48" s="1"/>
  <c r="N130" i="48" s="1"/>
  <c r="K125" i="48"/>
  <c r="L125" i="48" s="1"/>
  <c r="M125" i="48" s="1"/>
  <c r="N125" i="48" s="1"/>
  <c r="K126" i="48"/>
  <c r="L126" i="48" s="1"/>
  <c r="M126" i="48" s="1"/>
  <c r="N126" i="48" s="1"/>
  <c r="K127" i="48"/>
  <c r="L127" i="48" s="1"/>
  <c r="M127" i="48" s="1"/>
  <c r="N127" i="48" s="1"/>
  <c r="K128" i="48"/>
  <c r="L128" i="48" s="1"/>
  <c r="M128" i="48" s="1"/>
  <c r="N128" i="48" s="1"/>
  <c r="K129" i="48"/>
  <c r="L129" i="48" s="1"/>
  <c r="M129" i="48" s="1"/>
  <c r="N129" i="48" s="1"/>
  <c r="D120" i="48"/>
  <c r="D119" i="48"/>
  <c r="D118" i="48"/>
  <c r="D117" i="48"/>
  <c r="D116" i="48"/>
  <c r="D114" i="48"/>
  <c r="D113" i="48"/>
  <c r="D112" i="48"/>
  <c r="D111" i="48"/>
  <c r="D110" i="48"/>
  <c r="D109" i="48"/>
  <c r="D108" i="48"/>
  <c r="D107" i="48"/>
  <c r="D106" i="48"/>
  <c r="D105" i="48"/>
  <c r="D104" i="48"/>
  <c r="D103" i="48"/>
  <c r="D102" i="48"/>
  <c r="D101" i="48"/>
  <c r="D100" i="48"/>
  <c r="D99" i="48"/>
  <c r="D98" i="48"/>
  <c r="D97" i="48"/>
  <c r="D96" i="48"/>
  <c r="D95" i="48"/>
  <c r="D94" i="48"/>
  <c r="D93" i="48"/>
  <c r="D92" i="48"/>
  <c r="D91" i="48"/>
  <c r="D90" i="48"/>
  <c r="D89" i="48"/>
  <c r="D88" i="48"/>
  <c r="D87" i="48"/>
  <c r="D86" i="48"/>
  <c r="D85" i="48"/>
  <c r="D84" i="48"/>
  <c r="D83" i="48"/>
  <c r="D82" i="48"/>
  <c r="D81" i="48"/>
  <c r="D80" i="48"/>
  <c r="D79" i="48"/>
  <c r="D78" i="48"/>
  <c r="D77" i="48"/>
  <c r="D76" i="48"/>
  <c r="D75" i="48"/>
  <c r="D74" i="48"/>
  <c r="D73" i="48"/>
  <c r="D72" i="48"/>
  <c r="D71" i="48"/>
  <c r="D70" i="48"/>
  <c r="D69" i="48"/>
  <c r="D68" i="48"/>
  <c r="D67" i="48"/>
  <c r="D66" i="48"/>
  <c r="D65" i="48"/>
  <c r="D64" i="48"/>
  <c r="D63" i="48"/>
  <c r="D62" i="48"/>
  <c r="D61" i="48"/>
  <c r="D60" i="48"/>
  <c r="D59" i="48"/>
  <c r="D58" i="48"/>
  <c r="D57" i="48"/>
  <c r="D56" i="48"/>
  <c r="D55" i="48"/>
  <c r="D54" i="48"/>
  <c r="D53" i="48"/>
  <c r="D52" i="48"/>
  <c r="D51" i="48"/>
  <c r="D50" i="48"/>
  <c r="D49" i="48"/>
  <c r="D48" i="48"/>
  <c r="D47" i="48"/>
  <c r="D46" i="48"/>
  <c r="D45" i="48"/>
  <c r="D44" i="48"/>
  <c r="D43" i="48"/>
  <c r="D42" i="48"/>
  <c r="D41" i="48"/>
  <c r="D40" i="48"/>
  <c r="D39" i="48"/>
  <c r="D38" i="48"/>
  <c r="D37" i="48"/>
  <c r="D36" i="48"/>
  <c r="D35" i="48"/>
  <c r="D34" i="48"/>
  <c r="D33" i="48"/>
  <c r="D32" i="48"/>
  <c r="D31" i="48"/>
  <c r="D30" i="48"/>
  <c r="D29" i="48"/>
  <c r="D28" i="48"/>
  <c r="D27" i="48"/>
  <c r="D26" i="48"/>
  <c r="D25" i="48"/>
  <c r="D24" i="48"/>
  <c r="D23" i="48"/>
  <c r="D22" i="48"/>
  <c r="D21" i="48"/>
  <c r="D20" i="48"/>
  <c r="D19" i="48"/>
  <c r="D18" i="48"/>
  <c r="D17" i="48"/>
  <c r="D16" i="48"/>
  <c r="D15" i="48"/>
  <c r="D14" i="48"/>
  <c r="D13" i="48"/>
  <c r="D12" i="48"/>
  <c r="D11" i="48"/>
  <c r="D10" i="48"/>
  <c r="D9" i="48"/>
  <c r="D8" i="48"/>
  <c r="D7" i="48"/>
  <c r="D6" i="48"/>
  <c r="D5" i="48"/>
  <c r="K18" i="45" l="1"/>
  <c r="K19" i="45"/>
  <c r="K37" i="45"/>
  <c r="I41" i="45"/>
  <c r="I12" i="45"/>
  <c r="I13" i="45"/>
  <c r="I14" i="45"/>
  <c r="I15" i="45"/>
  <c r="I16" i="45"/>
  <c r="I17" i="45"/>
  <c r="I18" i="45"/>
  <c r="I19" i="45"/>
  <c r="I20" i="45"/>
  <c r="I21" i="45"/>
  <c r="I22" i="45"/>
  <c r="I23" i="45"/>
  <c r="I24" i="45"/>
  <c r="I25" i="45"/>
  <c r="I26" i="45"/>
  <c r="I27" i="45"/>
  <c r="I28" i="45"/>
  <c r="I29" i="45"/>
  <c r="I30" i="45"/>
  <c r="I31" i="45"/>
  <c r="I32" i="45"/>
  <c r="I33" i="45"/>
  <c r="I34" i="45"/>
  <c r="I35" i="45"/>
  <c r="I36" i="45"/>
  <c r="I37" i="45"/>
  <c r="I38" i="45"/>
  <c r="I39" i="45"/>
  <c r="I40" i="45"/>
  <c r="I42" i="45"/>
  <c r="K28" i="45" l="1"/>
  <c r="K27" i="45"/>
  <c r="K38" i="45"/>
  <c r="I43" i="45"/>
  <c r="K25" i="45" l="1"/>
  <c r="K26" i="45"/>
  <c r="AC18" i="45"/>
  <c r="AC20" i="45"/>
  <c r="AC22" i="45"/>
  <c r="AC23" i="45"/>
  <c r="AC24" i="45"/>
  <c r="AC25" i="45"/>
  <c r="AC26" i="45"/>
  <c r="AC27" i="45"/>
  <c r="AC28" i="45"/>
  <c r="AC29" i="45"/>
  <c r="AC30" i="45"/>
  <c r="AC31" i="45"/>
  <c r="AC32" i="45"/>
  <c r="AC33" i="45"/>
  <c r="AC34" i="45"/>
  <c r="AC35" i="45"/>
  <c r="AC36" i="45"/>
  <c r="AC37" i="45"/>
  <c r="AC38" i="45"/>
  <c r="AC39" i="45"/>
  <c r="AC40" i="45"/>
  <c r="AC41" i="45"/>
  <c r="AC42" i="45"/>
  <c r="AC12" i="45"/>
  <c r="AC13" i="45"/>
  <c r="AC15" i="45"/>
  <c r="AC16" i="45"/>
  <c r="AC17" i="45"/>
  <c r="AB18" i="45"/>
  <c r="AB20" i="45"/>
  <c r="AB22" i="45"/>
  <c r="AB23" i="45"/>
  <c r="AB25" i="45"/>
  <c r="AB27" i="45"/>
  <c r="AB29" i="45"/>
  <c r="AB30" i="45"/>
  <c r="AB32" i="45"/>
  <c r="AB34" i="45"/>
  <c r="AB36" i="45"/>
  <c r="AB37" i="45"/>
  <c r="AB39" i="45"/>
  <c r="AB41" i="45"/>
  <c r="AB13" i="45"/>
  <c r="AB15" i="45"/>
  <c r="AB16" i="45"/>
  <c r="G2" i="45"/>
  <c r="C1" i="38"/>
  <c r="AG38" i="45" s="1"/>
  <c r="AG41" i="45" l="1"/>
  <c r="AG22" i="45"/>
  <c r="AG36" i="45"/>
  <c r="AG17" i="45"/>
  <c r="AG20" i="45"/>
  <c r="AG24" i="45"/>
  <c r="AG21" i="45"/>
  <c r="AG31" i="45"/>
  <c r="AG29" i="45"/>
  <c r="AG30" i="45"/>
  <c r="AG23" i="45"/>
  <c r="AG18" i="45"/>
  <c r="AG19" i="45"/>
  <c r="AG28" i="45"/>
  <c r="AG27" i="45"/>
  <c r="AG25" i="45"/>
  <c r="AG37" i="45"/>
  <c r="AG26" i="45"/>
  <c r="Q123" i="38"/>
  <c r="Q124" i="38"/>
  <c r="Q125" i="38"/>
  <c r="AJ27" i="45" l="1"/>
  <c r="AJ31" i="45"/>
  <c r="AJ24" i="45"/>
  <c r="AJ28" i="45"/>
  <c r="AJ25" i="45"/>
  <c r="AJ29" i="45"/>
  <c r="AJ26" i="45"/>
  <c r="AJ30" i="45"/>
  <c r="B42" i="45" l="1"/>
  <c r="B12" i="45"/>
  <c r="AD40" i="45"/>
  <c r="AD41" i="45"/>
  <c r="AD42" i="45"/>
  <c r="H21" i="45"/>
  <c r="V21" i="45" s="1"/>
  <c r="H22" i="45"/>
  <c r="H23" i="45"/>
  <c r="AJ23" i="45" l="1"/>
  <c r="AJ22" i="45"/>
  <c r="AJ21" i="45"/>
  <c r="AH23" i="45"/>
  <c r="AH22" i="45"/>
  <c r="AH21" i="45"/>
  <c r="P10" i="47" l="1"/>
  <c r="P11" i="47"/>
  <c r="P12" i="47"/>
  <c r="P13" i="47"/>
  <c r="P14" i="47"/>
  <c r="P15" i="47"/>
  <c r="P16" i="47"/>
  <c r="P17" i="47"/>
  <c r="P18" i="47"/>
  <c r="P19" i="47"/>
  <c r="P20" i="47"/>
  <c r="P21" i="47"/>
  <c r="P22" i="47"/>
  <c r="P23" i="47"/>
  <c r="P24" i="47"/>
  <c r="P25" i="47"/>
  <c r="P26" i="47"/>
  <c r="P27" i="47"/>
  <c r="P28" i="47"/>
  <c r="P29" i="47"/>
  <c r="P30" i="47"/>
  <c r="J2" i="45" l="1"/>
  <c r="D17" i="38" l="1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16" i="38"/>
  <c r="H8" i="38"/>
  <c r="B2" i="47" l="1"/>
  <c r="E4" i="45" l="1"/>
  <c r="B13" i="45"/>
  <c r="B14" i="45"/>
  <c r="C1" i="45"/>
  <c r="H12" i="45" l="1"/>
  <c r="AG12" i="45" s="1"/>
  <c r="AH12" i="45" l="1"/>
  <c r="C4" i="45"/>
  <c r="J5" i="45"/>
  <c r="J9" i="33"/>
  <c r="J10" i="33"/>
  <c r="J11" i="33"/>
  <c r="J12" i="33"/>
  <c r="J13" i="33"/>
  <c r="J14" i="33"/>
  <c r="J15" i="33"/>
  <c r="J16" i="33"/>
  <c r="J17" i="33"/>
  <c r="J18" i="33"/>
  <c r="J19" i="33"/>
  <c r="J20" i="33"/>
  <c r="J21" i="33"/>
  <c r="J22" i="33"/>
  <c r="J23" i="33"/>
  <c r="J24" i="33"/>
  <c r="J25" i="33"/>
  <c r="J26" i="33"/>
  <c r="J27" i="33"/>
  <c r="J28" i="33"/>
  <c r="J29" i="33"/>
  <c r="J30" i="33"/>
  <c r="H12" i="38"/>
  <c r="H16" i="38"/>
  <c r="H17" i="38" s="1"/>
  <c r="U43" i="50" l="1"/>
  <c r="T43" i="50"/>
  <c r="S43" i="50"/>
  <c r="R43" i="50"/>
  <c r="Q43" i="50"/>
  <c r="P43" i="50"/>
  <c r="O43" i="50"/>
  <c r="N43" i="50"/>
  <c r="M43" i="50"/>
  <c r="L43" i="50"/>
  <c r="K43" i="50"/>
  <c r="J43" i="50"/>
  <c r="G43" i="50"/>
  <c r="F43" i="50"/>
  <c r="E43" i="50"/>
  <c r="I42" i="50"/>
  <c r="H42" i="50"/>
  <c r="X42" i="50" s="1"/>
  <c r="B42" i="50"/>
  <c r="AB41" i="50"/>
  <c r="AA41" i="50"/>
  <c r="Z41" i="50"/>
  <c r="W41" i="50" s="1"/>
  <c r="I41" i="50"/>
  <c r="H41" i="50"/>
  <c r="X41" i="50" s="1"/>
  <c r="B41" i="50"/>
  <c r="AB40" i="50"/>
  <c r="AA40" i="50"/>
  <c r="Z40" i="50"/>
  <c r="W40" i="50" s="1"/>
  <c r="I40" i="50"/>
  <c r="H40" i="50"/>
  <c r="B40" i="50"/>
  <c r="AB39" i="50"/>
  <c r="AA39" i="50"/>
  <c r="I39" i="50"/>
  <c r="H39" i="50"/>
  <c r="Z39" i="50" s="1"/>
  <c r="B39" i="50"/>
  <c r="AB38" i="50"/>
  <c r="AA38" i="50"/>
  <c r="I38" i="50"/>
  <c r="H38" i="50"/>
  <c r="X38" i="50" s="1"/>
  <c r="B38" i="50"/>
  <c r="AB37" i="50"/>
  <c r="AA37" i="50"/>
  <c r="Z37" i="50"/>
  <c r="W37" i="50" s="1"/>
  <c r="I37" i="50"/>
  <c r="H37" i="50"/>
  <c r="X37" i="50" s="1"/>
  <c r="B37" i="50"/>
  <c r="AB36" i="50"/>
  <c r="AA36" i="50"/>
  <c r="Z36" i="50"/>
  <c r="W36" i="50" s="1"/>
  <c r="I36" i="50"/>
  <c r="H36" i="50"/>
  <c r="X36" i="50" s="1"/>
  <c r="B36" i="50"/>
  <c r="AB35" i="50"/>
  <c r="I35" i="50"/>
  <c r="H35" i="50"/>
  <c r="Z35" i="50" s="1"/>
  <c r="B35" i="50"/>
  <c r="AB34" i="50"/>
  <c r="AA34" i="50"/>
  <c r="I34" i="50"/>
  <c r="H34" i="50"/>
  <c r="Z34" i="50" s="1"/>
  <c r="B34" i="50"/>
  <c r="AB33" i="50"/>
  <c r="AA33" i="50"/>
  <c r="Z33" i="50"/>
  <c r="W33" i="50" s="1"/>
  <c r="I33" i="50"/>
  <c r="H33" i="50"/>
  <c r="X33" i="50" s="1"/>
  <c r="B33" i="50"/>
  <c r="AB32" i="50"/>
  <c r="AA32" i="50"/>
  <c r="Z32" i="50"/>
  <c r="W32" i="50" s="1"/>
  <c r="I32" i="50"/>
  <c r="H32" i="50"/>
  <c r="X32" i="50" s="1"/>
  <c r="B32" i="50"/>
  <c r="AB31" i="50"/>
  <c r="AA31" i="50"/>
  <c r="I31" i="50"/>
  <c r="H31" i="50"/>
  <c r="Z31" i="50" s="1"/>
  <c r="B31" i="50"/>
  <c r="AB30" i="50"/>
  <c r="AA30" i="50"/>
  <c r="X30" i="50"/>
  <c r="I30" i="50"/>
  <c r="H30" i="50"/>
  <c r="Z30" i="50" s="1"/>
  <c r="B30" i="50"/>
  <c r="AB29" i="50"/>
  <c r="AA29" i="50"/>
  <c r="Z29" i="50"/>
  <c r="W29" i="50" s="1"/>
  <c r="I29" i="50"/>
  <c r="H29" i="50"/>
  <c r="X29" i="50" s="1"/>
  <c r="B29" i="50"/>
  <c r="AB28" i="50"/>
  <c r="Z28" i="50"/>
  <c r="W28" i="50" s="1"/>
  <c r="I28" i="50"/>
  <c r="H28" i="50"/>
  <c r="X28" i="50" s="1"/>
  <c r="B28" i="50"/>
  <c r="AB27" i="50"/>
  <c r="AA27" i="50"/>
  <c r="I27" i="50"/>
  <c r="H27" i="50"/>
  <c r="Z27" i="50" s="1"/>
  <c r="B27" i="50"/>
  <c r="AB26" i="50"/>
  <c r="AA26" i="50"/>
  <c r="I26" i="50"/>
  <c r="H26" i="50"/>
  <c r="Z26" i="50" s="1"/>
  <c r="B26" i="50"/>
  <c r="AB25" i="50"/>
  <c r="AA25" i="50"/>
  <c r="Z25" i="50"/>
  <c r="W25" i="50" s="1"/>
  <c r="I25" i="50"/>
  <c r="H25" i="50"/>
  <c r="B25" i="50"/>
  <c r="AB24" i="50"/>
  <c r="AA24" i="50"/>
  <c r="Z24" i="50"/>
  <c r="W24" i="50" s="1"/>
  <c r="I24" i="50"/>
  <c r="H24" i="50"/>
  <c r="X24" i="50" s="1"/>
  <c r="B24" i="50"/>
  <c r="AB23" i="50"/>
  <c r="AA23" i="50"/>
  <c r="I23" i="50"/>
  <c r="H23" i="50"/>
  <c r="Z23" i="50" s="1"/>
  <c r="B23" i="50"/>
  <c r="AB22" i="50"/>
  <c r="AA22" i="50"/>
  <c r="X22" i="50"/>
  <c r="I22" i="50"/>
  <c r="H22" i="50"/>
  <c r="Z22" i="50" s="1"/>
  <c r="B22" i="50"/>
  <c r="AB21" i="50"/>
  <c r="Z21" i="50"/>
  <c r="W21" i="50" s="1"/>
  <c r="I21" i="50"/>
  <c r="H21" i="50"/>
  <c r="X21" i="50" s="1"/>
  <c r="B21" i="50"/>
  <c r="AB20" i="50"/>
  <c r="AA20" i="50"/>
  <c r="Z20" i="50"/>
  <c r="W20" i="50" s="1"/>
  <c r="I20" i="50"/>
  <c r="H20" i="50"/>
  <c r="X20" i="50" s="1"/>
  <c r="B20" i="50"/>
  <c r="AB19" i="50"/>
  <c r="AA19" i="50"/>
  <c r="I19" i="50"/>
  <c r="H19" i="50"/>
  <c r="Z19" i="50" s="1"/>
  <c r="B19" i="50"/>
  <c r="AB18" i="50"/>
  <c r="AA18" i="50"/>
  <c r="I18" i="50"/>
  <c r="H18" i="50"/>
  <c r="Z18" i="50" s="1"/>
  <c r="B18" i="50"/>
  <c r="AB17" i="50"/>
  <c r="AA17" i="50"/>
  <c r="Z17" i="50"/>
  <c r="W17" i="50" s="1"/>
  <c r="I17" i="50"/>
  <c r="H17" i="50"/>
  <c r="X17" i="50" s="1"/>
  <c r="B17" i="50"/>
  <c r="AB16" i="50"/>
  <c r="AA16" i="50"/>
  <c r="Z16" i="50"/>
  <c r="W16" i="50" s="1"/>
  <c r="I16" i="50"/>
  <c r="H16" i="50"/>
  <c r="X16" i="50" s="1"/>
  <c r="B16" i="50"/>
  <c r="AB15" i="50"/>
  <c r="AA15" i="50"/>
  <c r="I15" i="50"/>
  <c r="H15" i="50"/>
  <c r="Z15" i="50" s="1"/>
  <c r="B15" i="50"/>
  <c r="AB14" i="50"/>
  <c r="X14" i="50"/>
  <c r="I14" i="50"/>
  <c r="H14" i="50"/>
  <c r="Z14" i="50" s="1"/>
  <c r="B14" i="50"/>
  <c r="AB13" i="50"/>
  <c r="AA13" i="50"/>
  <c r="Z13" i="50"/>
  <c r="I13" i="50"/>
  <c r="H13" i="50"/>
  <c r="X13" i="50" s="1"/>
  <c r="B13" i="50"/>
  <c r="AB12" i="50"/>
  <c r="AA12" i="50"/>
  <c r="Z12" i="50"/>
  <c r="W12" i="50" s="1"/>
  <c r="I12" i="50"/>
  <c r="H12" i="50"/>
  <c r="H43" i="50" s="1"/>
  <c r="B12" i="50"/>
  <c r="J5" i="50"/>
  <c r="J4" i="50"/>
  <c r="E4" i="50"/>
  <c r="C4" i="50"/>
  <c r="G2" i="50"/>
  <c r="AE15" i="45"/>
  <c r="AE22" i="45"/>
  <c r="AE29" i="45"/>
  <c r="AE36" i="45"/>
  <c r="AA41" i="49"/>
  <c r="AA24" i="49"/>
  <c r="AA25" i="49"/>
  <c r="AA26" i="49"/>
  <c r="AA27" i="49"/>
  <c r="AA28" i="49"/>
  <c r="AA29" i="49"/>
  <c r="AA31" i="49"/>
  <c r="AA32" i="49"/>
  <c r="AA33" i="49"/>
  <c r="AA34" i="49"/>
  <c r="AA35" i="49"/>
  <c r="AA36" i="49"/>
  <c r="AA38" i="49"/>
  <c r="AA39" i="49"/>
  <c r="AA40" i="49"/>
  <c r="AA12" i="49"/>
  <c r="AA13" i="49"/>
  <c r="AA14" i="49"/>
  <c r="AA15" i="49"/>
  <c r="AA17" i="49"/>
  <c r="AA18" i="49"/>
  <c r="AA19" i="49"/>
  <c r="AA20" i="49"/>
  <c r="AA21" i="49"/>
  <c r="AA22" i="49"/>
  <c r="V28" i="50" l="1"/>
  <c r="I43" i="50"/>
  <c r="V40" i="50"/>
  <c r="X40" i="50" s="1"/>
  <c r="V12" i="50"/>
  <c r="V20" i="50"/>
  <c r="V16" i="50"/>
  <c r="V32" i="50"/>
  <c r="V24" i="50"/>
  <c r="V36" i="50"/>
  <c r="W18" i="50"/>
  <c r="V18" i="50"/>
  <c r="W14" i="50"/>
  <c r="V14" i="50"/>
  <c r="V23" i="50"/>
  <c r="W23" i="50"/>
  <c r="V27" i="50"/>
  <c r="W27" i="50"/>
  <c r="V39" i="50"/>
  <c r="W39" i="50"/>
  <c r="V15" i="50"/>
  <c r="W15" i="50"/>
  <c r="V19" i="50"/>
  <c r="W19" i="50"/>
  <c r="W30" i="50"/>
  <c r="V30" i="50"/>
  <c r="W34" i="50"/>
  <c r="V34" i="50"/>
  <c r="V31" i="50"/>
  <c r="W31" i="50"/>
  <c r="W22" i="50"/>
  <c r="V22" i="50"/>
  <c r="W26" i="50"/>
  <c r="V26" i="50"/>
  <c r="V35" i="50"/>
  <c r="W35" i="50"/>
  <c r="X34" i="50"/>
  <c r="V13" i="50"/>
  <c r="X15" i="50"/>
  <c r="V17" i="50"/>
  <c r="V21" i="50"/>
  <c r="X23" i="50"/>
  <c r="V25" i="50"/>
  <c r="X27" i="50"/>
  <c r="V29" i="50"/>
  <c r="V33" i="50"/>
  <c r="X35" i="50"/>
  <c r="V37" i="50"/>
  <c r="Z38" i="50"/>
  <c r="X39" i="50"/>
  <c r="V41" i="50"/>
  <c r="Z42" i="50"/>
  <c r="X12" i="50"/>
  <c r="W13" i="50"/>
  <c r="X3" i="50" l="1"/>
  <c r="Y3" i="50" s="1"/>
  <c r="X2" i="50"/>
  <c r="Y2" i="50" s="1"/>
  <c r="X1" i="50"/>
  <c r="Y1" i="50" s="1"/>
  <c r="X4" i="50"/>
  <c r="Y4" i="50" s="1"/>
  <c r="AA14" i="50"/>
  <c r="W38" i="50"/>
  <c r="V38" i="50"/>
  <c r="X5" i="50"/>
  <c r="Y5" i="50" s="1"/>
  <c r="W42" i="50"/>
  <c r="V42" i="50"/>
  <c r="AA42" i="50" l="1"/>
  <c r="V43" i="50"/>
  <c r="V4" i="50" s="1"/>
  <c r="E4" i="49"/>
  <c r="U43" i="49" l="1"/>
  <c r="T43" i="49"/>
  <c r="S43" i="49"/>
  <c r="R43" i="49"/>
  <c r="Q43" i="49"/>
  <c r="P43" i="49"/>
  <c r="O43" i="49"/>
  <c r="N43" i="49"/>
  <c r="M43" i="49"/>
  <c r="L43" i="49"/>
  <c r="K43" i="49"/>
  <c r="J43" i="49"/>
  <c r="G43" i="49"/>
  <c r="F43" i="49"/>
  <c r="E43" i="49"/>
  <c r="AB42" i="49"/>
  <c r="I42" i="49"/>
  <c r="H42" i="49"/>
  <c r="X42" i="49" s="1"/>
  <c r="B42" i="49"/>
  <c r="AB41" i="49"/>
  <c r="I41" i="49"/>
  <c r="H41" i="49"/>
  <c r="X41" i="49" s="1"/>
  <c r="B41" i="49"/>
  <c r="AB40" i="49"/>
  <c r="I40" i="49"/>
  <c r="H40" i="49"/>
  <c r="Z40" i="49" s="1"/>
  <c r="B40" i="49"/>
  <c r="AB39" i="49"/>
  <c r="I39" i="49"/>
  <c r="H39" i="49"/>
  <c r="Z39" i="49" s="1"/>
  <c r="B39" i="49"/>
  <c r="AB38" i="49"/>
  <c r="X38" i="49"/>
  <c r="I38" i="49"/>
  <c r="H38" i="49"/>
  <c r="Z38" i="49" s="1"/>
  <c r="B38" i="49"/>
  <c r="AB37" i="49"/>
  <c r="I37" i="49"/>
  <c r="H37" i="49"/>
  <c r="X37" i="49" s="1"/>
  <c r="B37" i="49"/>
  <c r="AB36" i="49"/>
  <c r="I36" i="49"/>
  <c r="H36" i="49"/>
  <c r="Z36" i="49" s="1"/>
  <c r="B36" i="49"/>
  <c r="AB35" i="49"/>
  <c r="X35" i="49"/>
  <c r="I35" i="49"/>
  <c r="H35" i="49"/>
  <c r="Z35" i="49" s="1"/>
  <c r="B35" i="49"/>
  <c r="AB34" i="49"/>
  <c r="I34" i="49"/>
  <c r="H34" i="49"/>
  <c r="Z34" i="49" s="1"/>
  <c r="B34" i="49"/>
  <c r="AB33" i="49"/>
  <c r="Z33" i="49"/>
  <c r="V33" i="49" s="1"/>
  <c r="I33" i="49"/>
  <c r="H33" i="49"/>
  <c r="X33" i="49" s="1"/>
  <c r="B33" i="49"/>
  <c r="AB32" i="49"/>
  <c r="I32" i="49"/>
  <c r="H32" i="49"/>
  <c r="Z32" i="49" s="1"/>
  <c r="B32" i="49"/>
  <c r="AB31" i="49"/>
  <c r="I31" i="49"/>
  <c r="H31" i="49"/>
  <c r="Z31" i="49" s="1"/>
  <c r="B31" i="49"/>
  <c r="AB30" i="49"/>
  <c r="X30" i="49"/>
  <c r="I30" i="49"/>
  <c r="H30" i="49"/>
  <c r="Z30" i="49" s="1"/>
  <c r="B30" i="49"/>
  <c r="AB29" i="49"/>
  <c r="I29" i="49"/>
  <c r="H29" i="49"/>
  <c r="X29" i="49" s="1"/>
  <c r="B29" i="49"/>
  <c r="AB28" i="49"/>
  <c r="I28" i="49"/>
  <c r="H28" i="49"/>
  <c r="Z28" i="49" s="1"/>
  <c r="B28" i="49"/>
  <c r="AB27" i="49"/>
  <c r="I27" i="49"/>
  <c r="H27" i="49"/>
  <c r="Z27" i="49" s="1"/>
  <c r="B27" i="49"/>
  <c r="AB26" i="49"/>
  <c r="I26" i="49"/>
  <c r="H26" i="49"/>
  <c r="Z26" i="49" s="1"/>
  <c r="B26" i="49"/>
  <c r="AB25" i="49"/>
  <c r="I25" i="49"/>
  <c r="H25" i="49"/>
  <c r="B25" i="49"/>
  <c r="AB24" i="49"/>
  <c r="I24" i="49"/>
  <c r="H24" i="49"/>
  <c r="Z24" i="49" s="1"/>
  <c r="B24" i="49"/>
  <c r="X23" i="49"/>
  <c r="I23" i="49"/>
  <c r="H23" i="49"/>
  <c r="Z23" i="49" s="1"/>
  <c r="B23" i="49"/>
  <c r="AB22" i="49"/>
  <c r="I22" i="49"/>
  <c r="H22" i="49"/>
  <c r="Z22" i="49" s="1"/>
  <c r="B22" i="49"/>
  <c r="I21" i="49"/>
  <c r="H21" i="49"/>
  <c r="B21" i="49"/>
  <c r="AB20" i="49"/>
  <c r="I20" i="49"/>
  <c r="H20" i="49"/>
  <c r="Z20" i="49" s="1"/>
  <c r="B20" i="49"/>
  <c r="AB19" i="49"/>
  <c r="I19" i="49"/>
  <c r="H19" i="49"/>
  <c r="Z19" i="49" s="1"/>
  <c r="B19" i="49"/>
  <c r="AB18" i="49"/>
  <c r="I18" i="49"/>
  <c r="H18" i="49"/>
  <c r="Z18" i="49" s="1"/>
  <c r="B18" i="49"/>
  <c r="AB17" i="49"/>
  <c r="I17" i="49"/>
  <c r="H17" i="49"/>
  <c r="B17" i="49"/>
  <c r="I16" i="49"/>
  <c r="H16" i="49"/>
  <c r="Z16" i="49" s="1"/>
  <c r="B16" i="49"/>
  <c r="AB15" i="49"/>
  <c r="I15" i="49"/>
  <c r="H15" i="49"/>
  <c r="Z15" i="49" s="1"/>
  <c r="B15" i="49"/>
  <c r="AB14" i="49"/>
  <c r="I14" i="49"/>
  <c r="H14" i="49"/>
  <c r="Z14" i="49" s="1"/>
  <c r="B14" i="49"/>
  <c r="AB13" i="49"/>
  <c r="I13" i="49"/>
  <c r="H13" i="49"/>
  <c r="B13" i="49"/>
  <c r="AB12" i="49"/>
  <c r="I12" i="49"/>
  <c r="H12" i="49"/>
  <c r="B12" i="49"/>
  <c r="C4" i="49"/>
  <c r="G2" i="49"/>
  <c r="J5" i="49"/>
  <c r="J4" i="49"/>
  <c r="K124" i="48"/>
  <c r="L124" i="48" s="1"/>
  <c r="M124" i="48" s="1"/>
  <c r="N124" i="48" s="1"/>
  <c r="K123" i="48"/>
  <c r="L123" i="48" s="1"/>
  <c r="M123" i="48" s="1"/>
  <c r="N123" i="48" s="1"/>
  <c r="L122" i="48"/>
  <c r="M122" i="48" s="1"/>
  <c r="N122" i="48" s="1"/>
  <c r="K122" i="48"/>
  <c r="K121" i="48"/>
  <c r="L121" i="48" s="1"/>
  <c r="M121" i="48" s="1"/>
  <c r="N121" i="48" s="1"/>
  <c r="K120" i="48"/>
  <c r="L120" i="48" s="1"/>
  <c r="M120" i="48" s="1"/>
  <c r="N120" i="48" s="1"/>
  <c r="K119" i="48"/>
  <c r="L119" i="48" s="1"/>
  <c r="M119" i="48" s="1"/>
  <c r="N119" i="48" s="1"/>
  <c r="L118" i="48"/>
  <c r="M118" i="48" s="1"/>
  <c r="N118" i="48" s="1"/>
  <c r="K118" i="48"/>
  <c r="K117" i="48"/>
  <c r="L117" i="48" s="1"/>
  <c r="M117" i="48" s="1"/>
  <c r="N117" i="48" s="1"/>
  <c r="K116" i="48"/>
  <c r="L116" i="48" s="1"/>
  <c r="M116" i="48" s="1"/>
  <c r="N116" i="48" s="1"/>
  <c r="K115" i="48"/>
  <c r="L115" i="48" s="1"/>
  <c r="M115" i="48" s="1"/>
  <c r="N115" i="48" s="1"/>
  <c r="K114" i="48"/>
  <c r="L114" i="48" s="1"/>
  <c r="M114" i="48" s="1"/>
  <c r="N114" i="48" s="1"/>
  <c r="K113" i="48"/>
  <c r="L113" i="48" s="1"/>
  <c r="M113" i="48" s="1"/>
  <c r="N113" i="48" s="1"/>
  <c r="K112" i="48"/>
  <c r="L112" i="48" s="1"/>
  <c r="M112" i="48" s="1"/>
  <c r="N112" i="48" s="1"/>
  <c r="K111" i="48"/>
  <c r="L111" i="48" s="1"/>
  <c r="M111" i="48" s="1"/>
  <c r="N111" i="48" s="1"/>
  <c r="K110" i="48"/>
  <c r="L110" i="48" s="1"/>
  <c r="M110" i="48" s="1"/>
  <c r="N110" i="48" s="1"/>
  <c r="L109" i="48"/>
  <c r="M109" i="48" s="1"/>
  <c r="N109" i="48" s="1"/>
  <c r="K109" i="48"/>
  <c r="L108" i="48"/>
  <c r="M108" i="48" s="1"/>
  <c r="N108" i="48" s="1"/>
  <c r="K108" i="48"/>
  <c r="L107" i="48"/>
  <c r="M107" i="48" s="1"/>
  <c r="N107" i="48" s="1"/>
  <c r="K107" i="48"/>
  <c r="K106" i="48"/>
  <c r="L106" i="48" s="1"/>
  <c r="M106" i="48" s="1"/>
  <c r="N106" i="48" s="1"/>
  <c r="K105" i="48"/>
  <c r="L105" i="48" s="1"/>
  <c r="M105" i="48" s="1"/>
  <c r="N105" i="48" s="1"/>
  <c r="K104" i="48"/>
  <c r="L104" i="48" s="1"/>
  <c r="M104" i="48" s="1"/>
  <c r="N104" i="48" s="1"/>
  <c r="L103" i="48"/>
  <c r="M103" i="48" s="1"/>
  <c r="N103" i="48" s="1"/>
  <c r="K103" i="48"/>
  <c r="L102" i="48"/>
  <c r="M102" i="48" s="1"/>
  <c r="N102" i="48" s="1"/>
  <c r="K102" i="48"/>
  <c r="K101" i="48"/>
  <c r="L101" i="48" s="1"/>
  <c r="M101" i="48" s="1"/>
  <c r="N101" i="48" s="1"/>
  <c r="K100" i="48"/>
  <c r="L100" i="48" s="1"/>
  <c r="M100" i="48" s="1"/>
  <c r="N100" i="48" s="1"/>
  <c r="K99" i="48"/>
  <c r="L99" i="48" s="1"/>
  <c r="M99" i="48" s="1"/>
  <c r="N99" i="48" s="1"/>
  <c r="K98" i="48"/>
  <c r="L98" i="48" s="1"/>
  <c r="M98" i="48" s="1"/>
  <c r="N98" i="48" s="1"/>
  <c r="K97" i="48"/>
  <c r="L97" i="48" s="1"/>
  <c r="M97" i="48" s="1"/>
  <c r="N97" i="48" s="1"/>
  <c r="K96" i="48"/>
  <c r="L96" i="48" s="1"/>
  <c r="M96" i="48" s="1"/>
  <c r="N96" i="48" s="1"/>
  <c r="K95" i="48"/>
  <c r="L95" i="48" s="1"/>
  <c r="M95" i="48" s="1"/>
  <c r="N95" i="48" s="1"/>
  <c r="L94" i="48"/>
  <c r="M94" i="48" s="1"/>
  <c r="N94" i="48" s="1"/>
  <c r="K94" i="48"/>
  <c r="L93" i="48"/>
  <c r="M93" i="48" s="1"/>
  <c r="N93" i="48" s="1"/>
  <c r="K93" i="48"/>
  <c r="K92" i="48"/>
  <c r="L92" i="48" s="1"/>
  <c r="M92" i="48" s="1"/>
  <c r="N92" i="48" s="1"/>
  <c r="K91" i="48"/>
  <c r="L91" i="48" s="1"/>
  <c r="M91" i="48" s="1"/>
  <c r="N91" i="48" s="1"/>
  <c r="K90" i="48"/>
  <c r="L90" i="48" s="1"/>
  <c r="M90" i="48" s="1"/>
  <c r="N90" i="48" s="1"/>
  <c r="K89" i="48"/>
  <c r="L89" i="48" s="1"/>
  <c r="M89" i="48" s="1"/>
  <c r="N89" i="48" s="1"/>
  <c r="K88" i="48"/>
  <c r="L88" i="48" s="1"/>
  <c r="M88" i="48" s="1"/>
  <c r="N88" i="48" s="1"/>
  <c r="L87" i="48"/>
  <c r="M87" i="48" s="1"/>
  <c r="N87" i="48" s="1"/>
  <c r="K87" i="48"/>
  <c r="L86" i="48"/>
  <c r="M86" i="48" s="1"/>
  <c r="N86" i="48" s="1"/>
  <c r="K86" i="48"/>
  <c r="K85" i="48"/>
  <c r="L85" i="48" s="1"/>
  <c r="M85" i="48" s="1"/>
  <c r="N85" i="48" s="1"/>
  <c r="K84" i="48"/>
  <c r="L84" i="48" s="1"/>
  <c r="M84" i="48" s="1"/>
  <c r="N84" i="48" s="1"/>
  <c r="K83" i="48"/>
  <c r="L83" i="48" s="1"/>
  <c r="M83" i="48" s="1"/>
  <c r="N83" i="48" s="1"/>
  <c r="K82" i="48"/>
  <c r="L82" i="48" s="1"/>
  <c r="M82" i="48" s="1"/>
  <c r="N82" i="48" s="1"/>
  <c r="L81" i="48"/>
  <c r="M81" i="48" s="1"/>
  <c r="N81" i="48" s="1"/>
  <c r="K81" i="48"/>
  <c r="M80" i="48"/>
  <c r="N80" i="48" s="1"/>
  <c r="K80" i="48"/>
  <c r="L80" i="48" s="1"/>
  <c r="L79" i="48"/>
  <c r="M79" i="48" s="1"/>
  <c r="N79" i="48" s="1"/>
  <c r="K79" i="48"/>
  <c r="L78" i="48"/>
  <c r="M78" i="48" s="1"/>
  <c r="N78" i="48" s="1"/>
  <c r="K78" i="48"/>
  <c r="K77" i="48"/>
  <c r="L77" i="48" s="1"/>
  <c r="M77" i="48" s="1"/>
  <c r="N77" i="48" s="1"/>
  <c r="K76" i="48"/>
  <c r="L76" i="48" s="1"/>
  <c r="M76" i="48" s="1"/>
  <c r="N76" i="48" s="1"/>
  <c r="K75" i="48"/>
  <c r="L75" i="48" s="1"/>
  <c r="M75" i="48" s="1"/>
  <c r="N75" i="48" s="1"/>
  <c r="K74" i="48"/>
  <c r="L74" i="48" s="1"/>
  <c r="M74" i="48" s="1"/>
  <c r="N74" i="48" s="1"/>
  <c r="K73" i="48"/>
  <c r="L73" i="48" s="1"/>
  <c r="M73" i="48" s="1"/>
  <c r="N73" i="48" s="1"/>
  <c r="L72" i="48"/>
  <c r="M72" i="48" s="1"/>
  <c r="N72" i="48" s="1"/>
  <c r="K72" i="48"/>
  <c r="K71" i="48"/>
  <c r="L71" i="48" s="1"/>
  <c r="M71" i="48" s="1"/>
  <c r="N71" i="48" s="1"/>
  <c r="K70" i="48"/>
  <c r="L70" i="48" s="1"/>
  <c r="M70" i="48" s="1"/>
  <c r="N70" i="48" s="1"/>
  <c r="K69" i="48"/>
  <c r="L69" i="48" s="1"/>
  <c r="M69" i="48" s="1"/>
  <c r="N69" i="48" s="1"/>
  <c r="K68" i="48"/>
  <c r="L68" i="48" s="1"/>
  <c r="M68" i="48" s="1"/>
  <c r="N68" i="48" s="1"/>
  <c r="K67" i="48"/>
  <c r="L67" i="48" s="1"/>
  <c r="M67" i="48" s="1"/>
  <c r="N67" i="48" s="1"/>
  <c r="K66" i="48"/>
  <c r="L66" i="48" s="1"/>
  <c r="M66" i="48" s="1"/>
  <c r="N66" i="48" s="1"/>
  <c r="K65" i="48"/>
  <c r="L65" i="48" s="1"/>
  <c r="M65" i="48" s="1"/>
  <c r="N65" i="48" s="1"/>
  <c r="K64" i="48"/>
  <c r="L64" i="48" s="1"/>
  <c r="M64" i="48" s="1"/>
  <c r="N64" i="48" s="1"/>
  <c r="K63" i="48"/>
  <c r="L63" i="48" s="1"/>
  <c r="M63" i="48" s="1"/>
  <c r="N63" i="48" s="1"/>
  <c r="K62" i="48"/>
  <c r="L62" i="48" s="1"/>
  <c r="M62" i="48" s="1"/>
  <c r="N62" i="48" s="1"/>
  <c r="K61" i="48"/>
  <c r="L61" i="48" s="1"/>
  <c r="M61" i="48" s="1"/>
  <c r="N61" i="48" s="1"/>
  <c r="L60" i="48"/>
  <c r="M60" i="48" s="1"/>
  <c r="N60" i="48" s="1"/>
  <c r="K60" i="48"/>
  <c r="K59" i="48"/>
  <c r="L59" i="48" s="1"/>
  <c r="M59" i="48" s="1"/>
  <c r="N59" i="48" s="1"/>
  <c r="K58" i="48"/>
  <c r="L58" i="48" s="1"/>
  <c r="M58" i="48" s="1"/>
  <c r="N58" i="48" s="1"/>
  <c r="K57" i="48"/>
  <c r="L57" i="48" s="1"/>
  <c r="M57" i="48" s="1"/>
  <c r="N57" i="48" s="1"/>
  <c r="L56" i="48"/>
  <c r="M56" i="48" s="1"/>
  <c r="N56" i="48" s="1"/>
  <c r="K56" i="48"/>
  <c r="K55" i="48"/>
  <c r="L55" i="48" s="1"/>
  <c r="M55" i="48" s="1"/>
  <c r="N55" i="48" s="1"/>
  <c r="K54" i="48"/>
  <c r="L54" i="48" s="1"/>
  <c r="M54" i="48" s="1"/>
  <c r="N54" i="48" s="1"/>
  <c r="K53" i="48"/>
  <c r="L53" i="48" s="1"/>
  <c r="M53" i="48" s="1"/>
  <c r="N53" i="48" s="1"/>
  <c r="K52" i="48"/>
  <c r="L52" i="48" s="1"/>
  <c r="M52" i="48" s="1"/>
  <c r="N52" i="48" s="1"/>
  <c r="K51" i="48"/>
  <c r="L51" i="48" s="1"/>
  <c r="M51" i="48" s="1"/>
  <c r="N51" i="48" s="1"/>
  <c r="K50" i="48"/>
  <c r="L50" i="48" s="1"/>
  <c r="M50" i="48" s="1"/>
  <c r="N50" i="48" s="1"/>
  <c r="K49" i="48"/>
  <c r="L49" i="48" s="1"/>
  <c r="M49" i="48" s="1"/>
  <c r="N49" i="48" s="1"/>
  <c r="K48" i="48"/>
  <c r="L48" i="48" s="1"/>
  <c r="M48" i="48" s="1"/>
  <c r="N48" i="48" s="1"/>
  <c r="K47" i="48"/>
  <c r="L47" i="48" s="1"/>
  <c r="M47" i="48" s="1"/>
  <c r="N47" i="48" s="1"/>
  <c r="K46" i="48"/>
  <c r="L46" i="48" s="1"/>
  <c r="M46" i="48" s="1"/>
  <c r="N46" i="48" s="1"/>
  <c r="K45" i="48"/>
  <c r="L45" i="48" s="1"/>
  <c r="M45" i="48" s="1"/>
  <c r="N45" i="48" s="1"/>
  <c r="L44" i="48"/>
  <c r="M44" i="48" s="1"/>
  <c r="N44" i="48" s="1"/>
  <c r="K44" i="48"/>
  <c r="K43" i="48"/>
  <c r="L43" i="48" s="1"/>
  <c r="M43" i="48" s="1"/>
  <c r="N43" i="48" s="1"/>
  <c r="K42" i="48"/>
  <c r="L42" i="48" s="1"/>
  <c r="M42" i="48" s="1"/>
  <c r="N42" i="48" s="1"/>
  <c r="K41" i="48"/>
  <c r="L41" i="48" s="1"/>
  <c r="M41" i="48" s="1"/>
  <c r="N41" i="48" s="1"/>
  <c r="L40" i="48"/>
  <c r="M40" i="48" s="1"/>
  <c r="N40" i="48" s="1"/>
  <c r="K40" i="48"/>
  <c r="K39" i="48"/>
  <c r="L39" i="48" s="1"/>
  <c r="M39" i="48" s="1"/>
  <c r="N39" i="48" s="1"/>
  <c r="K38" i="48"/>
  <c r="L38" i="48" s="1"/>
  <c r="M38" i="48" s="1"/>
  <c r="N38" i="48" s="1"/>
  <c r="K37" i="48"/>
  <c r="L37" i="48" s="1"/>
  <c r="M37" i="48" s="1"/>
  <c r="N37" i="48" s="1"/>
  <c r="K36" i="48"/>
  <c r="L36" i="48" s="1"/>
  <c r="M36" i="48" s="1"/>
  <c r="N36" i="48" s="1"/>
  <c r="K35" i="48"/>
  <c r="L35" i="48" s="1"/>
  <c r="M35" i="48" s="1"/>
  <c r="N35" i="48" s="1"/>
  <c r="K34" i="48"/>
  <c r="L34" i="48" s="1"/>
  <c r="M34" i="48" s="1"/>
  <c r="N34" i="48" s="1"/>
  <c r="K33" i="48"/>
  <c r="L33" i="48" s="1"/>
  <c r="M33" i="48" s="1"/>
  <c r="N33" i="48" s="1"/>
  <c r="K32" i="48"/>
  <c r="L32" i="48" s="1"/>
  <c r="M32" i="48" s="1"/>
  <c r="N32" i="48" s="1"/>
  <c r="L31" i="48"/>
  <c r="M31" i="48" s="1"/>
  <c r="N31" i="48" s="1"/>
  <c r="K31" i="48"/>
  <c r="K30" i="48"/>
  <c r="L30" i="48" s="1"/>
  <c r="M30" i="48" s="1"/>
  <c r="N30" i="48" s="1"/>
  <c r="K29" i="48"/>
  <c r="L29" i="48" s="1"/>
  <c r="M29" i="48" s="1"/>
  <c r="N29" i="48" s="1"/>
  <c r="K28" i="48"/>
  <c r="L28" i="48" s="1"/>
  <c r="M28" i="48" s="1"/>
  <c r="N28" i="48" s="1"/>
  <c r="L27" i="48"/>
  <c r="M27" i="48" s="1"/>
  <c r="N27" i="48" s="1"/>
  <c r="K27" i="48"/>
  <c r="K26" i="48"/>
  <c r="L26" i="48" s="1"/>
  <c r="M26" i="48" s="1"/>
  <c r="N26" i="48" s="1"/>
  <c r="K25" i="48"/>
  <c r="L25" i="48" s="1"/>
  <c r="M25" i="48" s="1"/>
  <c r="N25" i="48" s="1"/>
  <c r="K24" i="48"/>
  <c r="L24" i="48" s="1"/>
  <c r="M24" i="48" s="1"/>
  <c r="N24" i="48" s="1"/>
  <c r="K23" i="48"/>
  <c r="L23" i="48" s="1"/>
  <c r="M23" i="48" s="1"/>
  <c r="N23" i="48" s="1"/>
  <c r="K22" i="48"/>
  <c r="L22" i="48" s="1"/>
  <c r="M22" i="48" s="1"/>
  <c r="N22" i="48" s="1"/>
  <c r="K21" i="48"/>
  <c r="L21" i="48" s="1"/>
  <c r="M21" i="48" s="1"/>
  <c r="N21" i="48" s="1"/>
  <c r="K20" i="48"/>
  <c r="L20" i="48" s="1"/>
  <c r="M20" i="48" s="1"/>
  <c r="N20" i="48" s="1"/>
  <c r="K19" i="48"/>
  <c r="L19" i="48" s="1"/>
  <c r="M19" i="48" s="1"/>
  <c r="N19" i="48" s="1"/>
  <c r="K18" i="48"/>
  <c r="L18" i="48" s="1"/>
  <c r="M18" i="48" s="1"/>
  <c r="N18" i="48" s="1"/>
  <c r="K17" i="48"/>
  <c r="L17" i="48" s="1"/>
  <c r="M17" i="48" s="1"/>
  <c r="N17" i="48" s="1"/>
  <c r="K16" i="48"/>
  <c r="L16" i="48" s="1"/>
  <c r="M16" i="48" s="1"/>
  <c r="N16" i="48" s="1"/>
  <c r="L15" i="48"/>
  <c r="M15" i="48" s="1"/>
  <c r="N15" i="48" s="1"/>
  <c r="K15" i="48"/>
  <c r="K14" i="48"/>
  <c r="L14" i="48" s="1"/>
  <c r="M14" i="48" s="1"/>
  <c r="N14" i="48" s="1"/>
  <c r="K13" i="48"/>
  <c r="L13" i="48" s="1"/>
  <c r="M13" i="48" s="1"/>
  <c r="N13" i="48" s="1"/>
  <c r="L12" i="48"/>
  <c r="M12" i="48" s="1"/>
  <c r="N12" i="48" s="1"/>
  <c r="K12" i="48"/>
  <c r="K11" i="48"/>
  <c r="L11" i="48" s="1"/>
  <c r="M11" i="48" s="1"/>
  <c r="N11" i="48" s="1"/>
  <c r="K10" i="48"/>
  <c r="L10" i="48" s="1"/>
  <c r="M10" i="48" s="1"/>
  <c r="N10" i="48" s="1"/>
  <c r="K9" i="48"/>
  <c r="L9" i="48" s="1"/>
  <c r="M9" i="48" s="1"/>
  <c r="N9" i="48" s="1"/>
  <c r="K8" i="48"/>
  <c r="L8" i="48" s="1"/>
  <c r="M8" i="48" s="1"/>
  <c r="N8" i="48" s="1"/>
  <c r="L7" i="48"/>
  <c r="M7" i="48" s="1"/>
  <c r="N7" i="48" s="1"/>
  <c r="K7" i="48"/>
  <c r="K6" i="48"/>
  <c r="L6" i="48" s="1"/>
  <c r="M6" i="48" s="1"/>
  <c r="N6" i="48" s="1"/>
  <c r="K5" i="48"/>
  <c r="L5" i="48" s="1"/>
  <c r="M5" i="48" s="1"/>
  <c r="N5" i="48" s="1"/>
  <c r="K4" i="48"/>
  <c r="L4" i="48" s="1"/>
  <c r="M4" i="48" s="1"/>
  <c r="N4" i="48" s="1"/>
  <c r="Z41" i="49" l="1"/>
  <c r="V41" i="49" s="1"/>
  <c r="Z21" i="49"/>
  <c r="V21" i="49" s="1"/>
  <c r="Z13" i="49"/>
  <c r="W13" i="49" s="1"/>
  <c r="Z17" i="49"/>
  <c r="W17" i="49" s="1"/>
  <c r="Z29" i="49"/>
  <c r="W29" i="49" s="1"/>
  <c r="X34" i="49"/>
  <c r="X39" i="49"/>
  <c r="I43" i="49"/>
  <c r="X22" i="49"/>
  <c r="Z25" i="49"/>
  <c r="W25" i="49" s="1"/>
  <c r="X27" i="49"/>
  <c r="Z37" i="49"/>
  <c r="V37" i="49" s="1"/>
  <c r="H43" i="49"/>
  <c r="W14" i="49"/>
  <c r="V14" i="49"/>
  <c r="W24" i="49"/>
  <c r="V24" i="49"/>
  <c r="W34" i="49"/>
  <c r="V34" i="49"/>
  <c r="V36" i="49"/>
  <c r="W36" i="49"/>
  <c r="V15" i="49"/>
  <c r="X15" i="49" s="1"/>
  <c r="W15" i="49"/>
  <c r="V20" i="49"/>
  <c r="X20" i="49" s="1"/>
  <c r="W20" i="49"/>
  <c r="V27" i="49"/>
  <c r="W27" i="49"/>
  <c r="W32" i="49"/>
  <c r="V32" i="49"/>
  <c r="W18" i="49"/>
  <c r="V18" i="49"/>
  <c r="W30" i="49"/>
  <c r="V30" i="49"/>
  <c r="V35" i="49"/>
  <c r="W35" i="49"/>
  <c r="W38" i="49"/>
  <c r="V38" i="49"/>
  <c r="W40" i="49"/>
  <c r="V40" i="49"/>
  <c r="V39" i="49"/>
  <c r="W39" i="49"/>
  <c r="W22" i="49"/>
  <c r="V22" i="49"/>
  <c r="V16" i="49"/>
  <c r="X16" i="49" s="1"/>
  <c r="W16" i="49"/>
  <c r="V19" i="49"/>
  <c r="W19" i="49"/>
  <c r="V23" i="49"/>
  <c r="W23" i="49"/>
  <c r="W26" i="49"/>
  <c r="V26" i="49"/>
  <c r="W28" i="49"/>
  <c r="V28" i="49"/>
  <c r="V31" i="49"/>
  <c r="W31" i="49"/>
  <c r="Z42" i="49"/>
  <c r="X24" i="49"/>
  <c r="X28" i="49"/>
  <c r="X32" i="49"/>
  <c r="W33" i="49"/>
  <c r="X36" i="49"/>
  <c r="X40" i="49"/>
  <c r="X14" i="49"/>
  <c r="Z12" i="49"/>
  <c r="D34" i="38"/>
  <c r="D6" i="45" s="1"/>
  <c r="V29" i="49" l="1"/>
  <c r="W37" i="49"/>
  <c r="W21" i="49"/>
  <c r="X21" i="49" s="1"/>
  <c r="W41" i="49"/>
  <c r="V25" i="49"/>
  <c r="V17" i="49"/>
  <c r="V13" i="49"/>
  <c r="X13" i="49" s="1"/>
  <c r="X5" i="49"/>
  <c r="Y5" i="49" s="1"/>
  <c r="X3" i="49"/>
  <c r="Y3" i="49" s="1"/>
  <c r="V12" i="49"/>
  <c r="X4" i="49"/>
  <c r="Y4" i="49" s="1"/>
  <c r="X2" i="49"/>
  <c r="Y2" i="49" s="1"/>
  <c r="W12" i="49"/>
  <c r="X6" i="49"/>
  <c r="Y6" i="49" s="1"/>
  <c r="W42" i="49"/>
  <c r="V42" i="49"/>
  <c r="AA42" i="49" s="1"/>
  <c r="C4" i="38"/>
  <c r="X17" i="49" l="1"/>
  <c r="X19" i="49"/>
  <c r="X31" i="49"/>
  <c r="AA37" i="49" s="1"/>
  <c r="X26" i="49"/>
  <c r="X25" i="49"/>
  <c r="X18" i="49"/>
  <c r="X12" i="49"/>
  <c r="AA16" i="49" s="1"/>
  <c r="V43" i="49"/>
  <c r="V7" i="49" s="1"/>
  <c r="AA30" i="49" l="1"/>
  <c r="AA23" i="49"/>
  <c r="AB23" i="49" s="1"/>
  <c r="AB21" i="49"/>
  <c r="X43" i="49"/>
  <c r="X44" i="49" s="1"/>
  <c r="AB16" i="49"/>
  <c r="X7" i="49" l="1"/>
  <c r="Y7" i="49" s="1"/>
  <c r="E31" i="33"/>
  <c r="F31" i="33"/>
  <c r="G31" i="33"/>
  <c r="H31" i="33"/>
  <c r="I31" i="33"/>
  <c r="D31" i="33"/>
  <c r="Q9" i="47" l="1"/>
  <c r="Q30" i="47"/>
  <c r="O30" i="47"/>
  <c r="N30" i="47"/>
  <c r="Q29" i="47"/>
  <c r="O29" i="47"/>
  <c r="N29" i="47"/>
  <c r="Q28" i="47"/>
  <c r="O28" i="47"/>
  <c r="N28" i="47"/>
  <c r="Q27" i="47"/>
  <c r="O27" i="47"/>
  <c r="N27" i="47"/>
  <c r="Q26" i="47"/>
  <c r="O26" i="47"/>
  <c r="N26" i="47"/>
  <c r="Q25" i="47"/>
  <c r="O25" i="47"/>
  <c r="N25" i="47"/>
  <c r="Q24" i="47"/>
  <c r="O24" i="47"/>
  <c r="N24" i="47"/>
  <c r="Q23" i="47"/>
  <c r="O23" i="47"/>
  <c r="N23" i="47"/>
  <c r="Q22" i="47"/>
  <c r="O22" i="47"/>
  <c r="N22" i="47"/>
  <c r="Q21" i="47"/>
  <c r="O21" i="47"/>
  <c r="N21" i="47"/>
  <c r="Q20" i="47"/>
  <c r="O20" i="47"/>
  <c r="N20" i="47"/>
  <c r="Q19" i="47"/>
  <c r="O19" i="47"/>
  <c r="N19" i="47"/>
  <c r="Q18" i="47"/>
  <c r="O18" i="47"/>
  <c r="N18" i="47"/>
  <c r="Q17" i="47"/>
  <c r="O17" i="47"/>
  <c r="N17" i="47"/>
  <c r="Q16" i="47"/>
  <c r="O16" i="47"/>
  <c r="N16" i="47"/>
  <c r="Q15" i="47"/>
  <c r="O15" i="47"/>
  <c r="N15" i="47"/>
  <c r="Q14" i="47"/>
  <c r="O14" i="47"/>
  <c r="N14" i="47"/>
  <c r="Q13" i="47"/>
  <c r="O13" i="47"/>
  <c r="N13" i="47"/>
  <c r="Q12" i="47"/>
  <c r="O12" i="47"/>
  <c r="N12" i="47"/>
  <c r="Q11" i="47"/>
  <c r="O11" i="47"/>
  <c r="N11" i="47"/>
  <c r="Q10" i="47"/>
  <c r="O10" i="47"/>
  <c r="N10" i="47"/>
  <c r="O9" i="47"/>
  <c r="N9" i="47"/>
  <c r="P9" i="47" s="1"/>
  <c r="M9" i="46"/>
  <c r="O9" i="46" s="1"/>
  <c r="N9" i="46"/>
  <c r="B2" i="46"/>
  <c r="B2" i="34"/>
  <c r="B4" i="47"/>
  <c r="C4" i="47"/>
  <c r="N13" i="46"/>
  <c r="N14" i="46"/>
  <c r="N15" i="46"/>
  <c r="N16" i="46"/>
  <c r="N17" i="46"/>
  <c r="N18" i="46"/>
  <c r="N19" i="46"/>
  <c r="N20" i="46"/>
  <c r="N21" i="46"/>
  <c r="N22" i="46"/>
  <c r="N23" i="46"/>
  <c r="N24" i="46"/>
  <c r="N25" i="46"/>
  <c r="N26" i="46"/>
  <c r="N27" i="46"/>
  <c r="N28" i="46"/>
  <c r="N29" i="46"/>
  <c r="N30" i="46"/>
  <c r="M13" i="46"/>
  <c r="M14" i="46"/>
  <c r="O14" i="46" s="1"/>
  <c r="M15" i="46"/>
  <c r="M16" i="46"/>
  <c r="M17" i="46"/>
  <c r="M18" i="46"/>
  <c r="M19" i="46"/>
  <c r="M20" i="46"/>
  <c r="M21" i="46"/>
  <c r="M22" i="46"/>
  <c r="M23" i="46"/>
  <c r="M24" i="46"/>
  <c r="M25" i="46"/>
  <c r="M26" i="46"/>
  <c r="M27" i="46"/>
  <c r="M28" i="46"/>
  <c r="M29" i="46"/>
  <c r="M30" i="46"/>
  <c r="O13" i="46"/>
  <c r="O15" i="46"/>
  <c r="O16" i="46"/>
  <c r="O17" i="46"/>
  <c r="O18" i="46"/>
  <c r="O19" i="46"/>
  <c r="O20" i="46"/>
  <c r="O21" i="46"/>
  <c r="O22" i="46"/>
  <c r="O23" i="46"/>
  <c r="O24" i="46"/>
  <c r="O25" i="46"/>
  <c r="O26" i="46"/>
  <c r="O27" i="46"/>
  <c r="O28" i="46"/>
  <c r="O29" i="46"/>
  <c r="O30" i="46"/>
  <c r="N10" i="46"/>
  <c r="N11" i="46"/>
  <c r="N12" i="46"/>
  <c r="M10" i="46"/>
  <c r="O10" i="46" s="1"/>
  <c r="M11" i="46"/>
  <c r="M12" i="46"/>
  <c r="O12" i="46" s="1"/>
  <c r="P31" i="47" l="1" a="1"/>
  <c r="P31" i="47" s="1"/>
  <c r="B4" i="32"/>
  <c r="B4" i="33"/>
  <c r="B4" i="34"/>
  <c r="O11" i="46"/>
  <c r="Q31" i="47"/>
  <c r="B4" i="46"/>
  <c r="C4" i="34"/>
  <c r="C4" i="32"/>
  <c r="C4" i="33"/>
  <c r="C4" i="46"/>
  <c r="P31" i="46"/>
  <c r="O31" i="46" l="1"/>
  <c r="L3" i="38" l="1"/>
  <c r="L4" i="38"/>
  <c r="L5" i="38"/>
  <c r="L6" i="38"/>
  <c r="L7" i="38"/>
  <c r="L8" i="38"/>
  <c r="L9" i="38"/>
  <c r="L10" i="38"/>
  <c r="L11" i="38"/>
  <c r="L12" i="38"/>
  <c r="L13" i="38"/>
  <c r="L14" i="38"/>
  <c r="L15" i="38"/>
  <c r="L16" i="38"/>
  <c r="L17" i="38"/>
  <c r="L18" i="38"/>
  <c r="L19" i="38"/>
  <c r="L20" i="38"/>
  <c r="L21" i="38"/>
  <c r="L22" i="38"/>
  <c r="L23" i="38"/>
  <c r="L24" i="38"/>
  <c r="L25" i="38"/>
  <c r="L26" i="38"/>
  <c r="L27" i="38"/>
  <c r="L28" i="38"/>
  <c r="L29" i="38"/>
  <c r="L30" i="38"/>
  <c r="L31" i="38"/>
  <c r="L32" i="38"/>
  <c r="L33" i="38"/>
  <c r="L34" i="38"/>
  <c r="L35" i="38"/>
  <c r="L36" i="38"/>
  <c r="L37" i="38"/>
  <c r="L38" i="38"/>
  <c r="L39" i="38"/>
  <c r="L40" i="38"/>
  <c r="L41" i="38"/>
  <c r="L42" i="38"/>
  <c r="L43" i="38"/>
  <c r="L44" i="38"/>
  <c r="L45" i="38"/>
  <c r="L46" i="38"/>
  <c r="L47" i="38"/>
  <c r="L48" i="38"/>
  <c r="L49" i="38"/>
  <c r="L50" i="38"/>
  <c r="L51" i="38"/>
  <c r="L52" i="38"/>
  <c r="L53" i="38"/>
  <c r="L54" i="38"/>
  <c r="L55" i="38"/>
  <c r="L56" i="38"/>
  <c r="L57" i="38"/>
  <c r="L58" i="38"/>
  <c r="L59" i="38"/>
  <c r="L60" i="38"/>
  <c r="L61" i="38"/>
  <c r="L62" i="38"/>
  <c r="L63" i="38"/>
  <c r="L64" i="38"/>
  <c r="L65" i="38"/>
  <c r="L66" i="38"/>
  <c r="L67" i="38"/>
  <c r="L68" i="38"/>
  <c r="L69" i="38"/>
  <c r="L70" i="38"/>
  <c r="L71" i="38"/>
  <c r="L72" i="38"/>
  <c r="L73" i="38"/>
  <c r="L74" i="38"/>
  <c r="L75" i="38"/>
  <c r="L76" i="38"/>
  <c r="L77" i="38"/>
  <c r="L78" i="38"/>
  <c r="L79" i="38"/>
  <c r="L80" i="38"/>
  <c r="L81" i="38"/>
  <c r="L82" i="38"/>
  <c r="L83" i="38"/>
  <c r="L84" i="38"/>
  <c r="L85" i="38"/>
  <c r="L86" i="38"/>
  <c r="L87" i="38"/>
  <c r="L88" i="38"/>
  <c r="L89" i="38"/>
  <c r="L90" i="38"/>
  <c r="L91" i="38"/>
  <c r="L92" i="38"/>
  <c r="L93" i="38"/>
  <c r="L94" i="38"/>
  <c r="L95" i="38"/>
  <c r="L96" i="38"/>
  <c r="L97" i="38"/>
  <c r="L98" i="38"/>
  <c r="L99" i="38"/>
  <c r="L100" i="38"/>
  <c r="L101" i="38"/>
  <c r="L102" i="38"/>
  <c r="L103" i="38"/>
  <c r="L104" i="38"/>
  <c r="L105" i="38"/>
  <c r="L106" i="38"/>
  <c r="L107" i="38"/>
  <c r="L108" i="38"/>
  <c r="L109" i="38"/>
  <c r="L110" i="38"/>
  <c r="L111" i="38"/>
  <c r="L112" i="38"/>
  <c r="L113" i="38"/>
  <c r="L114" i="38"/>
  <c r="L115" i="38"/>
  <c r="L116" i="38"/>
  <c r="L117" i="38"/>
  <c r="L118" i="38"/>
  <c r="L119" i="38"/>
  <c r="L120" i="38"/>
  <c r="L121" i="38"/>
  <c r="L122" i="38"/>
  <c r="Q126" i="38"/>
  <c r="Q127" i="38"/>
  <c r="Q128" i="38"/>
  <c r="Q129" i="38"/>
  <c r="Q130" i="38"/>
  <c r="Q131" i="38"/>
  <c r="L137" i="38"/>
  <c r="L138" i="38"/>
  <c r="L139" i="38"/>
  <c r="L140" i="38"/>
  <c r="L141" i="38"/>
  <c r="L142" i="38"/>
  <c r="Q142" i="38" s="1"/>
  <c r="L143" i="38"/>
  <c r="Q143" i="38" s="1"/>
  <c r="L144" i="38"/>
  <c r="Q144" i="38" s="1"/>
  <c r="L145" i="38"/>
  <c r="Q145" i="38" s="1"/>
  <c r="L146" i="38"/>
  <c r="Q146" i="38" s="1"/>
  <c r="L147" i="38"/>
  <c r="Q147" i="38" s="1"/>
  <c r="L148" i="38"/>
  <c r="Q148" i="38" s="1"/>
  <c r="L149" i="38"/>
  <c r="Q149" i="38" s="1"/>
  <c r="L150" i="38"/>
  <c r="Q150" i="38" s="1"/>
  <c r="L151" i="38"/>
  <c r="Q151" i="38" s="1"/>
  <c r="L152" i="38"/>
  <c r="Q152" i="38" s="1"/>
  <c r="L153" i="38"/>
  <c r="Q153" i="38" s="1"/>
  <c r="L154" i="38"/>
  <c r="Q154" i="38" s="1"/>
  <c r="L155" i="38"/>
  <c r="Q155" i="38" s="1"/>
  <c r="L156" i="38"/>
  <c r="Q156" i="38" s="1"/>
  <c r="L157" i="38"/>
  <c r="Q157" i="38" s="1"/>
  <c r="L158" i="38"/>
  <c r="Q158" i="38" s="1"/>
  <c r="L159" i="38"/>
  <c r="Q159" i="38" s="1"/>
  <c r="L160" i="38"/>
  <c r="Q160" i="38" s="1"/>
  <c r="L161" i="38"/>
  <c r="Q161" i="38" s="1"/>
  <c r="L162" i="38"/>
  <c r="Q162" i="38" s="1"/>
  <c r="L163" i="38"/>
  <c r="Q163" i="38" s="1"/>
  <c r="L164" i="38"/>
  <c r="Q164" i="38" s="1"/>
  <c r="L165" i="38"/>
  <c r="Q165" i="38" s="1"/>
  <c r="L166" i="38"/>
  <c r="Q166" i="38" s="1"/>
  <c r="L167" i="38"/>
  <c r="Q167" i="38" s="1"/>
  <c r="L168" i="38"/>
  <c r="Q168" i="38" s="1"/>
  <c r="L169" i="38"/>
  <c r="Q169" i="38" s="1"/>
  <c r="L170" i="38"/>
  <c r="Q170" i="38" s="1"/>
  <c r="L171" i="38"/>
  <c r="Q171" i="38" s="1"/>
  <c r="L172" i="38"/>
  <c r="Q172" i="38" s="1"/>
  <c r="L173" i="38"/>
  <c r="Q173" i="38" s="1"/>
  <c r="L174" i="38"/>
  <c r="Q174" i="38" s="1"/>
  <c r="L2" i="38"/>
  <c r="Q104" i="38" l="1"/>
  <c r="R104" i="38"/>
  <c r="S104" i="38" s="1"/>
  <c r="Z18" i="45"/>
  <c r="AI18" i="45" s="1"/>
  <c r="R118" i="38"/>
  <c r="S118" i="38" s="1"/>
  <c r="Q118" i="38"/>
  <c r="R110" i="38"/>
  <c r="S110" i="38" s="1"/>
  <c r="Q110" i="38"/>
  <c r="R102" i="38"/>
  <c r="S102" i="38" s="1"/>
  <c r="Q102" i="38"/>
  <c r="R94" i="38"/>
  <c r="S94" i="38" s="1"/>
  <c r="Q94" i="38"/>
  <c r="R86" i="38"/>
  <c r="S86" i="38" s="1"/>
  <c r="Q86" i="38"/>
  <c r="R78" i="38"/>
  <c r="S78" i="38" s="1"/>
  <c r="Q78" i="38"/>
  <c r="R70" i="38"/>
  <c r="S70" i="38" s="1"/>
  <c r="Q70" i="38"/>
  <c r="R62" i="38"/>
  <c r="S62" i="38" s="1"/>
  <c r="Q62" i="38"/>
  <c r="R54" i="38"/>
  <c r="S54" i="38" s="1"/>
  <c r="Q54" i="38"/>
  <c r="R46" i="38"/>
  <c r="S46" i="38" s="1"/>
  <c r="Q46" i="38"/>
  <c r="R38" i="38"/>
  <c r="S38" i="38" s="1"/>
  <c r="Q38" i="38"/>
  <c r="R30" i="38"/>
  <c r="S30" i="38" s="1"/>
  <c r="Q30" i="38"/>
  <c r="R22" i="38"/>
  <c r="S22" i="38" s="1"/>
  <c r="Q22" i="38"/>
  <c r="R14" i="38"/>
  <c r="S14" i="38" s="1"/>
  <c r="Q14" i="38"/>
  <c r="R6" i="38"/>
  <c r="S6" i="38" s="1"/>
  <c r="R117" i="38"/>
  <c r="S117" i="38" s="1"/>
  <c r="Q117" i="38"/>
  <c r="R109" i="38"/>
  <c r="S109" i="38" s="1"/>
  <c r="Q109" i="38"/>
  <c r="R101" i="38"/>
  <c r="S101" i="38" s="1"/>
  <c r="Q101" i="38"/>
  <c r="R93" i="38"/>
  <c r="S93" i="38" s="1"/>
  <c r="Q93" i="38"/>
  <c r="R85" i="38"/>
  <c r="S85" i="38" s="1"/>
  <c r="Q85" i="38"/>
  <c r="R77" i="38"/>
  <c r="S77" i="38" s="1"/>
  <c r="Q77" i="38"/>
  <c r="R69" i="38"/>
  <c r="S69" i="38" s="1"/>
  <c r="Q69" i="38"/>
  <c r="R61" i="38"/>
  <c r="S61" i="38" s="1"/>
  <c r="Q61" i="38"/>
  <c r="R53" i="38"/>
  <c r="S53" i="38" s="1"/>
  <c r="Q53" i="38"/>
  <c r="R49" i="38"/>
  <c r="S49" i="38" s="1"/>
  <c r="Q49" i="38"/>
  <c r="R37" i="38"/>
  <c r="S37" i="38" s="1"/>
  <c r="Q37" i="38"/>
  <c r="R29" i="38"/>
  <c r="S29" i="38" s="1"/>
  <c r="Q29" i="38"/>
  <c r="R25" i="38"/>
  <c r="S25" i="38" s="1"/>
  <c r="Q25" i="38"/>
  <c r="R17" i="38"/>
  <c r="S17" i="38" s="1"/>
  <c r="Q17" i="38"/>
  <c r="R13" i="38"/>
  <c r="S13" i="38" s="1"/>
  <c r="Q13" i="38"/>
  <c r="R9" i="38"/>
  <c r="S9" i="38" s="1"/>
  <c r="Q9" i="38"/>
  <c r="R5" i="38"/>
  <c r="S5" i="38" s="1"/>
  <c r="Q5" i="38"/>
  <c r="Q141" i="38"/>
  <c r="Q137" i="38"/>
  <c r="R120" i="38"/>
  <c r="S120" i="38" s="1"/>
  <c r="Q120" i="38"/>
  <c r="R116" i="38"/>
  <c r="S116" i="38" s="1"/>
  <c r="Q116" i="38"/>
  <c r="R112" i="38"/>
  <c r="S112" i="38" s="1"/>
  <c r="Q112" i="38"/>
  <c r="R108" i="38"/>
  <c r="S108" i="38" s="1"/>
  <c r="Q108" i="38"/>
  <c r="R100" i="38"/>
  <c r="S100" i="38" s="1"/>
  <c r="Q100" i="38"/>
  <c r="Q96" i="38"/>
  <c r="R92" i="38"/>
  <c r="S92" i="38" s="1"/>
  <c r="Q92" i="38"/>
  <c r="R88" i="38"/>
  <c r="S88" i="38" s="1"/>
  <c r="Q88" i="38"/>
  <c r="R84" i="38"/>
  <c r="S84" i="38" s="1"/>
  <c r="Q84" i="38"/>
  <c r="R80" i="38"/>
  <c r="S80" i="38" s="1"/>
  <c r="Q80" i="38"/>
  <c r="R76" i="38"/>
  <c r="S76" i="38" s="1"/>
  <c r="Q76" i="38"/>
  <c r="R72" i="38"/>
  <c r="S72" i="38" s="1"/>
  <c r="Q72" i="38"/>
  <c r="R68" i="38"/>
  <c r="S68" i="38" s="1"/>
  <c r="Q68" i="38"/>
  <c r="R64" i="38"/>
  <c r="S64" i="38" s="1"/>
  <c r="Q64" i="38"/>
  <c r="R60" i="38"/>
  <c r="S60" i="38" s="1"/>
  <c r="Q60" i="38"/>
  <c r="R56" i="38"/>
  <c r="S56" i="38" s="1"/>
  <c r="Q56" i="38"/>
  <c r="R52" i="38"/>
  <c r="S52" i="38" s="1"/>
  <c r="Q52" i="38"/>
  <c r="R48" i="38"/>
  <c r="S48" i="38" s="1"/>
  <c r="Q48" i="38"/>
  <c r="R44" i="38"/>
  <c r="S44" i="38" s="1"/>
  <c r="Q44" i="38"/>
  <c r="R40" i="38"/>
  <c r="S40" i="38" s="1"/>
  <c r="Q40" i="38"/>
  <c r="R36" i="38"/>
  <c r="S36" i="38" s="1"/>
  <c r="Q36" i="38"/>
  <c r="R32" i="38"/>
  <c r="S32" i="38" s="1"/>
  <c r="Q32" i="38"/>
  <c r="R28" i="38"/>
  <c r="S28" i="38" s="1"/>
  <c r="Q28" i="38"/>
  <c r="R24" i="38"/>
  <c r="S24" i="38" s="1"/>
  <c r="Q24" i="38"/>
  <c r="R20" i="38"/>
  <c r="S20" i="38" s="1"/>
  <c r="Q20" i="38"/>
  <c r="R16" i="38"/>
  <c r="S16" i="38" s="1"/>
  <c r="Q16" i="38"/>
  <c r="R12" i="38"/>
  <c r="S12" i="38" s="1"/>
  <c r="Q12" i="38"/>
  <c r="R8" i="38"/>
  <c r="S8" i="38" s="1"/>
  <c r="Q8" i="38"/>
  <c r="R4" i="38"/>
  <c r="S4" i="38" s="1"/>
  <c r="Q4" i="38"/>
  <c r="R2" i="38"/>
  <c r="Q2" i="38"/>
  <c r="Q139" i="38"/>
  <c r="Q133" i="38"/>
  <c r="R122" i="38"/>
  <c r="S122" i="38" s="1"/>
  <c r="Q122" i="38"/>
  <c r="R114" i="38"/>
  <c r="S114" i="38" s="1"/>
  <c r="Q114" i="38"/>
  <c r="R106" i="38"/>
  <c r="S106" i="38" s="1"/>
  <c r="Q106" i="38"/>
  <c r="R98" i="38"/>
  <c r="S98" i="38" s="1"/>
  <c r="Q98" i="38"/>
  <c r="R90" i="38"/>
  <c r="S90" i="38" s="1"/>
  <c r="Q90" i="38"/>
  <c r="R82" i="38"/>
  <c r="S82" i="38" s="1"/>
  <c r="Q82" i="38"/>
  <c r="R74" i="38"/>
  <c r="S74" i="38" s="1"/>
  <c r="Q74" i="38"/>
  <c r="R66" i="38"/>
  <c r="S66" i="38" s="1"/>
  <c r="Q66" i="38"/>
  <c r="R58" i="38"/>
  <c r="S58" i="38" s="1"/>
  <c r="Q58" i="38"/>
  <c r="R50" i="38"/>
  <c r="S50" i="38" s="1"/>
  <c r="Q50" i="38"/>
  <c r="R42" i="38"/>
  <c r="S42" i="38" s="1"/>
  <c r="Q42" i="38"/>
  <c r="R34" i="38"/>
  <c r="S34" i="38" s="1"/>
  <c r="Q34" i="38"/>
  <c r="R26" i="38"/>
  <c r="S26" i="38" s="1"/>
  <c r="Q26" i="38"/>
  <c r="R18" i="38"/>
  <c r="S18" i="38" s="1"/>
  <c r="Q18" i="38"/>
  <c r="R10" i="38"/>
  <c r="S10" i="38" s="1"/>
  <c r="Q10" i="38"/>
  <c r="Q138" i="38"/>
  <c r="Q132" i="38"/>
  <c r="C3" i="38" s="1"/>
  <c r="Q121" i="38"/>
  <c r="R113" i="38"/>
  <c r="S113" i="38" s="1"/>
  <c r="Q113" i="38"/>
  <c r="R105" i="38"/>
  <c r="S105" i="38" s="1"/>
  <c r="Q105" i="38"/>
  <c r="R97" i="38"/>
  <c r="S97" i="38" s="1"/>
  <c r="Q97" i="38"/>
  <c r="R89" i="38"/>
  <c r="S89" i="38" s="1"/>
  <c r="Q89" i="38"/>
  <c r="R81" i="38"/>
  <c r="S81" i="38" s="1"/>
  <c r="Q81" i="38"/>
  <c r="R73" i="38"/>
  <c r="S73" i="38" s="1"/>
  <c r="Q73" i="38"/>
  <c r="R65" i="38"/>
  <c r="S65" i="38" s="1"/>
  <c r="Q65" i="38"/>
  <c r="R57" i="38"/>
  <c r="S57" i="38" s="1"/>
  <c r="Q57" i="38"/>
  <c r="R45" i="38"/>
  <c r="S45" i="38" s="1"/>
  <c r="Q45" i="38"/>
  <c r="R41" i="38"/>
  <c r="S41" i="38" s="1"/>
  <c r="Q41" i="38"/>
  <c r="R33" i="38"/>
  <c r="S33" i="38" s="1"/>
  <c r="Q33" i="38"/>
  <c r="R21" i="38"/>
  <c r="S21" i="38" s="1"/>
  <c r="Q21" i="38"/>
  <c r="Q140" i="38"/>
  <c r="Q134" i="38"/>
  <c r="R119" i="38"/>
  <c r="S119" i="38" s="1"/>
  <c r="Q119" i="38"/>
  <c r="R115" i="38"/>
  <c r="S115" i="38" s="1"/>
  <c r="Q115" i="38"/>
  <c r="R111" i="38"/>
  <c r="S111" i="38" s="1"/>
  <c r="Q111" i="38"/>
  <c r="R107" i="38"/>
  <c r="S107" i="38" s="1"/>
  <c r="Q107" i="38"/>
  <c r="R103" i="38"/>
  <c r="S103" i="38" s="1"/>
  <c r="Q103" i="38"/>
  <c r="R99" i="38"/>
  <c r="S99" i="38" s="1"/>
  <c r="Q99" i="38"/>
  <c r="R95" i="38"/>
  <c r="S95" i="38" s="1"/>
  <c r="Q95" i="38"/>
  <c r="R91" i="38"/>
  <c r="S91" i="38" s="1"/>
  <c r="Q91" i="38"/>
  <c r="R87" i="38"/>
  <c r="S87" i="38" s="1"/>
  <c r="Q87" i="38"/>
  <c r="R83" i="38"/>
  <c r="S83" i="38" s="1"/>
  <c r="Q83" i="38"/>
  <c r="R79" i="38"/>
  <c r="S79" i="38" s="1"/>
  <c r="Q79" i="38"/>
  <c r="R75" i="38"/>
  <c r="S75" i="38" s="1"/>
  <c r="Q75" i="38"/>
  <c r="R71" i="38"/>
  <c r="S71" i="38" s="1"/>
  <c r="Q71" i="38"/>
  <c r="R67" i="38"/>
  <c r="S67" i="38" s="1"/>
  <c r="Q67" i="38"/>
  <c r="R63" i="38"/>
  <c r="S63" i="38" s="1"/>
  <c r="Q63" i="38"/>
  <c r="R59" i="38"/>
  <c r="S59" i="38" s="1"/>
  <c r="Q59" i="38"/>
  <c r="R55" i="38"/>
  <c r="S55" i="38" s="1"/>
  <c r="Q55" i="38"/>
  <c r="R51" i="38"/>
  <c r="S51" i="38" s="1"/>
  <c r="Q51" i="38"/>
  <c r="R47" i="38"/>
  <c r="S47" i="38" s="1"/>
  <c r="Q47" i="38"/>
  <c r="R43" i="38"/>
  <c r="S43" i="38" s="1"/>
  <c r="Q43" i="38"/>
  <c r="R39" i="38"/>
  <c r="S39" i="38" s="1"/>
  <c r="Q39" i="38"/>
  <c r="R35" i="38"/>
  <c r="S35" i="38" s="1"/>
  <c r="Q35" i="38"/>
  <c r="R31" i="38"/>
  <c r="S31" i="38" s="1"/>
  <c r="Q31" i="38"/>
  <c r="R27" i="38"/>
  <c r="S27" i="38" s="1"/>
  <c r="Q27" i="38"/>
  <c r="R23" i="38"/>
  <c r="S23" i="38" s="1"/>
  <c r="Q23" i="38"/>
  <c r="R19" i="38"/>
  <c r="S19" i="38" s="1"/>
  <c r="Q19" i="38"/>
  <c r="R15" i="38"/>
  <c r="S15" i="38" s="1"/>
  <c r="Q15" i="38"/>
  <c r="R11" i="38"/>
  <c r="S11" i="38" s="1"/>
  <c r="Q11" i="38"/>
  <c r="R7" i="38"/>
  <c r="S7" i="38" s="1"/>
  <c r="Q7" i="38"/>
  <c r="R3" i="38"/>
  <c r="Q3" i="38"/>
  <c r="C3" i="45"/>
  <c r="Z33" i="45"/>
  <c r="AI33" i="45" s="1"/>
  <c r="Z37" i="45"/>
  <c r="Z41" i="45"/>
  <c r="AI41" i="45" s="1"/>
  <c r="Z14" i="45"/>
  <c r="AI14" i="45" s="1"/>
  <c r="Z25" i="45"/>
  <c r="Z29" i="45"/>
  <c r="AI29" i="45" s="1"/>
  <c r="Z22" i="45"/>
  <c r="V22" i="45" s="1"/>
  <c r="Z34" i="45"/>
  <c r="Z38" i="45"/>
  <c r="Z42" i="45"/>
  <c r="AI42" i="45" s="1"/>
  <c r="Z15" i="45"/>
  <c r="Z19" i="45"/>
  <c r="Z26" i="45"/>
  <c r="Z30" i="45"/>
  <c r="Q6" i="38"/>
  <c r="Z23" i="45"/>
  <c r="V23" i="45" s="1"/>
  <c r="Z35" i="45"/>
  <c r="Z39" i="45"/>
  <c r="Z12" i="45"/>
  <c r="AI12" i="45" s="1"/>
  <c r="Z16" i="45"/>
  <c r="Z20" i="45"/>
  <c r="AI20" i="45" s="1"/>
  <c r="Z27" i="45"/>
  <c r="Z31" i="45"/>
  <c r="Z24" i="45"/>
  <c r="Z36" i="45"/>
  <c r="Z40" i="45"/>
  <c r="AI40" i="45" s="1"/>
  <c r="Z13" i="45"/>
  <c r="Z17" i="45"/>
  <c r="Z21" i="45"/>
  <c r="AI21" i="45" s="1"/>
  <c r="AA21" i="45" s="1"/>
  <c r="W21" i="45" s="1"/>
  <c r="Z28" i="45"/>
  <c r="Z32" i="45"/>
  <c r="AI32" i="45" s="1"/>
  <c r="C3" i="50"/>
  <c r="C3" i="49"/>
  <c r="K3" i="38"/>
  <c r="B1" i="45"/>
  <c r="C2" i="38"/>
  <c r="H13" i="45"/>
  <c r="AF13" i="45" s="1"/>
  <c r="H14" i="45"/>
  <c r="H15" i="45"/>
  <c r="AG15" i="45" s="1"/>
  <c r="H16" i="45"/>
  <c r="AG16" i="45" s="1"/>
  <c r="H17" i="45"/>
  <c r="V14" i="45" l="1"/>
  <c r="AG14" i="45"/>
  <c r="V13" i="45"/>
  <c r="AG13" i="45"/>
  <c r="AI39" i="45"/>
  <c r="X39" i="45"/>
  <c r="V15" i="45"/>
  <c r="V17" i="45"/>
  <c r="AJ16" i="45"/>
  <c r="V16" i="45"/>
  <c r="AJ17" i="45"/>
  <c r="AI19" i="45"/>
  <c r="AI15" i="45"/>
  <c r="AI22" i="45"/>
  <c r="AA22" i="45" s="1"/>
  <c r="W22" i="45" s="1"/>
  <c r="X22" i="45" s="1"/>
  <c r="X28" i="45"/>
  <c r="AI28" i="45"/>
  <c r="X27" i="45"/>
  <c r="AI27" i="45"/>
  <c r="AI38" i="45"/>
  <c r="AI24" i="45"/>
  <c r="X24" i="45"/>
  <c r="AI34" i="45"/>
  <c r="X34" i="45"/>
  <c r="X30" i="45"/>
  <c r="AI30" i="45"/>
  <c r="X21" i="45"/>
  <c r="AI36" i="45"/>
  <c r="AI35" i="45"/>
  <c r="X35" i="45"/>
  <c r="AI26" i="45"/>
  <c r="X26" i="45"/>
  <c r="AI25" i="45"/>
  <c r="X25" i="45"/>
  <c r="AI37" i="45"/>
  <c r="AI17" i="45"/>
  <c r="AI16" i="45"/>
  <c r="AI23" i="45"/>
  <c r="AA23" i="45" s="1"/>
  <c r="W23" i="45" s="1"/>
  <c r="X23" i="45"/>
  <c r="AI13" i="45"/>
  <c r="AI31" i="45"/>
  <c r="X31" i="45"/>
  <c r="AJ15" i="45"/>
  <c r="A6" i="45"/>
  <c r="X29" i="45"/>
  <c r="X32" i="45"/>
  <c r="AH17" i="45"/>
  <c r="AH13" i="45"/>
  <c r="AH15" i="45"/>
  <c r="AH16" i="45"/>
  <c r="AH14" i="45"/>
  <c r="AB42" i="50"/>
  <c r="X7" i="50" s="1"/>
  <c r="Y7" i="50" s="1"/>
  <c r="D7" i="50"/>
  <c r="D7" i="49"/>
  <c r="B3" i="34"/>
  <c r="B3" i="46"/>
  <c r="B3" i="47"/>
  <c r="AI11" i="45" l="1"/>
  <c r="X4" i="45"/>
  <c r="AA15" i="45"/>
  <c r="W15" i="45" s="1"/>
  <c r="AA16" i="45"/>
  <c r="W16" i="45" s="1"/>
  <c r="X16" i="45" s="1"/>
  <c r="AA17" i="45"/>
  <c r="W17" i="45" s="1"/>
  <c r="X26" i="50"/>
  <c r="X31" i="50"/>
  <c r="AA35" i="50" s="1"/>
  <c r="X25" i="50"/>
  <c r="X19" i="50"/>
  <c r="X18" i="50"/>
  <c r="X14" i="45" l="1"/>
  <c r="X15" i="45"/>
  <c r="X17" i="45"/>
  <c r="AA28" i="50"/>
  <c r="X43" i="50"/>
  <c r="X44" i="50" s="1"/>
  <c r="AA21" i="50"/>
  <c r="AB17" i="45" l="1"/>
  <c r="H18" i="45"/>
  <c r="V18" i="45" s="1"/>
  <c r="H19" i="45"/>
  <c r="V19" i="45" s="1"/>
  <c r="H20" i="45"/>
  <c r="V20" i="45" s="1"/>
  <c r="H24" i="45"/>
  <c r="H25" i="45"/>
  <c r="H26" i="45"/>
  <c r="H27" i="45"/>
  <c r="H28" i="45"/>
  <c r="H29" i="45"/>
  <c r="H30" i="45"/>
  <c r="H32" i="45"/>
  <c r="H33" i="45"/>
  <c r="H34" i="45"/>
  <c r="H35" i="45"/>
  <c r="H36" i="45"/>
  <c r="H37" i="45"/>
  <c r="H38" i="45"/>
  <c r="H39" i="45"/>
  <c r="H40" i="45"/>
  <c r="V40" i="45" s="1"/>
  <c r="V38" i="45" l="1"/>
  <c r="X38" i="45" s="1"/>
  <c r="AJ38" i="45"/>
  <c r="V37" i="45"/>
  <c r="X37" i="45" s="1"/>
  <c r="AJ37" i="45"/>
  <c r="V36" i="45"/>
  <c r="X36" i="45" s="1"/>
  <c r="AJ36" i="45"/>
  <c r="X33" i="45"/>
  <c r="AJ20" i="45"/>
  <c r="AJ19" i="45"/>
  <c r="AJ18" i="45"/>
  <c r="AH36" i="45"/>
  <c r="AH27" i="45"/>
  <c r="AH39" i="45"/>
  <c r="AH35" i="45"/>
  <c r="AH30" i="45"/>
  <c r="AH26" i="45"/>
  <c r="AH19" i="45"/>
  <c r="AH40" i="45"/>
  <c r="AH32" i="45"/>
  <c r="AH20" i="45"/>
  <c r="AH38" i="45"/>
  <c r="AH34" i="45"/>
  <c r="AH29" i="45"/>
  <c r="AH25" i="45"/>
  <c r="AH18" i="45"/>
  <c r="AH37" i="45"/>
  <c r="AH33" i="45"/>
  <c r="AH28" i="45"/>
  <c r="AH24" i="45"/>
  <c r="F43" i="45"/>
  <c r="B3" i="33"/>
  <c r="B2" i="33"/>
  <c r="B3" i="32"/>
  <c r="B2" i="32"/>
  <c r="AA28" i="45" l="1"/>
  <c r="W28" i="45" s="1"/>
  <c r="AA25" i="45"/>
  <c r="W25" i="45" s="1"/>
  <c r="AA20" i="45"/>
  <c r="W20" i="45" s="1"/>
  <c r="AA27" i="45"/>
  <c r="W27" i="45" s="1"/>
  <c r="AA18" i="45"/>
  <c r="W18" i="45" s="1"/>
  <c r="AA36" i="45"/>
  <c r="W36" i="45" s="1"/>
  <c r="AA19" i="45"/>
  <c r="W19" i="45" s="1"/>
  <c r="AA37" i="45"/>
  <c r="W37" i="45" s="1"/>
  <c r="AA24" i="45"/>
  <c r="W24" i="45" s="1"/>
  <c r="AA29" i="45"/>
  <c r="W29" i="45" s="1"/>
  <c r="AA38" i="45"/>
  <c r="W38" i="45" s="1"/>
  <c r="AA26" i="45"/>
  <c r="W26" i="45" s="1"/>
  <c r="AA30" i="45"/>
  <c r="W30" i="45" s="1"/>
  <c r="AE16" i="45"/>
  <c r="AE17" i="45"/>
  <c r="U43" i="45"/>
  <c r="T5" i="45" s="1"/>
  <c r="T43" i="45"/>
  <c r="S43" i="45"/>
  <c r="R43" i="45"/>
  <c r="Q43" i="45"/>
  <c r="P43" i="45"/>
  <c r="O43" i="45"/>
  <c r="N43" i="45"/>
  <c r="M43" i="45"/>
  <c r="L43" i="45"/>
  <c r="J43" i="45"/>
  <c r="G43" i="45"/>
  <c r="H42" i="45"/>
  <c r="AF42" i="45" s="1"/>
  <c r="H41" i="45"/>
  <c r="B41" i="45"/>
  <c r="B40" i="45"/>
  <c r="B39" i="45"/>
  <c r="B38" i="45"/>
  <c r="B37" i="45"/>
  <c r="B36" i="45"/>
  <c r="B35" i="45"/>
  <c r="B34" i="45"/>
  <c r="B33" i="45"/>
  <c r="B32" i="45"/>
  <c r="B31" i="45"/>
  <c r="B30" i="45"/>
  <c r="B29" i="45"/>
  <c r="B28" i="45"/>
  <c r="B27" i="45"/>
  <c r="B26" i="45"/>
  <c r="B25" i="45"/>
  <c r="B24" i="45"/>
  <c r="B23" i="45"/>
  <c r="B22" i="45"/>
  <c r="B21" i="45"/>
  <c r="B20" i="45"/>
  <c r="B19" i="45"/>
  <c r="B18" i="45"/>
  <c r="B17" i="45"/>
  <c r="B16" i="45"/>
  <c r="B15" i="45"/>
  <c r="AF11" i="45" l="1"/>
  <c r="X1" i="45"/>
  <c r="T4" i="45"/>
  <c r="V42" i="45"/>
  <c r="X41" i="45"/>
  <c r="X20" i="45"/>
  <c r="X18" i="45"/>
  <c r="X19" i="45"/>
  <c r="AH41" i="45"/>
  <c r="AH42" i="45"/>
  <c r="AE23" i="45"/>
  <c r="AE30" i="45"/>
  <c r="E39" i="34"/>
  <c r="J31" i="33"/>
  <c r="AB26" i="45" l="1"/>
  <c r="AE26" i="45" s="1"/>
  <c r="AB28" i="45"/>
  <c r="AB24" i="45"/>
  <c r="AB38" i="45"/>
  <c r="AE18" i="45"/>
  <c r="AE25" i="45"/>
  <c r="AE39" i="45"/>
  <c r="AE27" i="45"/>
  <c r="J2" i="50"/>
  <c r="J3" i="49"/>
  <c r="J3" i="45"/>
  <c r="J3" i="50"/>
  <c r="J2" i="49"/>
  <c r="AC21" i="45" l="1"/>
  <c r="AE38" i="45"/>
  <c r="AE28" i="45"/>
  <c r="AE24" i="45"/>
  <c r="AE41" i="45"/>
  <c r="E43" i="45" l="1"/>
  <c r="H31" i="45"/>
  <c r="AH31" i="45" l="1"/>
  <c r="H43" i="45"/>
  <c r="AA31" i="45" l="1"/>
  <c r="W31" i="45" s="1"/>
  <c r="X3" i="45"/>
  <c r="AH11" i="45"/>
  <c r="AE37" i="45"/>
  <c r="AE34" i="45" l="1"/>
  <c r="AB31" i="45" l="1"/>
  <c r="AE31" i="45" s="1"/>
  <c r="AE32" i="45"/>
  <c r="AE13" i="45"/>
  <c r="Y4" i="45"/>
  <c r="Y3" i="45"/>
  <c r="Y1" i="45"/>
  <c r="AE20" i="45" l="1"/>
  <c r="X42" i="45" l="1"/>
  <c r="AC14" i="45" l="1"/>
  <c r="AJ13" i="45" l="1"/>
  <c r="AA13" i="45" l="1"/>
  <c r="W13" i="45" s="1"/>
  <c r="X13" i="45" s="1"/>
  <c r="AB21" i="45" s="1"/>
  <c r="AE21" i="45" s="1"/>
  <c r="AJ14" i="45"/>
  <c r="AA14" i="45" s="1"/>
  <c r="W14" i="45" s="1"/>
  <c r="AJ12" i="45"/>
  <c r="V12" i="45"/>
  <c r="AA12" i="45" l="1"/>
  <c r="W12" i="45" s="1"/>
  <c r="X12" i="45" s="1"/>
  <c r="K40" i="45"/>
  <c r="AG40" i="45" s="1"/>
  <c r="K39" i="45"/>
  <c r="AG39" i="45" s="1"/>
  <c r="AJ40" i="45" l="1"/>
  <c r="AB19" i="45"/>
  <c r="AJ39" i="45"/>
  <c r="AE19" i="45" l="1"/>
  <c r="AC19" i="45"/>
  <c r="AB1" i="45" s="1"/>
  <c r="AC1" i="45" s="1"/>
  <c r="AA40" i="45"/>
  <c r="W40" i="45" s="1"/>
  <c r="X40" i="45" s="1"/>
  <c r="X43" i="45" s="1"/>
  <c r="AJ41" i="45"/>
  <c r="AG42" i="45"/>
  <c r="AJ42" i="45"/>
  <c r="AA39" i="45"/>
  <c r="W39" i="45" s="1"/>
  <c r="X44" i="45" l="1"/>
  <c r="AA42" i="45"/>
  <c r="W42" i="45" s="1"/>
  <c r="AA41" i="45"/>
  <c r="W41" i="45" s="1"/>
  <c r="AB42" i="45" l="1"/>
  <c r="AE42" i="45" s="1"/>
  <c r="K35" i="45" l="1"/>
  <c r="K34" i="45"/>
  <c r="K32" i="45" l="1"/>
  <c r="K33" i="45"/>
  <c r="AG34" i="45"/>
  <c r="AJ34" i="45"/>
  <c r="AG35" i="45"/>
  <c r="AJ35" i="45"/>
  <c r="K43" i="45"/>
  <c r="AJ33" i="45" l="1"/>
  <c r="AG33" i="45"/>
  <c r="AG32" i="45"/>
  <c r="AJ32" i="45"/>
  <c r="AA35" i="45"/>
  <c r="W35" i="45" s="1"/>
  <c r="AA34" i="45"/>
  <c r="W34" i="45" s="1"/>
  <c r="X5" i="45" l="1"/>
  <c r="Y5" i="45" s="1"/>
  <c r="AB40" i="45"/>
  <c r="AE40" i="45" s="1"/>
  <c r="AG11" i="45"/>
  <c r="AF10" i="45"/>
  <c r="AA32" i="45"/>
  <c r="X2" i="45"/>
  <c r="Y2" i="45" s="1"/>
  <c r="AJ11" i="45"/>
  <c r="AA33" i="45"/>
  <c r="W33" i="45" s="1"/>
  <c r="AB35" i="45"/>
  <c r="AE35" i="45" s="1"/>
  <c r="AB14" i="45"/>
  <c r="AE14" i="45" s="1"/>
  <c r="W32" i="45" l="1"/>
  <c r="X6" i="45"/>
  <c r="AB12" i="45" l="1"/>
  <c r="AE12" i="45" s="1"/>
  <c r="Y6" i="45"/>
  <c r="AB33" i="45"/>
  <c r="AE33" i="45" s="1"/>
  <c r="AE44" i="45" s="1"/>
  <c r="V43" i="45"/>
  <c r="T2" i="45" s="1"/>
  <c r="R44" i="4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Patrik Hedqvist</author>
    <author>Malin Westerlund</author>
    <author>Lars Engelbrekts</author>
    <author>Lena Sörell</author>
  </authors>
  <commentList>
    <comment ref="J1" authorId="0" shapeId="0" xr:uid="{9E689628-85A6-4DCF-965F-A9EA2FA3EC0D}">
      <text>
        <r>
          <rPr>
            <b/>
            <sz val="9"/>
            <color indexed="81"/>
            <rFont val="Tahoma"/>
            <family val="2"/>
          </rPr>
          <t xml:space="preserve">Välj Ja om du vill ha matavdrag automatiskt, annars väljer du Nej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" authorId="1" shapeId="0" xr:uid="{5627194A-6CA5-43E3-AAC7-DA729440362E}">
      <text>
        <r>
          <rPr>
            <b/>
            <sz val="9"/>
            <color indexed="81"/>
            <rFont val="Tahoma"/>
            <family val="2"/>
          </rPr>
          <t>OBS! Ditt anställningsID måste anges (4 siffror). Vilket nummer du har hittar du på lönebeskedet (eller fråga löneavdelningen om du är ny).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" authorId="1" shapeId="0" xr:uid="{83E02161-EC63-429D-816A-BD925D846027}">
      <text>
        <r>
          <rPr>
            <b/>
            <sz val="9"/>
            <color indexed="81"/>
            <rFont val="Tahoma"/>
            <family val="2"/>
          </rPr>
          <t xml:space="preserve">Ange positivt flexsaldo här. 
</t>
        </r>
        <r>
          <rPr>
            <sz val="9"/>
            <color indexed="81"/>
            <rFont val="Tahoma"/>
            <family val="2"/>
          </rPr>
          <t xml:space="preserve">Skrivs in i formatet tt:mm
</t>
        </r>
      </text>
    </comment>
    <comment ref="S3" authorId="1" shapeId="0" xr:uid="{08E6C6CA-181C-49FD-869B-97F49EE716E0}">
      <text>
        <r>
          <rPr>
            <b/>
            <sz val="9"/>
            <color indexed="81"/>
            <rFont val="Tahoma"/>
            <family val="2"/>
          </rPr>
          <t xml:space="preserve">Ange negativt flexsaldo här (utan minus).
</t>
        </r>
        <r>
          <rPr>
            <sz val="9"/>
            <color indexed="81"/>
            <rFont val="Tahoma"/>
            <family val="2"/>
          </rPr>
          <t xml:space="preserve">Skrivs in i formatet tt:mm
</t>
        </r>
      </text>
    </comment>
    <comment ref="S4" authorId="1" shapeId="0" xr:uid="{317262C1-EFB5-4255-856E-0D979484A89D}">
      <text>
        <r>
          <rPr>
            <b/>
            <sz val="9"/>
            <color indexed="81"/>
            <rFont val="Tahoma"/>
            <family val="2"/>
          </rPr>
          <t>Fyll i ditt ingående kompsaldo här.</t>
        </r>
        <r>
          <rPr>
            <sz val="9"/>
            <color indexed="81"/>
            <rFont val="Tahoma"/>
            <family val="2"/>
          </rPr>
          <t xml:space="preserve">
Skrivs in i formatet tt:mm</t>
        </r>
      </text>
    </comment>
    <comment ref="S5" authorId="1" shapeId="0" xr:uid="{37324662-B2E2-46A5-A0F7-D7348B153D89}">
      <text>
        <r>
          <rPr>
            <sz val="9"/>
            <color indexed="81"/>
            <rFont val="Tahoma"/>
            <family val="2"/>
          </rPr>
          <t xml:space="preserve">Fyll i ditt ingående ATF-saldo här (kommer synas på lönespecen fr.o.m maj)
</t>
        </r>
      </text>
    </comment>
    <comment ref="D6" authorId="1" shapeId="0" xr:uid="{CEB1C8E5-DA37-4114-A078-0D9148F2532E}">
      <text>
        <r>
          <rPr>
            <b/>
            <sz val="9"/>
            <color indexed="81"/>
            <rFont val="Tahoma"/>
            <family val="2"/>
          </rPr>
          <t>Vid röda dagar under löneperioden hämtas din framräknade genomsnittliga arbetstid per dag (information från löneavdelningen)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8" authorId="1" shapeId="0" xr:uid="{FA5C6DAE-3382-458F-9FB1-E814DA303657}">
      <text>
        <r>
          <rPr>
            <b/>
            <sz val="9"/>
            <color indexed="81"/>
            <rFont val="Tahoma"/>
            <family val="2"/>
          </rPr>
          <t xml:space="preserve">Faktisk arbetad tid + frånvaro. Vid mer/mindre än 40 timmar i veckan kommer dessa timmar automatiskt att hanteras som flex. Kontrollera om det ska vara något annat, t.ex övertid/komp/ATF/tjänstledighet eller om det ligger rätt. </t>
        </r>
      </text>
    </comment>
    <comment ref="G10" authorId="2" shapeId="0" xr:uid="{E5B3BA1F-F272-4827-9F11-E08552FFA0E1}">
      <text>
        <r>
          <rPr>
            <b/>
            <sz val="9"/>
            <color indexed="81"/>
            <rFont val="Tahoma"/>
            <family val="2"/>
          </rPr>
          <t>Enbart frånvaro kan ej registreras. Negativ tid kan inte visas i summa tid.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0" authorId="2" shapeId="0" xr:uid="{573DC6C6-68A4-4FB4-8693-1E8F2A8F7F6D}">
      <text>
        <r>
          <rPr>
            <b/>
            <sz val="9"/>
            <color indexed="81"/>
            <rFont val="Tahoma"/>
            <family val="2"/>
          </rPr>
          <t>I denna kolumn ska det stå BL vid de dagar du har ätit cateringlunch i Näsviken.</t>
        </r>
      </text>
    </comment>
    <comment ref="J10" authorId="3" shapeId="0" xr:uid="{BB4628B9-DF8F-40DD-A4A5-205D50908A65}">
      <text>
        <r>
          <rPr>
            <b/>
            <sz val="9"/>
            <color indexed="81"/>
            <rFont val="Tahoma"/>
            <family val="2"/>
          </rPr>
          <t xml:space="preserve">I denna kolumn kan du skriva in motionstimmar.  Det är 5 timmar per månad som man får använda av sin arbetstid. </t>
        </r>
      </text>
    </comment>
    <comment ref="O11" authorId="1" shapeId="0" xr:uid="{65500E70-7F29-4C67-957F-AC362D94CA02}">
      <text>
        <r>
          <rPr>
            <b/>
            <sz val="9"/>
            <color indexed="81"/>
            <rFont val="Tahoma"/>
            <family val="2"/>
          </rPr>
          <t>Fyll i dina semesterdagar med 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1" authorId="1" shapeId="0" xr:uid="{AF080B3C-D1D7-42AC-A13B-B4C34A74A00D}">
      <text>
        <r>
          <rPr>
            <b/>
            <sz val="9"/>
            <color indexed="81"/>
            <rFont val="Tahoma"/>
            <family val="2"/>
          </rPr>
          <t>T.ex 10-dagar, närståendevård, graviditetspenning, smittbärare etc. Kombineras med en kommentar om vad det avser.</t>
        </r>
      </text>
    </comment>
    <comment ref="Q11" authorId="1" shapeId="0" xr:uid="{E7314F9B-D528-4735-AC0E-9CC41734EB23}">
      <text>
        <r>
          <rPr>
            <b/>
            <sz val="9"/>
            <color indexed="81"/>
            <rFont val="Tahoma"/>
            <family val="2"/>
          </rPr>
          <t>Registrera endast restid utanför arbetstiden (7:30-16:30)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Patrik Hedqvist</author>
    <author>Malin Westerlund</author>
    <author>Lars Engelbrekts</author>
    <author>Lena Sörell</author>
  </authors>
  <commentList>
    <comment ref="J1" authorId="0" shapeId="0" xr:uid="{42FAB150-E801-44B5-8DC7-BA53242A00CB}">
      <text>
        <r>
          <rPr>
            <b/>
            <sz val="9"/>
            <color indexed="81"/>
            <rFont val="Tahoma"/>
            <family val="2"/>
          </rPr>
          <t xml:space="preserve">Välj Ja om du vill ha matavdrag automatiskt, annars väljer du Nej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" authorId="1" shapeId="0" xr:uid="{BA2B726E-38C9-4ACE-9E7B-CDEFCC2F89F4}">
      <text>
        <r>
          <rPr>
            <b/>
            <sz val="9"/>
            <color indexed="81"/>
            <rFont val="Tahoma"/>
            <family val="2"/>
          </rPr>
          <t>OBS! Ditt anställningsID måste anges (4 siffror). Vilket nummer du har hittar du på lönebeskedet.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" authorId="1" shapeId="0" xr:uid="{0B9BF449-5830-4D37-A6C9-34F507B1F85E}">
      <text>
        <r>
          <rPr>
            <b/>
            <sz val="9"/>
            <color indexed="81"/>
            <rFont val="Tahoma"/>
            <family val="2"/>
          </rPr>
          <t>Namn hämtas automatiskt utifrån ditt anställningsID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 xr:uid="{A3464823-8604-48DA-9FB0-F7C8054CBBBF}">
      <text>
        <r>
          <rPr>
            <b/>
            <sz val="9"/>
            <color indexed="81"/>
            <rFont val="Tahoma"/>
            <family val="2"/>
          </rPr>
          <t>Fyll i utgående flexsaldo från senaste lön nedan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" authorId="1" shapeId="0" xr:uid="{0B4247A5-AEA9-4BA1-99F3-0E8751688DA1}">
      <text>
        <r>
          <rPr>
            <b/>
            <sz val="9"/>
            <color indexed="81"/>
            <rFont val="Tahoma"/>
            <family val="2"/>
          </rPr>
          <t>Ange positivt flexsaldo här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" authorId="1" shapeId="0" xr:uid="{73EB1310-C9AF-4958-B9D2-C5AA2FC602C5}">
      <text>
        <r>
          <rPr>
            <b/>
            <sz val="9"/>
            <color indexed="81"/>
            <rFont val="Tahoma"/>
            <family val="2"/>
          </rPr>
          <t>Ange negativt flexsaldo här (utan minus)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" authorId="1" shapeId="0" xr:uid="{4D2D67F4-1870-431C-AB84-FBE143256D3A}">
      <text>
        <r>
          <rPr>
            <b/>
            <sz val="9"/>
            <color indexed="81"/>
            <rFont val="Tahoma"/>
            <family val="2"/>
          </rPr>
          <t>Vid röda dagar under löneperioden hämtas din framräknade genomsnittliga arbetstid per dag (information från löneavdelningen)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8" authorId="1" shapeId="0" xr:uid="{70061AE6-D3B5-40DC-9EDA-62BABDCA2E9A}">
      <text>
        <r>
          <rPr>
            <b/>
            <sz val="9"/>
            <color indexed="81"/>
            <rFont val="Tahoma"/>
            <family val="2"/>
          </rPr>
          <t>Malin Westerlund:</t>
        </r>
        <r>
          <rPr>
            <sz val="9"/>
            <color indexed="81"/>
            <rFont val="Tahoma"/>
            <family val="2"/>
          </rPr>
          <t xml:space="preserve">
Faktisk arbetad tid + frånvaro. Vid mer/mindre än 40 timmar i veckan kommer dessa timmar automatiskt att hanteras som flex. Kontrollera om det ska vara något annat, t.ex övertid/komp/ATF/tjänstledighet eller om det ligger rätt. </t>
        </r>
      </text>
    </comment>
    <comment ref="G10" authorId="2" shapeId="0" xr:uid="{70739575-3F71-4999-BA5A-1722C45C4F79}">
      <text>
        <r>
          <rPr>
            <b/>
            <sz val="9"/>
            <color indexed="81"/>
            <rFont val="Tahoma"/>
            <family val="2"/>
          </rPr>
          <t>Enbart frånvaro kan ej registreras. Negativ tid kan inte visas i summa tid.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0" authorId="2" shapeId="0" xr:uid="{1927FAE3-6784-4CD1-9C11-BD593897C860}">
      <text>
        <r>
          <rPr>
            <b/>
            <sz val="9"/>
            <color indexed="81"/>
            <rFont val="Tahoma"/>
            <family val="2"/>
          </rPr>
          <t>I denna kolumn ska det stå BL vid de dagar du har ätit cateringlunch i Näsviken.</t>
        </r>
      </text>
    </comment>
    <comment ref="J10" authorId="3" shapeId="0" xr:uid="{72CCD1CD-941D-46AB-A36B-EE79B0ED196A}">
      <text>
        <r>
          <rPr>
            <b/>
            <sz val="9"/>
            <color indexed="81"/>
            <rFont val="Tahoma"/>
            <family val="2"/>
          </rPr>
          <t xml:space="preserve">I denna kolumn kan du skriva in motionstimmar.  Det är 5 timmar per månad som man får använda av sin arbetstid. </t>
        </r>
      </text>
    </comment>
    <comment ref="O11" authorId="1" shapeId="0" xr:uid="{615A5D43-887B-430E-829D-386F79982945}">
      <text>
        <r>
          <rPr>
            <sz val="9"/>
            <color indexed="81"/>
            <rFont val="Tahoma"/>
            <family val="2"/>
          </rPr>
          <t xml:space="preserve">Kan fyllas i med 1
</t>
        </r>
      </text>
    </comment>
    <comment ref="P11" authorId="1" shapeId="0" xr:uid="{ACF80CBF-20C5-4CA2-B7D9-15AC87AE08E0}">
      <text>
        <r>
          <rPr>
            <b/>
            <sz val="9"/>
            <color indexed="81"/>
            <rFont val="Tahoma"/>
            <family val="2"/>
          </rPr>
          <t xml:space="preserve">T.ex 10-dagar, närståendevård, graviditetspenning, smittbärare etc. Kombineras med en kommentar om vad det avser.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1" authorId="1" shapeId="0" xr:uid="{BAD08CD3-A517-4120-A142-E0B6EBAD9CC0}">
      <text>
        <r>
          <rPr>
            <sz val="9"/>
            <color indexed="81"/>
            <rFont val="Tahoma"/>
            <family val="2"/>
          </rPr>
          <t xml:space="preserve">Registrera endast restid utanför arbetstiden (7:30-16:30)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Patrik Hedqvist</author>
    <author>Malin Westerlund</author>
    <author>Lars Engelbrekts</author>
    <author>Lena Sörell</author>
  </authors>
  <commentList>
    <comment ref="J1" authorId="0" shapeId="0" xr:uid="{099B0EF8-D8D0-4082-997B-267EBE0C6D12}">
      <text>
        <r>
          <rPr>
            <b/>
            <sz val="9"/>
            <color indexed="81"/>
            <rFont val="Tahoma"/>
            <family val="2"/>
          </rPr>
          <t xml:space="preserve">Välj Ja om du vill ha matavdrag automatiskt, annars väljer du Nej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" authorId="1" shapeId="0" xr:uid="{1F7540DB-C1B0-4C04-B5DA-1A2DABEFDB14}">
      <text>
        <r>
          <rPr>
            <b/>
            <sz val="9"/>
            <color indexed="81"/>
            <rFont val="Tahoma"/>
            <family val="2"/>
          </rPr>
          <t>OBS! Ditt anställningsID måste anges (4 siffror). Vilket nummer du har hittar du på lönebeskedet.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" authorId="1" shapeId="0" xr:uid="{F469D4C7-1A8C-4582-992E-57542785EE0F}">
      <text>
        <r>
          <rPr>
            <b/>
            <sz val="9"/>
            <color indexed="81"/>
            <rFont val="Tahoma"/>
            <family val="2"/>
          </rPr>
          <t xml:space="preserve">OBS! Fyll i ditt namn här.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 xr:uid="{12AE52B4-9757-4D94-A2E6-9943EA642DF5}">
      <text>
        <r>
          <rPr>
            <b/>
            <sz val="9"/>
            <color indexed="81"/>
            <rFont val="Tahoma"/>
            <family val="2"/>
          </rPr>
          <t>Fyll i utgående flexsaldo från senaste lön i respektive fält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" authorId="1" shapeId="0" xr:uid="{3DCB253B-CB8C-4C97-B564-EAA68AF4D5A4}">
      <text>
        <r>
          <rPr>
            <b/>
            <sz val="9"/>
            <color indexed="81"/>
            <rFont val="Tahoma"/>
            <family val="2"/>
          </rPr>
          <t>Ange positivt flexsaldo här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" authorId="1" shapeId="0" xr:uid="{198F9B66-3FC6-4C2C-80ED-F3DA801EF5B4}">
      <text>
        <r>
          <rPr>
            <b/>
            <sz val="9"/>
            <color indexed="81"/>
            <rFont val="Tahoma"/>
            <family val="2"/>
          </rPr>
          <t>Ange negativt flexsaldo här (utan minus)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" authorId="1" shapeId="0" xr:uid="{89F69170-03BD-4E53-BDDE-43616FE729F8}">
      <text>
        <r>
          <rPr>
            <b/>
            <sz val="9"/>
            <color indexed="81"/>
            <rFont val="Tahoma"/>
            <family val="2"/>
          </rPr>
          <t>Vid röda dagar under löneperioden hämtas din framräknade genomsnittliga arbetstid per dag (information från löneavdelningen)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8" authorId="1" shapeId="0" xr:uid="{2915B7D1-6B97-43D6-8237-E40D1B55FC02}">
      <text>
        <r>
          <rPr>
            <b/>
            <sz val="9"/>
            <color indexed="81"/>
            <rFont val="Tahoma"/>
            <family val="2"/>
          </rPr>
          <t>Malin Westerlund:</t>
        </r>
        <r>
          <rPr>
            <sz val="9"/>
            <color indexed="81"/>
            <rFont val="Tahoma"/>
            <family val="2"/>
          </rPr>
          <t xml:space="preserve">
Faktisk arbetad tid + frånvaro. Vid mer/mindre än 40 timmar i veckan kommer dessa timmar automatiskt att hanteras som flex. Kontrollera om det ska vara något annat, t.ex övertid/komp/ATF/tjänstledighet eller om det ligger rätt. </t>
        </r>
      </text>
    </comment>
    <comment ref="G10" authorId="2" shapeId="0" xr:uid="{A0C68BDD-15B8-457A-9EF3-C4F679100F61}">
      <text>
        <r>
          <rPr>
            <b/>
            <sz val="9"/>
            <color indexed="81"/>
            <rFont val="Tahoma"/>
            <family val="2"/>
          </rPr>
          <t>Enbart frånvaro kan ej registreras. Negativ tid kan inte visas i summa tid.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0" authorId="2" shapeId="0" xr:uid="{C0EFC613-248D-4637-A0B9-1FB85A20C530}">
      <text>
        <r>
          <rPr>
            <b/>
            <sz val="9"/>
            <color indexed="81"/>
            <rFont val="Tahoma"/>
            <family val="2"/>
          </rPr>
          <t>I denna kolumn ska det stå BL vid de dagar du har ätit cateringlunch i Näsviken.</t>
        </r>
      </text>
    </comment>
    <comment ref="J10" authorId="3" shapeId="0" xr:uid="{BA91F9A6-90C1-418D-9EF9-7C3661EEC40D}">
      <text>
        <r>
          <rPr>
            <b/>
            <sz val="9"/>
            <color indexed="81"/>
            <rFont val="Tahoma"/>
            <family val="2"/>
          </rPr>
          <t xml:space="preserve">I denna kolumn kan du skriva in motionstimmar.  Det är 5 timmar per månad som man får använda av sin arbetstid. </t>
        </r>
      </text>
    </comment>
    <comment ref="O11" authorId="1" shapeId="0" xr:uid="{42B1E5C0-586C-484F-99D2-BEBB243E17E3}">
      <text>
        <r>
          <rPr>
            <b/>
            <sz val="9"/>
            <color indexed="81"/>
            <rFont val="Tahoma"/>
            <family val="2"/>
          </rPr>
          <t>Fyll i dina semesterdagar med 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1" authorId="1" shapeId="0" xr:uid="{E856E44D-B874-4567-9956-5B1D950E0059}">
      <text>
        <r>
          <rPr>
            <b/>
            <sz val="9"/>
            <color indexed="81"/>
            <rFont val="Tahoma"/>
            <family val="2"/>
          </rPr>
          <t>T.ex 10-dagar, närståendevård, graviditetspenning, smittbärare etc. Kombineras med en kommentar om vad det avser.</t>
        </r>
      </text>
    </comment>
    <comment ref="Q11" authorId="1" shapeId="0" xr:uid="{85D7EFE4-F8EF-4F82-97DC-B81C20D7602E}">
      <text>
        <r>
          <rPr>
            <b/>
            <sz val="9"/>
            <color indexed="81"/>
            <rFont val="Tahoma"/>
            <family val="2"/>
          </rPr>
          <t>Registrera endast restid utanför arbetstiden (7:30-16:30)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<sst xmlns="http://schemas.openxmlformats.org/spreadsheetml/2006/main" count="879" uniqueCount="440">
  <si>
    <t>Anställd</t>
  </si>
  <si>
    <t>Automatisk Matavdrag</t>
  </si>
  <si>
    <t>Ja</t>
  </si>
  <si>
    <t>Information:</t>
  </si>
  <si>
    <t>Saldon</t>
  </si>
  <si>
    <t>Ing.</t>
  </si>
  <si>
    <t xml:space="preserve">Utg. </t>
  </si>
  <si>
    <t>Anställningsid:</t>
  </si>
  <si>
    <t>Utlägg</t>
  </si>
  <si>
    <t>*  Mat anges med antal                                                                                                                   *  Semester anges med 1                                                        *  Timmar och klockslag anges i formatet tt:mm (måste skrivas : )</t>
  </si>
  <si>
    <t>Flex +</t>
  </si>
  <si>
    <t>Namn:</t>
  </si>
  <si>
    <t>Bilersättn</t>
  </si>
  <si>
    <t>Flex -</t>
  </si>
  <si>
    <t>Period:</t>
  </si>
  <si>
    <t>Traktamente</t>
  </si>
  <si>
    <t>Inr.</t>
  </si>
  <si>
    <t>Komp</t>
  </si>
  <si>
    <t>Utr.</t>
  </si>
  <si>
    <t>ATF</t>
  </si>
  <si>
    <r>
      <t xml:space="preserve">Avrunda alltid till närmaste 15 minuter av arbetstiden. </t>
    </r>
    <r>
      <rPr>
        <i/>
        <sz val="10"/>
        <color theme="1"/>
        <rFont val="Arial"/>
        <family val="2"/>
      </rPr>
      <t>Exempel</t>
    </r>
    <r>
      <rPr>
        <sz val="10"/>
        <color theme="1"/>
        <rFont val="Arial"/>
        <family val="2"/>
      </rPr>
      <t>: om du kommer till jobbet kl. 8:05 så skriver du 8:00, men kommer du 8:10 så skriver du 8:15.</t>
    </r>
  </si>
  <si>
    <t>Veckans arbetstid</t>
  </si>
  <si>
    <t>Tidrapport</t>
  </si>
  <si>
    <t>ARBETAD TID</t>
  </si>
  <si>
    <t>FRÅNVARO</t>
  </si>
  <si>
    <t>ÖVRIGT</t>
  </si>
  <si>
    <t>TIM- LÖNER</t>
  </si>
  <si>
    <t>Datum</t>
  </si>
  <si>
    <t>Dag</t>
  </si>
  <si>
    <t>Arbetet</t>
  </si>
  <si>
    <t>Hemma</t>
  </si>
  <si>
    <t>Lunch</t>
  </si>
  <si>
    <t>Övrig frånv.</t>
  </si>
  <si>
    <t>Arbetad tid</t>
  </si>
  <si>
    <t>Mat</t>
  </si>
  <si>
    <t>Motion</t>
  </si>
  <si>
    <t>SJK</t>
  </si>
  <si>
    <t>VAB</t>
  </si>
  <si>
    <t>TJL</t>
  </si>
  <si>
    <t>FPE</t>
  </si>
  <si>
    <t>SEM</t>
  </si>
  <si>
    <t>OVR</t>
  </si>
  <si>
    <t>Restid</t>
  </si>
  <si>
    <t>ÖVERTID</t>
  </si>
  <si>
    <t>FLEX</t>
  </si>
  <si>
    <t>Ing.arb.tid</t>
  </si>
  <si>
    <t>Från</t>
  </si>
  <si>
    <t>Till</t>
  </si>
  <si>
    <t>Antal tim</t>
  </si>
  <si>
    <t>Sjuk</t>
  </si>
  <si>
    <t>Vård av barn</t>
  </si>
  <si>
    <t>Tjänst-ledig</t>
  </si>
  <si>
    <t>Föräldra-ledig</t>
  </si>
  <si>
    <t>Semester</t>
  </si>
  <si>
    <t>Övrigt</t>
  </si>
  <si>
    <t>utanför arbetstid</t>
  </si>
  <si>
    <t>Uttag i pengar</t>
  </si>
  <si>
    <t>Spara till komp</t>
  </si>
  <si>
    <t>Uttag komp</t>
  </si>
  <si>
    <t>Uttag</t>
  </si>
  <si>
    <t>In</t>
  </si>
  <si>
    <t>Ut</t>
  </si>
  <si>
    <t>Kommentar</t>
  </si>
  <si>
    <t>Ledig dag</t>
  </si>
  <si>
    <t>SUMMA</t>
  </si>
  <si>
    <t>Sign.</t>
  </si>
  <si>
    <t>Summa utbet. Timmar</t>
  </si>
  <si>
    <t>Beskrivning</t>
  </si>
  <si>
    <t>Ändamål</t>
  </si>
  <si>
    <t>Summa</t>
  </si>
  <si>
    <t>Bilersättning</t>
  </si>
  <si>
    <t>Egen bil (km)</t>
  </si>
  <si>
    <t>Tjänstebil (km)</t>
  </si>
  <si>
    <r>
      <t xml:space="preserve">Summa </t>
    </r>
    <r>
      <rPr>
        <sz val="10"/>
        <rFont val="Arial"/>
        <family val="2"/>
      </rPr>
      <t>(inkl skattepl. ers.)</t>
    </r>
  </si>
  <si>
    <t>Bensin</t>
  </si>
  <si>
    <t>Diesel</t>
  </si>
  <si>
    <t>Etanol</t>
  </si>
  <si>
    <t>El</t>
  </si>
  <si>
    <t>Gas</t>
  </si>
  <si>
    <t>Reseräkning inrikes</t>
  </si>
  <si>
    <r>
      <t xml:space="preserve">Datum </t>
    </r>
    <r>
      <rPr>
        <sz val="9"/>
        <rFont val="Arial"/>
        <family val="2"/>
      </rPr>
      <t>(traktamente)</t>
    </r>
  </si>
  <si>
    <t>Avresa klockslag</t>
  </si>
  <si>
    <t>Hemkomst klockslag</t>
  </si>
  <si>
    <t>Nattschablon ange antal</t>
  </si>
  <si>
    <t>Kostavdrag, ange antal</t>
  </si>
  <si>
    <t>Kostförmån, ange antal</t>
  </si>
  <si>
    <t>Helt trakt</t>
  </si>
  <si>
    <t>Halvt trakt</t>
  </si>
  <si>
    <t>Frukost</t>
  </si>
  <si>
    <t>Middag</t>
  </si>
  <si>
    <t xml:space="preserve">Lunch </t>
  </si>
  <si>
    <t>Trakt - avdr</t>
  </si>
  <si>
    <t>Förmån</t>
  </si>
  <si>
    <t>Traktamentesbelopp</t>
  </si>
  <si>
    <t>Kostavdrag</t>
  </si>
  <si>
    <t>Spanien</t>
  </si>
  <si>
    <t>Reseräkning utrikes</t>
  </si>
  <si>
    <t>Land</t>
  </si>
  <si>
    <t>Arbetstid per dag</t>
  </si>
  <si>
    <t>Utesäljare:</t>
  </si>
  <si>
    <t>Max flexsaldo</t>
  </si>
  <si>
    <t>AnstId</t>
  </si>
  <si>
    <t>AnstID</t>
  </si>
  <si>
    <t>Namn</t>
  </si>
  <si>
    <t>Veckoarbetstid</t>
  </si>
  <si>
    <t>Utesälj?</t>
  </si>
  <si>
    <t>Röda dagar</t>
  </si>
  <si>
    <t>Jobbar ej veckodag nr;</t>
  </si>
  <si>
    <t>Arbetstid per vecka</t>
  </si>
  <si>
    <t>Nej</t>
  </si>
  <si>
    <t>Antal</t>
  </si>
  <si>
    <t>1002</t>
  </si>
  <si>
    <t>Ann-Kristin Wallner</t>
  </si>
  <si>
    <t>1005</t>
  </si>
  <si>
    <t>Ulf Svensson</t>
  </si>
  <si>
    <t>Min Flexsaldo</t>
  </si>
  <si>
    <t>1006</t>
  </si>
  <si>
    <t>Tom Collins</t>
  </si>
  <si>
    <t>1007</t>
  </si>
  <si>
    <t>Jennie Wik</t>
  </si>
  <si>
    <t>Traktamenten</t>
  </si>
  <si>
    <t>Avdrag</t>
  </si>
  <si>
    <t>Kostförmån</t>
  </si>
  <si>
    <t>från 2021</t>
  </si>
  <si>
    <t>1008</t>
  </si>
  <si>
    <t>Karin Fyhr</t>
  </si>
  <si>
    <t>Avresa</t>
  </si>
  <si>
    <t>1010</t>
  </si>
  <si>
    <t>Gunilla Bergens</t>
  </si>
  <si>
    <t>Hemkomst</t>
  </si>
  <si>
    <t>Lunch/middag</t>
  </si>
  <si>
    <t>1011</t>
  </si>
  <si>
    <t>Carina Sverin</t>
  </si>
  <si>
    <t>Helt</t>
  </si>
  <si>
    <t>Helt fri kost</t>
  </si>
  <si>
    <t>1012</t>
  </si>
  <si>
    <t>Jörgen Larsson</t>
  </si>
  <si>
    <t>Halvt/Natt</t>
  </si>
  <si>
    <t>Hel kost</t>
  </si>
  <si>
    <t>1013</t>
  </si>
  <si>
    <t>Cecilia Svensson</t>
  </si>
  <si>
    <t>1014</t>
  </si>
  <si>
    <t>Lars Sörling</t>
  </si>
  <si>
    <t>Egen bil</t>
  </si>
  <si>
    <t>1017</t>
  </si>
  <si>
    <t>Anette Broberg</t>
  </si>
  <si>
    <t>1019</t>
  </si>
  <si>
    <t>Thomas Norrman</t>
  </si>
  <si>
    <t>Helgdagar 2021</t>
  </si>
  <si>
    <t>1021</t>
  </si>
  <si>
    <t>Marie Nyholm</t>
  </si>
  <si>
    <t>1023</t>
  </si>
  <si>
    <t>Cecilia Bouvin Stuart</t>
  </si>
  <si>
    <t>Julafton</t>
  </si>
  <si>
    <t>1025</t>
  </si>
  <si>
    <t>Håkan Lidén</t>
  </si>
  <si>
    <t>Juldagen</t>
  </si>
  <si>
    <t>1026</t>
  </si>
  <si>
    <t>Pål Carlsson</t>
  </si>
  <si>
    <t>Annandag jul</t>
  </si>
  <si>
    <t>1027</t>
  </si>
  <si>
    <t>Martin Ahlman</t>
  </si>
  <si>
    <t>Nyårsafton</t>
  </si>
  <si>
    <t>1028</t>
  </si>
  <si>
    <t>Hans Fast</t>
  </si>
  <si>
    <t>Nyårsdagen</t>
  </si>
  <si>
    <t>1029</t>
  </si>
  <si>
    <t>Maria Wallner</t>
  </si>
  <si>
    <t>Trettondedag jul</t>
  </si>
  <si>
    <t>1032</t>
  </si>
  <si>
    <t>Jessica Nordström</t>
  </si>
  <si>
    <t>Långfredagen</t>
  </si>
  <si>
    <t>1035</t>
  </si>
  <si>
    <t>Anna Molin</t>
  </si>
  <si>
    <t>Påskdagen</t>
  </si>
  <si>
    <t>1036</t>
  </si>
  <si>
    <t>Anna Sundin</t>
  </si>
  <si>
    <t>Annandag påsk</t>
  </si>
  <si>
    <t>1037</t>
  </si>
  <si>
    <t>Anna Forsberg</t>
  </si>
  <si>
    <t>Första maj</t>
  </si>
  <si>
    <t>1040</t>
  </si>
  <si>
    <t>Niklas Björkén</t>
  </si>
  <si>
    <t>Kristi himmelfärdsdag</t>
  </si>
  <si>
    <t>1041</t>
  </si>
  <si>
    <t>Erika Sundman</t>
  </si>
  <si>
    <t>Pingstdagen</t>
  </si>
  <si>
    <t>1042</t>
  </si>
  <si>
    <t>Elisabeth Bäckström</t>
  </si>
  <si>
    <t>Sveriges nationaldag</t>
  </si>
  <si>
    <t>1043</t>
  </si>
  <si>
    <t>Malin Strandell</t>
  </si>
  <si>
    <t>Midsommarafton</t>
  </si>
  <si>
    <t>1044</t>
  </si>
  <si>
    <t>Jenny Karlstedt</t>
  </si>
  <si>
    <t>Midsommardagen</t>
  </si>
  <si>
    <t>1046</t>
  </si>
  <si>
    <t>Theres Kassell</t>
  </si>
  <si>
    <t>Alla helgons dag</t>
  </si>
  <si>
    <t>1049</t>
  </si>
  <si>
    <t>Ingela Hamrin</t>
  </si>
  <si>
    <t>1060</t>
  </si>
  <si>
    <t>Clara Bergius</t>
  </si>
  <si>
    <t>1061</t>
  </si>
  <si>
    <t>Anders Engman</t>
  </si>
  <si>
    <t>Antal röda dagar i perioden</t>
  </si>
  <si>
    <t>1065</t>
  </si>
  <si>
    <t>Åsa Brinck</t>
  </si>
  <si>
    <t>1070</t>
  </si>
  <si>
    <t>Nettan Marsch</t>
  </si>
  <si>
    <t>1072</t>
  </si>
  <si>
    <t>Anna Stafström</t>
  </si>
  <si>
    <t>1078</t>
  </si>
  <si>
    <t>Peter Ekbom</t>
  </si>
  <si>
    <t>1079</t>
  </si>
  <si>
    <t>Jon-Erik Liw</t>
  </si>
  <si>
    <t>1080</t>
  </si>
  <si>
    <t>Alex Holthausen</t>
  </si>
  <si>
    <t>1081</t>
  </si>
  <si>
    <t>Zara Fröroth</t>
  </si>
  <si>
    <t>1083</t>
  </si>
  <si>
    <t>Linda Henriksson</t>
  </si>
  <si>
    <t>1085</t>
  </si>
  <si>
    <t>Tommy Danielsson</t>
  </si>
  <si>
    <t>1086</t>
  </si>
  <si>
    <t>Malin Sjödin</t>
  </si>
  <si>
    <t>1088</t>
  </si>
  <si>
    <t>Anna Åhlström Andersson</t>
  </si>
  <si>
    <t>1091</t>
  </si>
  <si>
    <t>Markus Eriksson</t>
  </si>
  <si>
    <t>1093</t>
  </si>
  <si>
    <t>Josefine Engström</t>
  </si>
  <si>
    <t>1097</t>
  </si>
  <si>
    <t>Cecilia Binett</t>
  </si>
  <si>
    <t>1100</t>
  </si>
  <si>
    <t>Sandra Magnusson</t>
  </si>
  <si>
    <t>1111</t>
  </si>
  <si>
    <t>Anna-Karin Andersson</t>
  </si>
  <si>
    <t>1112</t>
  </si>
  <si>
    <t>Annika Rosdahl</t>
  </si>
  <si>
    <t>1113</t>
  </si>
  <si>
    <t>Annika Wallin</t>
  </si>
  <si>
    <t>1114</t>
  </si>
  <si>
    <t>Birgit Johnsson</t>
  </si>
  <si>
    <t>1117</t>
  </si>
  <si>
    <t>Kristina Norberg</t>
  </si>
  <si>
    <t>1119</t>
  </si>
  <si>
    <t>Marie Isidorsson</t>
  </si>
  <si>
    <t>1121</t>
  </si>
  <si>
    <t>Tomas Peensaar</t>
  </si>
  <si>
    <t>1125</t>
  </si>
  <si>
    <t>Patrick Andersson</t>
  </si>
  <si>
    <t>1128</t>
  </si>
  <si>
    <t>Patrik Hedqvist</t>
  </si>
  <si>
    <t>1130</t>
  </si>
  <si>
    <t>Lena Sörell</t>
  </si>
  <si>
    <t>1132</t>
  </si>
  <si>
    <t>Henrik Lowemark</t>
  </si>
  <si>
    <t>1142</t>
  </si>
  <si>
    <t>Fredrik Brink</t>
  </si>
  <si>
    <t>1143</t>
  </si>
  <si>
    <t>Niklas Blom</t>
  </si>
  <si>
    <t>1145</t>
  </si>
  <si>
    <t>Markus Hellström</t>
  </si>
  <si>
    <t>1146</t>
  </si>
  <si>
    <t>Maria Zetterberg</t>
  </si>
  <si>
    <t>1148</t>
  </si>
  <si>
    <t>William Wallin</t>
  </si>
  <si>
    <t>1149</t>
  </si>
  <si>
    <t>Olof Eriksson</t>
  </si>
  <si>
    <t>1150</t>
  </si>
  <si>
    <t>Sandra Cedergren</t>
  </si>
  <si>
    <t>1152</t>
  </si>
  <si>
    <t>Linus Näslund</t>
  </si>
  <si>
    <t>1153</t>
  </si>
  <si>
    <t>Jonas Gladh</t>
  </si>
  <si>
    <t>1155</t>
  </si>
  <si>
    <t>Inger Åhlström</t>
  </si>
  <si>
    <t>1156</t>
  </si>
  <si>
    <t>Gerd Johansson</t>
  </si>
  <si>
    <t>1164</t>
  </si>
  <si>
    <t>Linus Hallberg</t>
  </si>
  <si>
    <t>1165</t>
  </si>
  <si>
    <t>Simon Nilsson</t>
  </si>
  <si>
    <t>1171</t>
  </si>
  <si>
    <t>Josefine Ersjons</t>
  </si>
  <si>
    <t>1173</t>
  </si>
  <si>
    <t>Johan Lindgren</t>
  </si>
  <si>
    <t>1177</t>
  </si>
  <si>
    <t>Maja Johansson</t>
  </si>
  <si>
    <t>1178</t>
  </si>
  <si>
    <t>Pelle Åström</t>
  </si>
  <si>
    <t>1179</t>
  </si>
  <si>
    <t>Mattias Ericson</t>
  </si>
  <si>
    <t>1180</t>
  </si>
  <si>
    <t>Gustaf Sahlén</t>
  </si>
  <si>
    <t>1181</t>
  </si>
  <si>
    <t>Mikael Svensson</t>
  </si>
  <si>
    <t>1188</t>
  </si>
  <si>
    <t>Johannes Eriksson</t>
  </si>
  <si>
    <t>1190</t>
  </si>
  <si>
    <t>Angelica Jonsson</t>
  </si>
  <si>
    <t>1191</t>
  </si>
  <si>
    <t>Jesper Karlsson</t>
  </si>
  <si>
    <t>1192</t>
  </si>
  <si>
    <t>Evelina Jonsson</t>
  </si>
  <si>
    <t>1193</t>
  </si>
  <si>
    <t>Joakim Bergius</t>
  </si>
  <si>
    <t>1194</t>
  </si>
  <si>
    <t>Lars Nyman</t>
  </si>
  <si>
    <t>1196</t>
  </si>
  <si>
    <t>Felisia Olsson</t>
  </si>
  <si>
    <t>1198</t>
  </si>
  <si>
    <t>Frida Eriksson</t>
  </si>
  <si>
    <t>1199</t>
  </si>
  <si>
    <t>Erik Lexelius</t>
  </si>
  <si>
    <t>1200</t>
  </si>
  <si>
    <t>Anna Fransson</t>
  </si>
  <si>
    <t>1201</t>
  </si>
  <si>
    <t>Jenny Grahn</t>
  </si>
  <si>
    <t>1202</t>
  </si>
  <si>
    <t>Anders Henriksson</t>
  </si>
  <si>
    <t>1203</t>
  </si>
  <si>
    <t>Niklas Ohlsson</t>
  </si>
  <si>
    <t>1204</t>
  </si>
  <si>
    <t>Helen Erlandsson</t>
  </si>
  <si>
    <t>1208</t>
  </si>
  <si>
    <t>Angelica Ekström</t>
  </si>
  <si>
    <t>1209</t>
  </si>
  <si>
    <t>Julia Nyhem Helsing</t>
  </si>
  <si>
    <t>1210</t>
  </si>
  <si>
    <t>Malin Westerlund</t>
  </si>
  <si>
    <t>1211</t>
  </si>
  <si>
    <t>Erika Larsson</t>
  </si>
  <si>
    <t>1212</t>
  </si>
  <si>
    <t>Madelene Fagerlund</t>
  </si>
  <si>
    <t>1213</t>
  </si>
  <si>
    <t>Patrik Holmkvist</t>
  </si>
  <si>
    <t>1216</t>
  </si>
  <si>
    <t>Patrik Olin</t>
  </si>
  <si>
    <t>1217</t>
  </si>
  <si>
    <t>Gustav Holmsten</t>
  </si>
  <si>
    <t>1218</t>
  </si>
  <si>
    <t>Jessica Carlsson</t>
  </si>
  <si>
    <t>1219</t>
  </si>
  <si>
    <t>Olle Öquist</t>
  </si>
  <si>
    <t>1223</t>
  </si>
  <si>
    <t>Carina Gustafson</t>
  </si>
  <si>
    <t>1224</t>
  </si>
  <si>
    <t>Linnea Vonck</t>
  </si>
  <si>
    <t>1225</t>
  </si>
  <si>
    <t>Ingalill Klint</t>
  </si>
  <si>
    <t>1226</t>
  </si>
  <si>
    <t>Jenny Mårtensson</t>
  </si>
  <si>
    <t>1227</t>
  </si>
  <si>
    <t>Marcus Forslin</t>
  </si>
  <si>
    <t>1229</t>
  </si>
  <si>
    <t>Filip Paulsson</t>
  </si>
  <si>
    <t>1235</t>
  </si>
  <si>
    <t>Erik Söderlund</t>
  </si>
  <si>
    <t>1236</t>
  </si>
  <si>
    <t>Peter Larsson</t>
  </si>
  <si>
    <t>1237</t>
  </si>
  <si>
    <t>Tobias Kelly</t>
  </si>
  <si>
    <t>1240</t>
  </si>
  <si>
    <t>Fredrik Jakobsson</t>
  </si>
  <si>
    <t>1241</t>
  </si>
  <si>
    <t>Mathilda Jonsson</t>
  </si>
  <si>
    <t>1242</t>
  </si>
  <si>
    <t>André Norman-Enström</t>
  </si>
  <si>
    <t>1243</t>
  </si>
  <si>
    <t>Lovisa Sundin</t>
  </si>
  <si>
    <t>1244</t>
  </si>
  <si>
    <t>Olle Sundin</t>
  </si>
  <si>
    <t>1246</t>
  </si>
  <si>
    <t>Simon Bergström</t>
  </si>
  <si>
    <t>1247</t>
  </si>
  <si>
    <t>Frida Lindgren</t>
  </si>
  <si>
    <t>1248</t>
  </si>
  <si>
    <t>Hanna Wallner</t>
  </si>
  <si>
    <t>1249</t>
  </si>
  <si>
    <t>Anders Sannagård</t>
  </si>
  <si>
    <t>Frida Swing</t>
  </si>
  <si>
    <t>Filip Styrman</t>
  </si>
  <si>
    <t>Hanna Palm</t>
  </si>
  <si>
    <t>Emanuel Svensson</t>
  </si>
  <si>
    <t>Sanna Haglund</t>
  </si>
  <si>
    <t>Elenor Andersson</t>
  </si>
  <si>
    <t>Erik Fahlberg</t>
  </si>
  <si>
    <t>Carolinea Englund</t>
  </si>
  <si>
    <t>Frederic Pardo</t>
  </si>
  <si>
    <t>Petter Jakobsson</t>
  </si>
  <si>
    <t>Filip Åkerlund</t>
  </si>
  <si>
    <t>Klockslag</t>
  </si>
  <si>
    <t>Trakt.</t>
  </si>
  <si>
    <t>Inr:</t>
  </si>
  <si>
    <t>Utr:</t>
  </si>
  <si>
    <t>Ing. flexsaldo</t>
  </si>
  <si>
    <t>Pos:</t>
  </si>
  <si>
    <t>Neg:</t>
  </si>
  <si>
    <t>Utg. flexsaldo</t>
  </si>
  <si>
    <t xml:space="preserve">   Timmar vid röd dag</t>
  </si>
  <si>
    <t>Avrunda alltid till närmaste 15 minuter av arbetstiden. Exempel: om du kommer till jobbet kl. 8:05 så skriver du 8:00, men kommer du 8:10 så skriver du 8:15.</t>
  </si>
  <si>
    <t>Ing. Arb.tid</t>
  </si>
  <si>
    <t>Timlöner</t>
  </si>
  <si>
    <t>Tänk på att info som skrivs in utanför ramen för tidrapporten inte kommer med i utskriften om du använder redigering i Excel.</t>
  </si>
  <si>
    <t>Utg flexsaldo</t>
  </si>
  <si>
    <t>Timmar vid röd dag</t>
  </si>
  <si>
    <t>Arbetad tid + Föräldraledig + VAB + Semester+sjuk</t>
  </si>
  <si>
    <t>2080/12x5 mån = 867</t>
  </si>
  <si>
    <t>per 2020-01-01--2020-05-31</t>
  </si>
  <si>
    <t>ID</t>
  </si>
  <si>
    <t>TID</t>
  </si>
  <si>
    <t>Syssgrad</t>
  </si>
  <si>
    <t>Avrundad syssgrad</t>
  </si>
  <si>
    <t>Antal tim på röd dag som är arbetsdag</t>
  </si>
  <si>
    <t>byta ut tecken i kolumn alt omvandla till tid?</t>
  </si>
  <si>
    <t>Håkan Liden</t>
  </si>
  <si>
    <t>Jesscia Nordström</t>
  </si>
  <si>
    <t>Erik Lindberg</t>
  </si>
  <si>
    <t>Tobias Pettersson</t>
  </si>
  <si>
    <t>André Norman-Enström 1126 h</t>
  </si>
  <si>
    <t xml:space="preserve">Lovisa Sundin </t>
  </si>
  <si>
    <t xml:space="preserve">Olle Sundin   </t>
  </si>
  <si>
    <t xml:space="preserve">Simon Bergström  </t>
  </si>
  <si>
    <t>1245</t>
  </si>
  <si>
    <t>Elernor Andersson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</si>
  <si>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</si>
  <si>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</si>
  <si>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</si>
  <si>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</si>
  <si>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</si>
  <si>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</si>
  <si>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</si>
  <si>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</si>
  <si>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</si>
  <si>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Gigar Khalil</t>
  </si>
  <si>
    <t>Olle Åström</t>
  </si>
  <si>
    <t>Simon Södergren</t>
  </si>
  <si>
    <t>Elin Sundvall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</si>
</sst>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[hh]:mm"/>
    <numFmt numFmtId="165" formatCode="ddd"/>
    <numFmt numFmtId="166" formatCode="yyyy/mm/dd;@"/>
    <numFmt numFmtId="167" formatCode="hh:mm;@"/>
    <numFmt numFmtId="168" formatCode="\-[hh]:mm"/>
    <numFmt numFmtId="169" formatCode="\-hh:mm"/>
    <numFmt numFmtId="170" formatCode="[$-41D]dd/mmm;@"/>
    <numFmt numFmtId="171" formatCode="[$-41D]d\ mmmm"/>
    <numFmt numFmtId="172" formatCode="#,##0.0"/>
  </numFmts>
  <fonts count="6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FF0000"/>
      <name val="Arial"/>
      <family val="2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1"/>
      <color rgb="FF3F3F76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sz val="10"/>
      <color theme="0"/>
      <name val="Arial"/>
      <family val="2"/>
    </font>
    <font>
      <sz val="11"/>
      <color rgb="FF9C5700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Arial"/>
      <family val="2"/>
    </font>
    <font>
      <b/>
      <u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sz val="12"/>
      <color indexed="8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i/>
      <sz val="9"/>
      <color theme="1"/>
      <name val="Arial"/>
      <family val="2"/>
    </font>
    <font>
      <sz val="10.5"/>
      <color theme="1"/>
      <name val="Arial"/>
      <family val="2"/>
    </font>
    <font>
      <i/>
      <sz val="11"/>
      <color rgb="FF7F7F7F"/>
      <name val="Calibri"/>
      <family val="2"/>
      <scheme val="minor"/>
    </font>
    <font>
      <i/>
      <u/>
      <sz val="11"/>
      <color theme="1" tint="0.34998626667073579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i/>
      <sz val="9"/>
      <name val="Arial"/>
      <family val="2"/>
    </font>
    <font>
      <sz val="10"/>
      <color theme="0" tint="-0.14999847407452621"/>
      <name val="Arial"/>
      <family val="2"/>
    </font>
    <font>
      <sz val="22"/>
      <color theme="1"/>
      <name val="Courier New"/>
      <family val="3"/>
    </font>
    <font>
      <u/>
      <sz val="1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8"/>
      <color theme="0" tint="-0.499984740745262"/>
      <name val="Arial"/>
      <family val="2"/>
    </font>
    <font>
      <b/>
      <sz val="10"/>
      <color theme="0"/>
      <name val="Arial"/>
      <family val="2"/>
    </font>
    <font>
      <b/>
      <u/>
      <sz val="14"/>
      <name val="Calibri"/>
      <family val="2"/>
      <scheme val="minor"/>
    </font>
    <font>
      <sz val="10"/>
      <color theme="0" tint="-0.499984740745262"/>
      <name val="Arial"/>
      <family val="2"/>
    </font>
    <font>
      <b/>
      <i/>
      <sz val="10"/>
      <color theme="0" tint="-0.499984740745262"/>
      <name val="Arial"/>
      <family val="2"/>
    </font>
    <font>
      <b/>
      <sz val="10"/>
      <color indexed="8"/>
      <name val="Arial"/>
      <family val="2"/>
    </font>
    <font>
      <b/>
      <sz val="10.5"/>
      <name val="Calibri"/>
      <family val="2"/>
      <scheme val="minor"/>
    </font>
    <font>
      <b/>
      <sz val="10.5"/>
      <name val="Arial"/>
      <family val="2"/>
    </font>
    <font>
      <strike/>
      <sz val="10"/>
      <name val="Arial"/>
      <family val="2"/>
    </font>
    <font>
      <b/>
      <i/>
      <strike/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0E0F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DD97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8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rgb="FF7F7F7F"/>
      </bottom>
      <diagonal/>
    </border>
    <border>
      <left/>
      <right/>
      <top style="thin">
        <color rgb="FFB2B2B2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/>
      <right style="medium">
        <color indexed="64"/>
      </right>
      <top style="thin">
        <color rgb="FFB2B2B2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medium">
        <color indexed="64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/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9" fillId="0" borderId="0"/>
    <xf numFmtId="0" fontId="26" fillId="6" borderId="41" applyNumberFormat="0" applyAlignment="0" applyProtection="0"/>
    <xf numFmtId="0" fontId="25" fillId="7" borderId="42" applyNumberFormat="0" applyFont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32" fillId="13" borderId="0" applyNumberFormat="0" applyBorder="0" applyAlignment="0" applyProtection="0"/>
    <xf numFmtId="0" fontId="9" fillId="7" borderId="42" applyNumberFormat="0" applyFont="0" applyAlignment="0" applyProtection="0"/>
    <xf numFmtId="0" fontId="6" fillId="0" borderId="0"/>
    <xf numFmtId="0" fontId="5" fillId="15" borderId="0" applyNumberFormat="0" applyBorder="0" applyAlignment="0" applyProtection="0"/>
    <xf numFmtId="0" fontId="4" fillId="19" borderId="0" applyNumberFormat="0" applyBorder="0" applyAlignment="0" applyProtection="0"/>
    <xf numFmtId="0" fontId="43" fillId="0" borderId="0" applyNumberFormat="0" applyFill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</cellStyleXfs>
  <cellXfs count="682">
    <xf numFmtId="0" fontId="0" fillId="0" borderId="0" xfId="0"/>
    <xf numFmtId="0" fontId="10" fillId="0" borderId="0" xfId="0" applyFont="1" applyBorder="1"/>
    <xf numFmtId="0" fontId="0" fillId="0" borderId="0" xfId="0" applyBorder="1"/>
    <xf numFmtId="0" fontId="9" fillId="0" borderId="0" xfId="0" applyFont="1"/>
    <xf numFmtId="0" fontId="9" fillId="0" borderId="0" xfId="1"/>
    <xf numFmtId="0" fontId="11" fillId="0" borderId="0" xfId="0" applyFont="1" applyBorder="1"/>
    <xf numFmtId="0" fontId="10" fillId="0" borderId="0" xfId="0" applyFont="1" applyBorder="1" applyAlignment="1">
      <alignment shrinkToFit="1"/>
    </xf>
    <xf numFmtId="0" fontId="9" fillId="0" borderId="0" xfId="0" applyFont="1" applyAlignment="1">
      <alignment horizontal="center"/>
    </xf>
    <xf numFmtId="0" fontId="11" fillId="0" borderId="0" xfId="0" applyFont="1" applyBorder="1" applyAlignment="1">
      <alignment horizontal="right"/>
    </xf>
    <xf numFmtId="0" fontId="19" fillId="0" borderId="0" xfId="0" applyFont="1" applyAlignment="1">
      <alignment horizontal="left"/>
    </xf>
    <xf numFmtId="0" fontId="21" fillId="0" borderId="25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Border="1" applyAlignment="1">
      <alignment horizontal="left"/>
    </xf>
    <xf numFmtId="165" fontId="14" fillId="0" borderId="27" xfId="0" applyNumberFormat="1" applyFont="1" applyBorder="1" applyAlignment="1">
      <alignment horizontal="left"/>
    </xf>
    <xf numFmtId="165" fontId="14" fillId="0" borderId="0" xfId="0" applyNumberFormat="1" applyFont="1" applyBorder="1" applyAlignment="1">
      <alignment horizontal="left"/>
    </xf>
    <xf numFmtId="165" fontId="10" fillId="0" borderId="0" xfId="0" applyNumberFormat="1" applyFont="1" applyBorder="1" applyAlignment="1">
      <alignment horizontal="left"/>
    </xf>
    <xf numFmtId="0" fontId="19" fillId="0" borderId="0" xfId="1" applyFont="1"/>
    <xf numFmtId="0" fontId="20" fillId="0" borderId="0" xfId="1" applyFont="1"/>
    <xf numFmtId="166" fontId="22" fillId="0" borderId="0" xfId="1" applyNumberFormat="1" applyFont="1" applyAlignment="1">
      <alignment horizontal="left"/>
    </xf>
    <xf numFmtId="167" fontId="9" fillId="0" borderId="0" xfId="1" applyNumberFormat="1"/>
    <xf numFmtId="167" fontId="9" fillId="0" borderId="0" xfId="1" applyNumberFormat="1" applyAlignment="1">
      <alignment horizontal="center"/>
    </xf>
    <xf numFmtId="0" fontId="9" fillId="0" borderId="0" xfId="1" applyAlignment="1">
      <alignment horizontal="center"/>
    </xf>
    <xf numFmtId="0" fontId="9" fillId="5" borderId="8" xfId="1" applyFill="1" applyBorder="1" applyAlignment="1">
      <alignment horizontal="left"/>
    </xf>
    <xf numFmtId="167" fontId="9" fillId="4" borderId="7" xfId="1" applyNumberFormat="1" applyFill="1" applyBorder="1" applyAlignment="1">
      <alignment horizontal="left"/>
    </xf>
    <xf numFmtId="0" fontId="9" fillId="4" borderId="8" xfId="1" applyFill="1" applyBorder="1" applyAlignment="1">
      <alignment horizontal="left"/>
    </xf>
    <xf numFmtId="167" fontId="9" fillId="5" borderId="7" xfId="1" applyNumberFormat="1" applyFill="1" applyBorder="1" applyAlignment="1">
      <alignment horizontal="center"/>
    </xf>
    <xf numFmtId="167" fontId="9" fillId="5" borderId="31" xfId="1" applyNumberFormat="1" applyFill="1" applyBorder="1" applyAlignment="1">
      <alignment horizontal="center"/>
    </xf>
    <xf numFmtId="167" fontId="9" fillId="5" borderId="8" xfId="1" applyNumberFormat="1" applyFill="1" applyBorder="1" applyAlignment="1">
      <alignment horizontal="center"/>
    </xf>
    <xf numFmtId="0" fontId="9" fillId="4" borderId="7" xfId="1" applyFill="1" applyBorder="1" applyAlignment="1">
      <alignment horizontal="center"/>
    </xf>
    <xf numFmtId="0" fontId="9" fillId="4" borderId="31" xfId="1" applyFill="1" applyBorder="1" applyAlignment="1">
      <alignment horizontal="center"/>
    </xf>
    <xf numFmtId="0" fontId="9" fillId="4" borderId="8" xfId="1" applyFill="1" applyBorder="1" applyAlignment="1">
      <alignment horizontal="center"/>
    </xf>
    <xf numFmtId="166" fontId="9" fillId="5" borderId="39" xfId="1" applyNumberFormat="1" applyFill="1" applyBorder="1" applyAlignment="1">
      <alignment horizontal="center"/>
    </xf>
    <xf numFmtId="20" fontId="9" fillId="5" borderId="39" xfId="1" applyNumberFormat="1" applyFill="1" applyBorder="1" applyAlignment="1">
      <alignment horizontal="center"/>
    </xf>
    <xf numFmtId="14" fontId="9" fillId="4" borderId="39" xfId="1" applyNumberFormat="1" applyFill="1" applyBorder="1" applyAlignment="1">
      <alignment horizontal="center"/>
    </xf>
    <xf numFmtId="167" fontId="9" fillId="4" borderId="39" xfId="1" applyNumberFormat="1" applyFill="1" applyBorder="1" applyAlignment="1">
      <alignment horizontal="center"/>
    </xf>
    <xf numFmtId="1" fontId="9" fillId="5" borderId="39" xfId="1" applyNumberFormat="1" applyFill="1" applyBorder="1" applyAlignment="1">
      <alignment horizontal="center"/>
    </xf>
    <xf numFmtId="2" fontId="9" fillId="5" borderId="39" xfId="1" applyNumberFormat="1" applyFill="1" applyBorder="1" applyAlignment="1">
      <alignment horizontal="center"/>
    </xf>
    <xf numFmtId="0" fontId="9" fillId="4" borderId="39" xfId="1" applyFill="1" applyBorder="1" applyAlignment="1">
      <alignment horizontal="center"/>
    </xf>
    <xf numFmtId="166" fontId="9" fillId="5" borderId="12" xfId="1" applyNumberFormat="1" applyFill="1" applyBorder="1" applyAlignment="1">
      <alignment horizontal="center"/>
    </xf>
    <xf numFmtId="20" fontId="9" fillId="5" borderId="12" xfId="1" applyNumberFormat="1" applyFill="1" applyBorder="1" applyAlignment="1">
      <alignment horizontal="center"/>
    </xf>
    <xf numFmtId="14" fontId="9" fillId="4" borderId="12" xfId="1" applyNumberFormat="1" applyFill="1" applyBorder="1" applyAlignment="1">
      <alignment horizontal="center"/>
    </xf>
    <xf numFmtId="167" fontId="9" fillId="4" borderId="12" xfId="1" applyNumberFormat="1" applyFill="1" applyBorder="1" applyAlignment="1">
      <alignment horizontal="center"/>
    </xf>
    <xf numFmtId="1" fontId="9" fillId="5" borderId="12" xfId="1" applyNumberFormat="1" applyFill="1" applyBorder="1" applyAlignment="1">
      <alignment horizontal="center"/>
    </xf>
    <xf numFmtId="2" fontId="9" fillId="5" borderId="12" xfId="1" applyNumberFormat="1" applyFill="1" applyBorder="1" applyAlignment="1">
      <alignment horizontal="center"/>
    </xf>
    <xf numFmtId="0" fontId="9" fillId="4" borderId="12" xfId="1" applyFill="1" applyBorder="1" applyAlignment="1">
      <alignment horizontal="center"/>
    </xf>
    <xf numFmtId="0" fontId="9" fillId="5" borderId="12" xfId="1" applyFill="1" applyBorder="1"/>
    <xf numFmtId="0" fontId="9" fillId="4" borderId="12" xfId="1" applyFill="1" applyBorder="1"/>
    <xf numFmtId="0" fontId="9" fillId="5" borderId="31" xfId="1" applyFill="1" applyBorder="1"/>
    <xf numFmtId="0" fontId="9" fillId="4" borderId="31" xfId="1" applyFill="1" applyBorder="1"/>
    <xf numFmtId="0" fontId="13" fillId="0" borderId="0" xfId="1" applyFont="1"/>
    <xf numFmtId="49" fontId="22" fillId="0" borderId="0" xfId="1" applyNumberFormat="1" applyFont="1" applyAlignment="1">
      <alignment horizontal="left"/>
    </xf>
    <xf numFmtId="1" fontId="9" fillId="0" borderId="0" xfId="1" applyNumberFormat="1" applyAlignment="1">
      <alignment horizontal="center"/>
    </xf>
    <xf numFmtId="2" fontId="9" fillId="0" borderId="0" xfId="1" applyNumberFormat="1" applyAlignment="1">
      <alignment horizontal="center"/>
    </xf>
    <xf numFmtId="167" fontId="9" fillId="5" borderId="40" xfId="1" applyNumberFormat="1" applyFill="1" applyBorder="1" applyAlignment="1">
      <alignment horizontal="center"/>
    </xf>
    <xf numFmtId="167" fontId="9" fillId="5" borderId="19" xfId="1" applyNumberFormat="1" applyFill="1" applyBorder="1" applyAlignment="1">
      <alignment horizontal="center"/>
    </xf>
    <xf numFmtId="0" fontId="9" fillId="5" borderId="19" xfId="1" applyFill="1" applyBorder="1"/>
    <xf numFmtId="0" fontId="9" fillId="5" borderId="8" xfId="1" applyFill="1" applyBorder="1"/>
    <xf numFmtId="0" fontId="24" fillId="0" borderId="0" xfId="1" applyFont="1"/>
    <xf numFmtId="167" fontId="22" fillId="0" borderId="0" xfId="1" applyNumberFormat="1" applyFont="1" applyAlignment="1">
      <alignment horizontal="left"/>
    </xf>
    <xf numFmtId="0" fontId="9" fillId="4" borderId="27" xfId="1" applyFill="1" applyBorder="1" applyAlignment="1">
      <alignment horizontal="center"/>
    </xf>
    <xf numFmtId="167" fontId="9" fillId="4" borderId="31" xfId="1" applyNumberFormat="1" applyFill="1" applyBorder="1" applyAlignment="1">
      <alignment horizontal="center"/>
    </xf>
    <xf numFmtId="167" fontId="9" fillId="4" borderId="8" xfId="1" applyNumberFormat="1" applyFill="1" applyBorder="1" applyAlignment="1">
      <alignment horizontal="center"/>
    </xf>
    <xf numFmtId="0" fontId="19" fillId="0" borderId="0" xfId="1" applyFont="1" applyAlignment="1">
      <alignment horizontal="left"/>
    </xf>
    <xf numFmtId="0" fontId="9" fillId="0" borderId="0" xfId="1" applyAlignment="1">
      <alignment horizontal="left"/>
    </xf>
    <xf numFmtId="0" fontId="9" fillId="5" borderId="7" xfId="1" applyFill="1" applyBorder="1" applyAlignment="1">
      <alignment horizontal="left"/>
    </xf>
    <xf numFmtId="20" fontId="11" fillId="0" borderId="0" xfId="0" applyNumberFormat="1" applyFont="1" applyBorder="1" applyAlignment="1">
      <alignment horizontal="center"/>
    </xf>
    <xf numFmtId="0" fontId="13" fillId="0" borderId="0" xfId="0" applyFont="1" applyBorder="1"/>
    <xf numFmtId="20" fontId="9" fillId="0" borderId="0" xfId="0" applyNumberFormat="1" applyFont="1" applyFill="1" applyBorder="1" applyProtection="1">
      <protection locked="0"/>
    </xf>
    <xf numFmtId="20" fontId="9" fillId="12" borderId="12" xfId="0" applyNumberFormat="1" applyFont="1" applyFill="1" applyBorder="1" applyAlignment="1" applyProtection="1">
      <alignment horizontal="center"/>
    </xf>
    <xf numFmtId="0" fontId="13" fillId="0" borderId="0" xfId="0" applyFont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0" fillId="0" borderId="5" xfId="0" applyFont="1" applyBorder="1" applyAlignment="1">
      <alignment horizontal="center" wrapText="1"/>
    </xf>
    <xf numFmtId="0" fontId="12" fillId="0" borderId="0" xfId="0" applyFont="1" applyBorder="1" applyAlignment="1">
      <alignment shrinkToFi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2" fontId="9" fillId="0" borderId="0" xfId="1" applyNumberFormat="1"/>
    <xf numFmtId="0" fontId="13" fillId="0" borderId="0" xfId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0" applyFont="1" applyBorder="1" applyAlignment="1">
      <alignment horizontal="left" shrinkToFit="1"/>
    </xf>
    <xf numFmtId="0" fontId="10" fillId="0" borderId="0" xfId="0" applyFont="1" applyBorder="1" applyAlignment="1">
      <alignment horizontal="left"/>
    </xf>
    <xf numFmtId="0" fontId="0" fillId="0" borderId="0" xfId="0" applyAlignment="1">
      <alignment wrapText="1"/>
    </xf>
    <xf numFmtId="0" fontId="13" fillId="0" borderId="37" xfId="0" applyFont="1" applyBorder="1" applyAlignment="1">
      <alignment horizontal="center" wrapText="1"/>
    </xf>
    <xf numFmtId="0" fontId="9" fillId="0" borderId="0" xfId="0" applyFont="1" applyBorder="1" applyAlignment="1">
      <alignment horizontal="left" vertical="center"/>
    </xf>
    <xf numFmtId="0" fontId="9" fillId="0" borderId="0" xfId="0" applyFont="1" applyAlignment="1" applyProtection="1">
      <alignment horizontal="center" vertical="center"/>
      <protection locked="0"/>
    </xf>
    <xf numFmtId="14" fontId="0" fillId="0" borderId="0" xfId="0" applyNumberFormat="1" applyBorder="1" applyAlignment="1">
      <alignment horizontal="left"/>
    </xf>
    <xf numFmtId="164" fontId="11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 vertical="center"/>
    </xf>
    <xf numFmtId="164" fontId="21" fillId="0" borderId="15" xfId="0" applyNumberFormat="1" applyFont="1" applyBorder="1" applyAlignment="1">
      <alignment horizontal="center"/>
    </xf>
    <xf numFmtId="0" fontId="20" fillId="0" borderId="49" xfId="0" applyFont="1" applyBorder="1" applyAlignment="1">
      <alignment horizontal="left"/>
    </xf>
    <xf numFmtId="165" fontId="0" fillId="0" borderId="15" xfId="0" applyNumberFormat="1" applyBorder="1" applyAlignment="1">
      <alignment horizontal="left"/>
    </xf>
    <xf numFmtId="164" fontId="21" fillId="0" borderId="22" xfId="0" applyNumberFormat="1" applyFont="1" applyBorder="1" applyAlignment="1">
      <alignment horizontal="center"/>
    </xf>
    <xf numFmtId="164" fontId="21" fillId="0" borderId="21" xfId="0" applyNumberFormat="1" applyFont="1" applyBorder="1" applyAlignment="1">
      <alignment horizontal="center"/>
    </xf>
    <xf numFmtId="164" fontId="27" fillId="0" borderId="15" xfId="7" applyNumberFormat="1" applyFont="1" applyFill="1" applyBorder="1" applyAlignment="1">
      <alignment horizontal="center"/>
    </xf>
    <xf numFmtId="0" fontId="21" fillId="0" borderId="15" xfId="0" applyNumberFormat="1" applyFont="1" applyBorder="1" applyAlignment="1">
      <alignment horizontal="center"/>
    </xf>
    <xf numFmtId="164" fontId="23" fillId="0" borderId="0" xfId="5" applyNumberFormat="1" applyFont="1" applyFill="1" applyBorder="1" applyAlignment="1" applyProtection="1">
      <alignment horizontal="center" vertical="center"/>
    </xf>
    <xf numFmtId="0" fontId="12" fillId="0" borderId="0" xfId="0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3" fillId="0" borderId="48" xfId="0" applyFont="1" applyBorder="1" applyAlignment="1">
      <alignment vertical="center" wrapText="1"/>
    </xf>
    <xf numFmtId="164" fontId="9" fillId="12" borderId="12" xfId="0" applyNumberFormat="1" applyFont="1" applyFill="1" applyBorder="1" applyAlignment="1" applyProtection="1">
      <alignment horizontal="center"/>
    </xf>
    <xf numFmtId="0" fontId="31" fillId="0" borderId="0" xfId="0" applyFont="1" applyProtection="1">
      <protection hidden="1"/>
    </xf>
    <xf numFmtId="0" fontId="9" fillId="0" borderId="0" xfId="0" applyFont="1" applyAlignment="1">
      <alignment vertical="center"/>
    </xf>
    <xf numFmtId="20" fontId="0" fillId="0" borderId="0" xfId="0" applyNumberFormat="1"/>
    <xf numFmtId="166" fontId="22" fillId="0" borderId="0" xfId="1" applyNumberFormat="1" applyFont="1"/>
    <xf numFmtId="167" fontId="13" fillId="5" borderId="4" xfId="1" applyNumberFormat="1" applyFont="1" applyFill="1" applyBorder="1"/>
    <xf numFmtId="0" fontId="13" fillId="5" borderId="26" xfId="1" applyFont="1" applyFill="1" applyBorder="1" applyAlignment="1">
      <alignment horizontal="left"/>
    </xf>
    <xf numFmtId="0" fontId="35" fillId="0" borderId="0" xfId="0" applyFont="1" applyBorder="1"/>
    <xf numFmtId="0" fontId="35" fillId="0" borderId="0" xfId="0" applyFont="1"/>
    <xf numFmtId="0" fontId="11" fillId="0" borderId="0" xfId="0" applyFont="1" applyBorder="1" applyAlignment="1">
      <alignment horizontal="center"/>
    </xf>
    <xf numFmtId="0" fontId="0" fillId="0" borderId="0" xfId="0" applyAlignment="1">
      <alignment vertical="center"/>
    </xf>
    <xf numFmtId="1" fontId="9" fillId="4" borderId="39" xfId="1" applyNumberFormat="1" applyFill="1" applyBorder="1" applyAlignment="1" applyProtection="1">
      <alignment horizontal="center"/>
      <protection locked="0"/>
    </xf>
    <xf numFmtId="166" fontId="9" fillId="5" borderId="11" xfId="1" applyNumberFormat="1" applyFill="1" applyBorder="1" applyAlignment="1" applyProtection="1">
      <alignment horizontal="center"/>
      <protection locked="0"/>
    </xf>
    <xf numFmtId="20" fontId="9" fillId="5" borderId="11" xfId="1" applyNumberFormat="1" applyFill="1" applyBorder="1" applyAlignment="1" applyProtection="1">
      <alignment horizontal="center"/>
      <protection locked="0"/>
    </xf>
    <xf numFmtId="167" fontId="9" fillId="5" borderId="39" xfId="1" applyNumberFormat="1" applyFill="1" applyBorder="1" applyAlignment="1" applyProtection="1">
      <alignment horizontal="center"/>
      <protection locked="0"/>
    </xf>
    <xf numFmtId="166" fontId="9" fillId="5" borderId="12" xfId="1" applyNumberFormat="1" applyFill="1" applyBorder="1" applyAlignment="1" applyProtection="1">
      <alignment horizontal="center"/>
      <protection locked="0"/>
    </xf>
    <xf numFmtId="20" fontId="9" fillId="5" borderId="12" xfId="1" applyNumberFormat="1" applyFill="1" applyBorder="1" applyAlignment="1" applyProtection="1">
      <alignment horizontal="center"/>
      <protection locked="0"/>
    </xf>
    <xf numFmtId="167" fontId="9" fillId="5" borderId="12" xfId="1" applyNumberFormat="1" applyFill="1" applyBorder="1" applyAlignment="1" applyProtection="1">
      <alignment horizontal="center"/>
      <protection locked="0"/>
    </xf>
    <xf numFmtId="0" fontId="9" fillId="5" borderId="12" xfId="1" applyFill="1" applyBorder="1" applyProtection="1">
      <protection locked="0"/>
    </xf>
    <xf numFmtId="0" fontId="9" fillId="5" borderId="12" xfId="1" applyFill="1" applyBorder="1" applyAlignment="1" applyProtection="1">
      <alignment horizontal="center"/>
      <protection locked="0"/>
    </xf>
    <xf numFmtId="0" fontId="9" fillId="5" borderId="31" xfId="1" applyFill="1" applyBorder="1" applyProtection="1">
      <protection locked="0"/>
    </xf>
    <xf numFmtId="167" fontId="8" fillId="8" borderId="11" xfId="4" applyNumberFormat="1" applyBorder="1" applyAlignment="1" applyProtection="1">
      <alignment horizontal="center"/>
    </xf>
    <xf numFmtId="167" fontId="8" fillId="8" borderId="12" xfId="4" applyNumberFormat="1" applyBorder="1" applyAlignment="1" applyProtection="1">
      <alignment horizontal="center"/>
    </xf>
    <xf numFmtId="167" fontId="8" fillId="8" borderId="31" xfId="4" applyNumberFormat="1" applyBorder="1" applyAlignment="1" applyProtection="1">
      <alignment horizontal="center"/>
    </xf>
    <xf numFmtId="1" fontId="9" fillId="5" borderId="39" xfId="1" applyNumberFormat="1" applyFill="1" applyBorder="1" applyAlignment="1" applyProtection="1">
      <alignment horizontal="center"/>
      <protection locked="0"/>
    </xf>
    <xf numFmtId="0" fontId="9" fillId="4" borderId="39" xfId="1" applyFill="1" applyBorder="1" applyAlignment="1" applyProtection="1">
      <alignment horizontal="center"/>
      <protection locked="0"/>
    </xf>
    <xf numFmtId="1" fontId="9" fillId="4" borderId="12" xfId="1" applyNumberFormat="1" applyFill="1" applyBorder="1" applyAlignment="1" applyProtection="1">
      <alignment horizontal="center"/>
      <protection locked="0"/>
    </xf>
    <xf numFmtId="1" fontId="9" fillId="5" borderId="12" xfId="1" applyNumberFormat="1" applyFill="1" applyBorder="1" applyAlignment="1" applyProtection="1">
      <alignment horizontal="center"/>
      <protection locked="0"/>
    </xf>
    <xf numFmtId="0" fontId="9" fillId="4" borderId="12" xfId="1" applyFill="1" applyBorder="1" applyAlignment="1" applyProtection="1">
      <alignment horizontal="center"/>
      <protection locked="0"/>
    </xf>
    <xf numFmtId="1" fontId="9" fillId="4" borderId="12" xfId="1" applyNumberFormat="1" applyFill="1" applyBorder="1" applyProtection="1">
      <protection locked="0"/>
    </xf>
    <xf numFmtId="0" fontId="9" fillId="4" borderId="12" xfId="1" applyFill="1" applyBorder="1" applyProtection="1">
      <protection locked="0"/>
    </xf>
    <xf numFmtId="1" fontId="9" fillId="4" borderId="31" xfId="1" applyNumberFormat="1" applyFill="1" applyBorder="1" applyProtection="1">
      <protection locked="0"/>
    </xf>
    <xf numFmtId="0" fontId="9" fillId="4" borderId="31" xfId="1" applyFill="1" applyBorder="1" applyProtection="1">
      <protection locked="0"/>
    </xf>
    <xf numFmtId="0" fontId="9" fillId="0" borderId="11" xfId="1" applyBorder="1" applyProtection="1"/>
    <xf numFmtId="0" fontId="9" fillId="0" borderId="12" xfId="1" applyBorder="1" applyProtection="1"/>
    <xf numFmtId="0" fontId="9" fillId="0" borderId="55" xfId="1" applyBorder="1" applyAlignment="1">
      <alignment horizontal="center"/>
    </xf>
    <xf numFmtId="170" fontId="33" fillId="13" borderId="56" xfId="8" applyNumberFormat="1" applyFont="1" applyBorder="1" applyAlignment="1">
      <alignment horizontal="center"/>
    </xf>
    <xf numFmtId="170" fontId="33" fillId="13" borderId="57" xfId="8" applyNumberFormat="1" applyFont="1" applyBorder="1" applyAlignment="1">
      <alignment horizontal="center"/>
    </xf>
    <xf numFmtId="0" fontId="13" fillId="0" borderId="0" xfId="1" applyFont="1" applyProtection="1"/>
    <xf numFmtId="164" fontId="10" fillId="0" borderId="0" xfId="0" applyNumberFormat="1" applyFont="1" applyBorder="1" applyAlignment="1">
      <alignment horizontal="left" shrinkToFit="1"/>
    </xf>
    <xf numFmtId="0" fontId="0" fillId="0" borderId="0" xfId="0" applyNumberFormat="1" applyAlignment="1">
      <alignment horizontal="center"/>
    </xf>
    <xf numFmtId="0" fontId="13" fillId="0" borderId="37" xfId="0" applyNumberFormat="1" applyFont="1" applyBorder="1" applyAlignment="1">
      <alignment horizontal="center" wrapText="1"/>
    </xf>
    <xf numFmtId="0" fontId="27" fillId="0" borderId="15" xfId="7" applyNumberFormat="1" applyFont="1" applyFill="1" applyBorder="1" applyAlignment="1">
      <alignment horizontal="center"/>
    </xf>
    <xf numFmtId="0" fontId="11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12" fillId="0" borderId="16" xfId="0" applyFont="1" applyBorder="1" applyAlignment="1">
      <alignment horizontal="left" wrapText="1" shrinkToFit="1"/>
    </xf>
    <xf numFmtId="165" fontId="13" fillId="2" borderId="13" xfId="0" applyNumberFormat="1" applyFont="1" applyFill="1" applyBorder="1" applyAlignment="1" applyProtection="1">
      <alignment horizontal="left" vertical="center"/>
    </xf>
    <xf numFmtId="20" fontId="9" fillId="0" borderId="11" xfId="0" applyNumberFormat="1" applyFont="1" applyFill="1" applyBorder="1" applyAlignment="1" applyProtection="1">
      <alignment horizontal="center" vertical="center"/>
      <protection locked="0"/>
    </xf>
    <xf numFmtId="20" fontId="9" fillId="0" borderId="12" xfId="0" applyNumberFormat="1" applyFont="1" applyFill="1" applyBorder="1" applyAlignment="1" applyProtection="1">
      <alignment horizontal="center" vertical="center"/>
      <protection locked="0"/>
    </xf>
    <xf numFmtId="20" fontId="9" fillId="0" borderId="46" xfId="0" applyNumberFormat="1" applyFont="1" applyFill="1" applyBorder="1" applyAlignment="1" applyProtection="1">
      <alignment horizontal="center" vertical="center"/>
      <protection locked="0"/>
    </xf>
    <xf numFmtId="20" fontId="8" fillId="8" borderId="20" xfId="4" applyNumberFormat="1" applyBorder="1" applyAlignment="1" applyProtection="1">
      <alignment horizontal="center" vertical="center"/>
    </xf>
    <xf numFmtId="20" fontId="9" fillId="0" borderId="18" xfId="0" applyNumberFormat="1" applyFont="1" applyFill="1" applyBorder="1" applyAlignment="1" applyProtection="1">
      <alignment horizontal="center" vertical="center"/>
      <protection locked="0"/>
    </xf>
    <xf numFmtId="20" fontId="9" fillId="0" borderId="43" xfId="0" applyNumberFormat="1" applyFont="1" applyFill="1" applyBorder="1" applyAlignment="1" applyProtection="1">
      <alignment horizontal="center" vertical="center"/>
      <protection locked="0"/>
    </xf>
    <xf numFmtId="20" fontId="9" fillId="0" borderId="17" xfId="0" applyNumberFormat="1" applyFont="1" applyFill="1" applyBorder="1" applyAlignment="1" applyProtection="1">
      <alignment horizontal="center" vertical="center"/>
      <protection locked="0"/>
    </xf>
    <xf numFmtId="0" fontId="9" fillId="0" borderId="12" xfId="0" applyNumberFormat="1" applyFont="1" applyFill="1" applyBorder="1" applyAlignment="1" applyProtection="1">
      <alignment horizontal="center" vertical="center"/>
      <protection locked="0"/>
    </xf>
    <xf numFmtId="20" fontId="9" fillId="0" borderId="19" xfId="0" applyNumberFormat="1" applyFont="1" applyFill="1" applyBorder="1" applyAlignment="1" applyProtection="1">
      <alignment horizontal="center" vertical="center"/>
      <protection locked="0"/>
    </xf>
    <xf numFmtId="20" fontId="9" fillId="0" borderId="20" xfId="0" applyNumberFormat="1" applyFont="1" applyFill="1" applyBorder="1" applyAlignment="1" applyProtection="1">
      <alignment horizontal="center" vertical="center"/>
      <protection locked="0"/>
    </xf>
    <xf numFmtId="169" fontId="9" fillId="0" borderId="19" xfId="0" applyNumberFormat="1" applyFont="1" applyFill="1" applyBorder="1" applyAlignment="1" applyProtection="1">
      <alignment horizontal="center" vertical="center"/>
      <protection locked="0"/>
    </xf>
    <xf numFmtId="20" fontId="8" fillId="8" borderId="24" xfId="4" applyNumberFormat="1" applyBorder="1" applyAlignment="1" applyProtection="1">
      <alignment horizontal="center" vertical="center"/>
    </xf>
    <xf numFmtId="20" fontId="8" fillId="8" borderId="19" xfId="4" applyNumberFormat="1" applyBorder="1" applyAlignment="1" applyProtection="1">
      <alignment horizontal="center" vertical="center"/>
    </xf>
    <xf numFmtId="20" fontId="9" fillId="0" borderId="20" xfId="0" applyNumberFormat="1" applyFont="1" applyFill="1" applyBorder="1" applyAlignment="1" applyProtection="1">
      <alignment horizontal="left" vertical="center"/>
      <protection locked="0"/>
    </xf>
    <xf numFmtId="20" fontId="9" fillId="0" borderId="0" xfId="0" applyNumberFormat="1" applyFont="1" applyFill="1" applyBorder="1" applyAlignment="1" applyProtection="1">
      <alignment horizontal="center" vertical="center"/>
    </xf>
    <xf numFmtId="20" fontId="9" fillId="0" borderId="20" xfId="0" applyNumberFormat="1" applyFont="1" applyFill="1" applyBorder="1" applyAlignment="1" applyProtection="1">
      <alignment horizontal="left" vertical="center" wrapText="1"/>
      <protection locked="0"/>
    </xf>
    <xf numFmtId="20" fontId="0" fillId="0" borderId="0" xfId="0" applyNumberFormat="1" applyAlignment="1">
      <alignment vertical="center"/>
    </xf>
    <xf numFmtId="165" fontId="13" fillId="4" borderId="13" xfId="0" applyNumberFormat="1" applyFont="1" applyFill="1" applyBorder="1" applyAlignment="1" applyProtection="1">
      <alignment horizontal="left" vertical="center"/>
    </xf>
    <xf numFmtId="20" fontId="9" fillId="0" borderId="14" xfId="0" applyNumberFormat="1" applyFont="1" applyFill="1" applyBorder="1" applyAlignment="1" applyProtection="1">
      <alignment horizontal="center" vertical="center"/>
      <protection locked="0"/>
    </xf>
    <xf numFmtId="20" fontId="9" fillId="0" borderId="9" xfId="0" applyNumberFormat="1" applyFont="1" applyFill="1" applyBorder="1" applyAlignment="1" applyProtection="1">
      <alignment horizontal="center" vertical="center"/>
      <protection locked="0"/>
    </xf>
    <xf numFmtId="20" fontId="9" fillId="0" borderId="10" xfId="0" applyNumberFormat="1" applyFont="1" applyFill="1" applyBorder="1" applyAlignment="1" applyProtection="1">
      <alignment horizontal="center" vertical="center"/>
      <protection locked="0"/>
    </xf>
    <xf numFmtId="20" fontId="9" fillId="0" borderId="13" xfId="0" applyNumberFormat="1" applyFont="1" applyFill="1" applyBorder="1" applyAlignment="1" applyProtection="1">
      <alignment horizontal="center" vertical="center"/>
      <protection locked="0"/>
    </xf>
    <xf numFmtId="20" fontId="9" fillId="0" borderId="10" xfId="0" applyNumberFormat="1" applyFont="1" applyFill="1" applyBorder="1" applyAlignment="1" applyProtection="1">
      <alignment horizontal="left" vertical="center" wrapText="1"/>
      <protection locked="0"/>
    </xf>
    <xf numFmtId="164" fontId="0" fillId="0" borderId="0" xfId="0" applyNumberFormat="1" applyAlignment="1">
      <alignment vertical="center"/>
    </xf>
    <xf numFmtId="20" fontId="9" fillId="12" borderId="20" xfId="0" applyNumberFormat="1" applyFont="1" applyFill="1" applyBorder="1" applyAlignment="1" applyProtection="1">
      <alignment horizontal="left" vertical="center" wrapText="1"/>
      <protection locked="0"/>
    </xf>
    <xf numFmtId="169" fontId="9" fillId="0" borderId="43" xfId="0" applyNumberFormat="1" applyFont="1" applyFill="1" applyBorder="1" applyAlignment="1" applyProtection="1">
      <alignment horizontal="center" vertical="center"/>
      <protection locked="0"/>
    </xf>
    <xf numFmtId="165" fontId="13" fillId="2" borderId="32" xfId="0" applyNumberFormat="1" applyFont="1" applyFill="1" applyBorder="1" applyAlignment="1" applyProtection="1">
      <alignment horizontal="left" vertical="center"/>
    </xf>
    <xf numFmtId="20" fontId="9" fillId="0" borderId="29" xfId="0" applyNumberFormat="1" applyFont="1" applyFill="1" applyBorder="1" applyAlignment="1" applyProtection="1">
      <alignment horizontal="center" vertical="center"/>
      <protection locked="0"/>
    </xf>
    <xf numFmtId="20" fontId="9" fillId="0" borderId="47" xfId="0" applyNumberFormat="1" applyFont="1" applyFill="1" applyBorder="1" applyAlignment="1" applyProtection="1">
      <alignment horizontal="center" vertical="center"/>
      <protection locked="0"/>
    </xf>
    <xf numFmtId="20" fontId="8" fillId="8" borderId="45" xfId="4" applyNumberFormat="1" applyBorder="1" applyAlignment="1" applyProtection="1">
      <alignment horizontal="center" vertical="center"/>
    </xf>
    <xf numFmtId="20" fontId="9" fillId="0" borderId="44" xfId="0" applyNumberFormat="1" applyFont="1" applyFill="1" applyBorder="1" applyAlignment="1" applyProtection="1">
      <alignment horizontal="center" vertical="center"/>
      <protection locked="0"/>
    </xf>
    <xf numFmtId="20" fontId="9" fillId="0" borderId="7" xfId="0" applyNumberFormat="1" applyFont="1" applyFill="1" applyBorder="1" applyAlignment="1" applyProtection="1">
      <alignment horizontal="center" vertical="center"/>
      <protection locked="0"/>
    </xf>
    <xf numFmtId="20" fontId="9" fillId="0" borderId="31" xfId="0" applyNumberFormat="1" applyFont="1" applyFill="1" applyBorder="1" applyAlignment="1" applyProtection="1">
      <alignment horizontal="center" vertical="center"/>
      <protection locked="0"/>
    </xf>
    <xf numFmtId="20" fontId="9" fillId="0" borderId="8" xfId="0" applyNumberFormat="1" applyFont="1" applyFill="1" applyBorder="1" applyAlignment="1" applyProtection="1">
      <alignment horizontal="center" vertical="center"/>
      <protection locked="0"/>
    </xf>
    <xf numFmtId="20" fontId="9" fillId="0" borderId="45" xfId="0" applyNumberFormat="1" applyFont="1" applyFill="1" applyBorder="1" applyAlignment="1" applyProtection="1">
      <alignment horizontal="center" vertical="center"/>
      <protection locked="0"/>
    </xf>
    <xf numFmtId="20" fontId="9" fillId="0" borderId="32" xfId="0" applyNumberFormat="1" applyFont="1" applyFill="1" applyBorder="1" applyAlignment="1" applyProtection="1">
      <alignment horizontal="center" vertical="center"/>
      <protection locked="0"/>
    </xf>
    <xf numFmtId="169" fontId="9" fillId="0" borderId="8" xfId="0" applyNumberFormat="1" applyFont="1" applyFill="1" applyBorder="1" applyAlignment="1" applyProtection="1">
      <alignment horizontal="center" vertical="center"/>
      <protection locked="0"/>
    </xf>
    <xf numFmtId="169" fontId="9" fillId="0" borderId="54" xfId="0" applyNumberFormat="1" applyFont="1" applyFill="1" applyBorder="1" applyAlignment="1" applyProtection="1">
      <alignment horizontal="center" vertical="center"/>
      <protection locked="0"/>
    </xf>
    <xf numFmtId="20" fontId="8" fillId="8" borderId="7" xfId="4" applyNumberFormat="1" applyBorder="1" applyAlignment="1" applyProtection="1">
      <alignment horizontal="center" vertical="center"/>
    </xf>
    <xf numFmtId="20" fontId="8" fillId="8" borderId="8" xfId="4" applyNumberFormat="1" applyBorder="1" applyAlignment="1" applyProtection="1">
      <alignment horizontal="center" vertical="center"/>
    </xf>
    <xf numFmtId="20" fontId="9" fillId="0" borderId="36" xfId="0" applyNumberFormat="1" applyFont="1" applyFill="1" applyBorder="1" applyAlignment="1" applyProtection="1">
      <alignment horizontal="left" vertical="center" wrapText="1"/>
      <protection locked="0"/>
    </xf>
    <xf numFmtId="164" fontId="18" fillId="0" borderId="0" xfId="0" applyNumberFormat="1" applyFont="1" applyFill="1" applyBorder="1" applyAlignment="1" applyProtection="1">
      <alignment horizontal="left" vertical="center"/>
    </xf>
    <xf numFmtId="0" fontId="0" fillId="0" borderId="5" xfId="0" applyBorder="1" applyAlignment="1">
      <alignment horizontal="left"/>
    </xf>
    <xf numFmtId="0" fontId="0" fillId="0" borderId="3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20" fontId="0" fillId="0" borderId="0" xfId="0" applyNumberFormat="1" applyAlignment="1">
      <alignment horizontal="center" vertical="center"/>
    </xf>
    <xf numFmtId="20" fontId="0" fillId="0" borderId="20" xfId="0" applyNumberFormat="1" applyBorder="1" applyAlignment="1" applyProtection="1">
      <alignment horizontal="left" vertical="center"/>
      <protection locked="0"/>
    </xf>
    <xf numFmtId="20" fontId="28" fillId="3" borderId="20" xfId="6" applyNumberFormat="1" applyFont="1" applyFill="1" applyBorder="1" applyAlignment="1">
      <alignment horizontal="center" vertical="center"/>
    </xf>
    <xf numFmtId="20" fontId="0" fillId="0" borderId="20" xfId="0" applyNumberFormat="1" applyBorder="1" applyAlignment="1" applyProtection="1">
      <alignment horizontal="center" vertical="center"/>
      <protection locked="0"/>
    </xf>
    <xf numFmtId="20" fontId="0" fillId="0" borderId="19" xfId="0" applyNumberFormat="1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20" fontId="0" fillId="0" borderId="17" xfId="0" applyNumberFormat="1" applyBorder="1" applyAlignment="1" applyProtection="1">
      <alignment horizontal="center" vertical="center"/>
      <protection locked="0"/>
    </xf>
    <xf numFmtId="20" fontId="0" fillId="0" borderId="43" xfId="0" applyNumberFormat="1" applyBorder="1" applyAlignment="1" applyProtection="1">
      <alignment horizontal="center" vertical="center"/>
      <protection locked="0"/>
    </xf>
    <xf numFmtId="20" fontId="0" fillId="0" borderId="18" xfId="0" applyNumberFormat="1" applyBorder="1" applyAlignment="1" applyProtection="1">
      <alignment horizontal="center" vertical="center"/>
      <protection locked="0"/>
    </xf>
    <xf numFmtId="20" fontId="0" fillId="0" borderId="46" xfId="0" applyNumberFormat="1" applyBorder="1" applyAlignment="1" applyProtection="1">
      <alignment horizontal="center" vertical="center"/>
      <protection locked="0"/>
    </xf>
    <xf numFmtId="20" fontId="0" fillId="0" borderId="12" xfId="0" applyNumberFormat="1" applyBorder="1" applyAlignment="1" applyProtection="1">
      <alignment horizontal="center" vertical="center"/>
      <protection locked="0"/>
    </xf>
    <xf numFmtId="20" fontId="0" fillId="0" borderId="11" xfId="0" applyNumberFormat="1" applyBorder="1" applyAlignment="1" applyProtection="1">
      <alignment horizontal="center" vertical="center"/>
      <protection locked="0"/>
    </xf>
    <xf numFmtId="165" fontId="13" fillId="2" borderId="13" xfId="0" applyNumberFormat="1" applyFont="1" applyFill="1" applyBorder="1" applyAlignment="1">
      <alignment horizontal="left" vertical="center"/>
    </xf>
    <xf numFmtId="14" fontId="13" fillId="2" borderId="23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2" fontId="13" fillId="0" borderId="0" xfId="1" applyNumberFormat="1" applyFont="1"/>
    <xf numFmtId="20" fontId="29" fillId="5" borderId="12" xfId="2" applyNumberFormat="1" applyFont="1" applyFill="1" applyBorder="1" applyAlignment="1">
      <alignment horizontal="center"/>
    </xf>
    <xf numFmtId="164" fontId="29" fillId="5" borderId="12" xfId="2" quotePrefix="1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3" fillId="0" borderId="3" xfId="0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36" fillId="0" borderId="5" xfId="0" applyFont="1" applyBorder="1" applyAlignment="1">
      <alignment horizontal="center" wrapText="1"/>
    </xf>
    <xf numFmtId="0" fontId="38" fillId="0" borderId="0" xfId="10" applyFont="1" applyAlignment="1">
      <alignment horizontal="left"/>
    </xf>
    <xf numFmtId="0" fontId="38" fillId="0" borderId="0" xfId="10" applyFont="1"/>
    <xf numFmtId="172" fontId="38" fillId="0" borderId="0" xfId="10" applyNumberFormat="1" applyFont="1"/>
    <xf numFmtId="2" fontId="38" fillId="0" borderId="0" xfId="10" applyNumberFormat="1" applyFont="1"/>
    <xf numFmtId="4" fontId="6" fillId="0" borderId="0" xfId="10" applyNumberFormat="1"/>
    <xf numFmtId="2" fontId="6" fillId="0" borderId="0" xfId="10" applyNumberFormat="1"/>
    <xf numFmtId="0" fontId="6" fillId="0" borderId="0" xfId="10"/>
    <xf numFmtId="0" fontId="38" fillId="0" borderId="0" xfId="10" applyFont="1" applyAlignment="1">
      <alignment horizontal="right"/>
    </xf>
    <xf numFmtId="167" fontId="6" fillId="0" borderId="0" xfId="10" applyNumberFormat="1"/>
    <xf numFmtId="0" fontId="29" fillId="14" borderId="0" xfId="10" applyFont="1" applyFill="1"/>
    <xf numFmtId="49" fontId="6" fillId="0" borderId="0" xfId="10" applyNumberFormat="1"/>
    <xf numFmtId="0" fontId="6" fillId="0" borderId="0" xfId="10" applyAlignment="1">
      <alignment horizontal="right"/>
    </xf>
    <xf numFmtId="0" fontId="28" fillId="0" borderId="0" xfId="10" applyFont="1"/>
    <xf numFmtId="0" fontId="13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13" fillId="0" borderId="3" xfId="0" applyFont="1" applyBorder="1" applyAlignment="1"/>
    <xf numFmtId="0" fontId="35" fillId="0" borderId="0" xfId="0" applyFont="1" applyAlignment="1">
      <alignment horizontal="right" vertical="center"/>
    </xf>
    <xf numFmtId="0" fontId="9" fillId="0" borderId="0" xfId="0" applyFont="1" applyAlignment="1">
      <alignment vertical="center" wrapText="1"/>
    </xf>
    <xf numFmtId="0" fontId="9" fillId="0" borderId="27" xfId="0" applyFont="1" applyBorder="1" applyAlignment="1">
      <alignment vertical="center" wrapText="1"/>
    </xf>
    <xf numFmtId="0" fontId="0" fillId="0" borderId="27" xfId="0" applyBorder="1" applyAlignment="1"/>
    <xf numFmtId="164" fontId="9" fillId="7" borderId="12" xfId="3" applyNumberFormat="1" applyFont="1" applyBorder="1" applyAlignment="1" applyProtection="1">
      <alignment horizontal="center"/>
      <protection locked="0"/>
    </xf>
    <xf numFmtId="0" fontId="13" fillId="0" borderId="12" xfId="0" applyFont="1" applyBorder="1" applyAlignment="1">
      <alignment horizontal="center"/>
    </xf>
    <xf numFmtId="168" fontId="9" fillId="7" borderId="12" xfId="3" applyNumberFormat="1" applyFont="1" applyBorder="1" applyAlignment="1" applyProtection="1">
      <alignment horizontal="center"/>
      <protection locked="0"/>
    </xf>
    <xf numFmtId="20" fontId="0" fillId="17" borderId="12" xfId="3" applyNumberFormat="1" applyFont="1" applyFill="1" applyBorder="1" applyAlignment="1" applyProtection="1">
      <alignment horizontal="center"/>
      <protection locked="0"/>
    </xf>
    <xf numFmtId="0" fontId="13" fillId="0" borderId="12" xfId="0" applyFont="1" applyBorder="1" applyAlignment="1">
      <alignment horizontal="right" vertical="center"/>
    </xf>
    <xf numFmtId="164" fontId="9" fillId="7" borderId="12" xfId="3" applyNumberFormat="1" applyFont="1" applyBorder="1" applyAlignment="1" applyProtection="1">
      <alignment horizontal="center" vertical="center"/>
      <protection locked="0"/>
    </xf>
    <xf numFmtId="0" fontId="13" fillId="0" borderId="12" xfId="0" applyFont="1" applyBorder="1" applyAlignment="1">
      <alignment horizontal="center" vertical="center"/>
    </xf>
    <xf numFmtId="168" fontId="9" fillId="7" borderId="12" xfId="3" applyNumberFormat="1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>
      <alignment wrapText="1"/>
    </xf>
    <xf numFmtId="164" fontId="9" fillId="7" borderId="45" xfId="3" applyNumberFormat="1" applyFont="1" applyBorder="1" applyAlignment="1" applyProtection="1">
      <alignment horizontal="center" wrapText="1"/>
      <protection locked="0"/>
    </xf>
    <xf numFmtId="164" fontId="39" fillId="0" borderId="37" xfId="3" applyNumberFormat="1" applyFont="1" applyFill="1" applyBorder="1" applyAlignment="1" applyProtection="1">
      <alignment horizontal="center" wrapText="1"/>
      <protection hidden="1"/>
    </xf>
    <xf numFmtId="0" fontId="9" fillId="0" borderId="0" xfId="0" applyFont="1" applyBorder="1" applyAlignment="1">
      <alignment vertical="center" wrapText="1"/>
    </xf>
    <xf numFmtId="0" fontId="31" fillId="0" borderId="0" xfId="0" applyFont="1" applyAlignment="1" applyProtection="1">
      <alignment horizontal="right"/>
      <protection hidden="1"/>
    </xf>
    <xf numFmtId="0" fontId="0" fillId="0" borderId="0" xfId="0" applyAlignment="1">
      <alignment horizontal="right"/>
    </xf>
    <xf numFmtId="0" fontId="13" fillId="0" borderId="0" xfId="0" applyFont="1" applyBorder="1" applyAlignment="1"/>
    <xf numFmtId="20" fontId="0" fillId="17" borderId="11" xfId="3" applyNumberFormat="1" applyFont="1" applyFill="1" applyBorder="1" applyAlignment="1" applyProtection="1">
      <alignment horizontal="center"/>
      <protection locked="0"/>
    </xf>
    <xf numFmtId="171" fontId="0" fillId="0" borderId="0" xfId="0" applyNumberFormat="1" applyBorder="1" applyAlignment="1"/>
    <xf numFmtId="164" fontId="41" fillId="0" borderId="37" xfId="3" applyNumberFormat="1" applyFont="1" applyFill="1" applyBorder="1" applyAlignment="1" applyProtection="1">
      <alignment horizontal="center" wrapText="1"/>
      <protection hidden="1"/>
    </xf>
    <xf numFmtId="20" fontId="9" fillId="0" borderId="0" xfId="0" applyNumberFormat="1" applyFont="1" applyFill="1" applyBorder="1" applyProtection="1"/>
    <xf numFmtId="0" fontId="9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9" fillId="7" borderId="42" xfId="9" applyFont="1" applyAlignment="1" applyProtection="1">
      <alignment horizontal="center" vertical="center"/>
      <protection locked="0"/>
    </xf>
    <xf numFmtId="0" fontId="31" fillId="0" borderId="0" xfId="0" applyFont="1" applyAlignment="1">
      <alignment vertical="center"/>
    </xf>
    <xf numFmtId="14" fontId="39" fillId="4" borderId="23" xfId="12" applyNumberFormat="1" applyFont="1" applyFill="1" applyBorder="1" applyAlignment="1">
      <alignment horizontal="left" vertical="center"/>
    </xf>
    <xf numFmtId="165" fontId="39" fillId="4" borderId="13" xfId="12" applyNumberFormat="1" applyFont="1" applyFill="1" applyBorder="1" applyAlignment="1" applyProtection="1">
      <alignment horizontal="left" vertical="center"/>
    </xf>
    <xf numFmtId="0" fontId="39" fillId="5" borderId="16" xfId="12" applyFont="1" applyFill="1" applyBorder="1" applyAlignment="1">
      <alignment horizontal="left"/>
    </xf>
    <xf numFmtId="0" fontId="39" fillId="5" borderId="16" xfId="12" applyFont="1" applyFill="1" applyBorder="1" applyAlignment="1">
      <alignment horizontal="right"/>
    </xf>
    <xf numFmtId="0" fontId="9" fillId="4" borderId="40" xfId="1" applyFill="1" applyBorder="1" applyAlignment="1" applyProtection="1">
      <alignment horizontal="center"/>
      <protection locked="0"/>
    </xf>
    <xf numFmtId="0" fontId="9" fillId="4" borderId="19" xfId="1" applyFill="1" applyBorder="1" applyAlignment="1" applyProtection="1">
      <alignment horizontal="center"/>
      <protection locked="0"/>
    </xf>
    <xf numFmtId="0" fontId="9" fillId="4" borderId="19" xfId="1" applyFill="1" applyBorder="1" applyProtection="1">
      <protection locked="0"/>
    </xf>
    <xf numFmtId="0" fontId="9" fillId="4" borderId="8" xfId="1" applyFill="1" applyBorder="1" applyProtection="1">
      <protection locked="0"/>
    </xf>
    <xf numFmtId="167" fontId="8" fillId="8" borderId="23" xfId="4" applyNumberFormat="1" applyBorder="1" applyAlignment="1" applyProtection="1">
      <alignment horizontal="center"/>
    </xf>
    <xf numFmtId="0" fontId="9" fillId="0" borderId="9" xfId="1" applyBorder="1" applyProtection="1"/>
    <xf numFmtId="167" fontId="8" fillId="8" borderId="24" xfId="4" applyNumberFormat="1" applyBorder="1" applyAlignment="1" applyProtection="1">
      <alignment horizontal="center"/>
    </xf>
    <xf numFmtId="0" fontId="9" fillId="0" borderId="19" xfId="1" applyBorder="1" applyProtection="1"/>
    <xf numFmtId="167" fontId="8" fillId="8" borderId="7" xfId="4" applyNumberFormat="1" applyBorder="1" applyAlignment="1" applyProtection="1">
      <alignment horizontal="center"/>
    </xf>
    <xf numFmtId="0" fontId="9" fillId="0" borderId="31" xfId="1" applyBorder="1" applyProtection="1"/>
    <xf numFmtId="0" fontId="9" fillId="0" borderId="8" xfId="1" applyBorder="1" applyProtection="1"/>
    <xf numFmtId="0" fontId="13" fillId="4" borderId="27" xfId="1" applyFont="1" applyFill="1" applyBorder="1" applyAlignment="1">
      <alignment horizontal="center"/>
    </xf>
    <xf numFmtId="0" fontId="9" fillId="0" borderId="0" xfId="1" applyFont="1"/>
    <xf numFmtId="164" fontId="21" fillId="0" borderId="16" xfId="0" applyNumberFormat="1" applyFont="1" applyBorder="1" applyAlignment="1">
      <alignment horizontal="center"/>
    </xf>
    <xf numFmtId="165" fontId="14" fillId="0" borderId="15" xfId="0" applyNumberFormat="1" applyFont="1" applyBorder="1" applyAlignment="1">
      <alignment horizontal="left"/>
    </xf>
    <xf numFmtId="14" fontId="39" fillId="12" borderId="16" xfId="12" applyNumberFormat="1" applyFont="1" applyFill="1" applyBorder="1" applyAlignment="1">
      <alignment horizontal="left" vertical="center"/>
    </xf>
    <xf numFmtId="170" fontId="0" fillId="0" borderId="0" xfId="0" applyNumberFormat="1" applyAlignment="1">
      <alignment horizontal="right"/>
    </xf>
    <xf numFmtId="1" fontId="0" fillId="0" borderId="12" xfId="0" applyNumberFormat="1" applyBorder="1" applyAlignment="1" applyProtection="1">
      <alignment horizontal="center" vertical="center"/>
      <protection locked="0"/>
    </xf>
    <xf numFmtId="20" fontId="9" fillId="0" borderId="19" xfId="0" applyNumberFormat="1" applyFont="1" applyBorder="1" applyAlignment="1" applyProtection="1">
      <alignment horizontal="center" vertical="center"/>
      <protection locked="0"/>
    </xf>
    <xf numFmtId="0" fontId="9" fillId="0" borderId="46" xfId="1" applyBorder="1"/>
    <xf numFmtId="0" fontId="9" fillId="0" borderId="13" xfId="1" applyBorder="1"/>
    <xf numFmtId="0" fontId="20" fillId="0" borderId="12" xfId="1" applyFont="1" applyBorder="1"/>
    <xf numFmtId="0" fontId="20" fillId="0" borderId="12" xfId="1" applyFont="1" applyBorder="1" applyAlignment="1">
      <alignment horizontal="left"/>
    </xf>
    <xf numFmtId="166" fontId="4" fillId="5" borderId="38" xfId="12" applyNumberFormat="1" applyFill="1" applyBorder="1" applyAlignment="1" applyProtection="1">
      <alignment horizontal="left"/>
      <protection locked="0"/>
    </xf>
    <xf numFmtId="0" fontId="4" fillId="5" borderId="28" xfId="12" applyFill="1" applyBorder="1" applyProtection="1">
      <protection locked="0"/>
    </xf>
    <xf numFmtId="2" fontId="4" fillId="5" borderId="37" xfId="12" applyNumberFormat="1" applyFill="1" applyBorder="1" applyProtection="1">
      <protection locked="0"/>
    </xf>
    <xf numFmtId="166" fontId="4" fillId="5" borderId="24" xfId="12" applyNumberFormat="1" applyFill="1" applyBorder="1" applyAlignment="1" applyProtection="1">
      <alignment horizontal="left"/>
      <protection locked="0"/>
    </xf>
    <xf numFmtId="0" fontId="4" fillId="5" borderId="43" xfId="12" applyFill="1" applyBorder="1" applyProtection="1">
      <protection locked="0"/>
    </xf>
    <xf numFmtId="2" fontId="4" fillId="5" borderId="20" xfId="12" applyNumberFormat="1" applyFill="1" applyBorder="1" applyProtection="1">
      <protection locked="0"/>
    </xf>
    <xf numFmtId="0" fontId="4" fillId="5" borderId="20" xfId="12" applyFill="1" applyBorder="1" applyProtection="1">
      <protection locked="0"/>
    </xf>
    <xf numFmtId="0" fontId="4" fillId="5" borderId="20" xfId="12" applyFill="1" applyBorder="1" applyAlignment="1" applyProtection="1">
      <alignment horizontal="center"/>
      <protection locked="0"/>
    </xf>
    <xf numFmtId="0" fontId="4" fillId="5" borderId="24" xfId="12" applyFill="1" applyBorder="1" applyAlignment="1" applyProtection="1">
      <alignment horizontal="left"/>
      <protection locked="0"/>
    </xf>
    <xf numFmtId="0" fontId="4" fillId="5" borderId="7" xfId="12" applyFill="1" applyBorder="1" applyAlignment="1" applyProtection="1">
      <alignment horizontal="left"/>
      <protection locked="0"/>
    </xf>
    <xf numFmtId="0" fontId="4" fillId="5" borderId="54" xfId="12" applyFill="1" applyBorder="1" applyProtection="1">
      <protection locked="0"/>
    </xf>
    <xf numFmtId="0" fontId="4" fillId="5" borderId="45" xfId="12" applyFill="1" applyBorder="1" applyProtection="1">
      <protection locked="0"/>
    </xf>
    <xf numFmtId="166" fontId="9" fillId="5" borderId="39" xfId="1" applyNumberFormat="1" applyFill="1" applyBorder="1" applyAlignment="1" applyProtection="1">
      <alignment horizontal="center"/>
      <protection locked="0"/>
    </xf>
    <xf numFmtId="2" fontId="9" fillId="5" borderId="39" xfId="1" applyNumberFormat="1" applyFill="1" applyBorder="1" applyAlignment="1" applyProtection="1">
      <alignment horizontal="center"/>
      <protection locked="0"/>
    </xf>
    <xf numFmtId="2" fontId="9" fillId="4" borderId="39" xfId="1" applyNumberFormat="1" applyFill="1" applyBorder="1" applyAlignment="1" applyProtection="1">
      <alignment horizontal="center"/>
      <protection locked="0"/>
    </xf>
    <xf numFmtId="2" fontId="9" fillId="4" borderId="40" xfId="1" applyNumberFormat="1" applyFill="1" applyBorder="1" applyAlignment="1" applyProtection="1">
      <alignment horizontal="center"/>
      <protection locked="0"/>
    </xf>
    <xf numFmtId="2" fontId="9" fillId="5" borderId="12" xfId="1" applyNumberFormat="1" applyFill="1" applyBorder="1" applyAlignment="1" applyProtection="1">
      <alignment horizontal="center"/>
      <protection locked="0"/>
    </xf>
    <xf numFmtId="2" fontId="9" fillId="4" borderId="12" xfId="1" applyNumberFormat="1" applyFill="1" applyBorder="1" applyAlignment="1" applyProtection="1">
      <alignment horizontal="center"/>
      <protection locked="0"/>
    </xf>
    <xf numFmtId="2" fontId="9" fillId="4" borderId="19" xfId="1" applyNumberFormat="1" applyFill="1" applyBorder="1" applyAlignment="1" applyProtection="1">
      <alignment horizontal="center"/>
      <protection locked="0"/>
    </xf>
    <xf numFmtId="167" fontId="9" fillId="4" borderId="12" xfId="1" applyNumberFormat="1" applyFill="1" applyBorder="1" applyAlignment="1" applyProtection="1">
      <alignment horizontal="center"/>
      <protection locked="0"/>
    </xf>
    <xf numFmtId="167" fontId="9" fillId="4" borderId="19" xfId="1" applyNumberFormat="1" applyFill="1" applyBorder="1" applyAlignment="1" applyProtection="1">
      <alignment horizontal="center"/>
      <protection locked="0"/>
    </xf>
    <xf numFmtId="171" fontId="33" fillId="13" borderId="43" xfId="8" applyNumberFormat="1" applyFont="1" applyBorder="1" applyAlignment="1">
      <alignment horizontal="center"/>
    </xf>
    <xf numFmtId="171" fontId="33" fillId="13" borderId="18" xfId="8" applyNumberFormat="1" applyFont="1" applyBorder="1" applyAlignment="1">
      <alignment horizontal="left"/>
    </xf>
    <xf numFmtId="167" fontId="9" fillId="5" borderId="7" xfId="1" applyNumberFormat="1" applyFill="1" applyBorder="1" applyAlignment="1">
      <alignment horizontal="center" wrapText="1"/>
    </xf>
    <xf numFmtId="0" fontId="45" fillId="0" borderId="0" xfId="13" applyFont="1" applyBorder="1"/>
    <xf numFmtId="0" fontId="45" fillId="0" borderId="0" xfId="13" applyFont="1" applyBorder="1" applyProtection="1">
      <protection locked="0"/>
    </xf>
    <xf numFmtId="0" fontId="45" fillId="0" borderId="47" xfId="13" applyFont="1" applyBorder="1"/>
    <xf numFmtId="0" fontId="45" fillId="0" borderId="47" xfId="13" applyFont="1" applyBorder="1" applyProtection="1">
      <protection locked="0"/>
    </xf>
    <xf numFmtId="0" fontId="9" fillId="0" borderId="46" xfId="1" applyBorder="1" applyProtection="1">
      <protection locked="0"/>
    </xf>
    <xf numFmtId="0" fontId="9" fillId="0" borderId="69" xfId="1" applyBorder="1" applyProtection="1">
      <protection locked="0"/>
    </xf>
    <xf numFmtId="0" fontId="45" fillId="0" borderId="47" xfId="13" applyFont="1" applyBorder="1" applyAlignment="1">
      <alignment horizontal="left"/>
    </xf>
    <xf numFmtId="9" fontId="45" fillId="0" borderId="68" xfId="13" applyNumberFormat="1" applyFont="1" applyBorder="1" applyAlignment="1">
      <alignment horizontal="left"/>
    </xf>
    <xf numFmtId="2" fontId="9" fillId="5" borderId="37" xfId="1" applyNumberFormat="1" applyFill="1" applyBorder="1" applyAlignment="1">
      <alignment horizontal="center"/>
    </xf>
    <xf numFmtId="2" fontId="9" fillId="5" borderId="20" xfId="1" applyNumberFormat="1" applyFill="1" applyBorder="1" applyAlignment="1">
      <alignment horizontal="center"/>
    </xf>
    <xf numFmtId="2" fontId="9" fillId="5" borderId="45" xfId="1" applyNumberFormat="1" applyFill="1" applyBorder="1" applyAlignment="1">
      <alignment horizontal="center"/>
    </xf>
    <xf numFmtId="0" fontId="36" fillId="0" borderId="0" xfId="0" applyFont="1"/>
    <xf numFmtId="14" fontId="9" fillId="5" borderId="12" xfId="1" applyNumberFormat="1" applyFill="1" applyBorder="1" applyProtection="1">
      <protection locked="0"/>
    </xf>
    <xf numFmtId="0" fontId="13" fillId="4" borderId="3" xfId="1" applyFont="1" applyFill="1" applyBorder="1" applyAlignment="1">
      <alignment horizontal="center"/>
    </xf>
    <xf numFmtId="0" fontId="9" fillId="4" borderId="46" xfId="1" applyFill="1" applyBorder="1" applyAlignment="1" applyProtection="1">
      <alignment horizontal="center"/>
      <protection locked="0"/>
    </xf>
    <xf numFmtId="0" fontId="9" fillId="4" borderId="43" xfId="1" applyFill="1" applyBorder="1" applyAlignment="1" applyProtection="1">
      <alignment horizontal="center"/>
      <protection locked="0"/>
    </xf>
    <xf numFmtId="0" fontId="9" fillId="4" borderId="43" xfId="1" applyFill="1" applyBorder="1" applyProtection="1">
      <protection locked="0"/>
    </xf>
    <xf numFmtId="0" fontId="9" fillId="4" borderId="54" xfId="1" applyFill="1" applyBorder="1" applyProtection="1">
      <protection locked="0"/>
    </xf>
    <xf numFmtId="0" fontId="9" fillId="0" borderId="32" xfId="1" applyBorder="1" applyAlignment="1">
      <alignment horizontal="center" wrapText="1"/>
    </xf>
    <xf numFmtId="0" fontId="9" fillId="4" borderId="54" xfId="1" applyFill="1" applyBorder="1" applyAlignment="1">
      <alignment horizontal="center"/>
    </xf>
    <xf numFmtId="2" fontId="14" fillId="0" borderId="0" xfId="0" applyNumberFormat="1" applyFont="1" applyAlignment="1">
      <alignment horizontal="center" wrapText="1"/>
    </xf>
    <xf numFmtId="2" fontId="14" fillId="0" borderId="0" xfId="0" applyNumberFormat="1" applyFont="1" applyAlignment="1">
      <alignment horizontal="center"/>
    </xf>
    <xf numFmtId="2" fontId="34" fillId="0" borderId="0" xfId="0" applyNumberFormat="1" applyFont="1" applyBorder="1" applyAlignment="1">
      <alignment horizontal="center"/>
    </xf>
    <xf numFmtId="2" fontId="14" fillId="0" borderId="0" xfId="0" applyNumberFormat="1" applyFont="1" applyBorder="1" applyAlignment="1">
      <alignment horizontal="center"/>
    </xf>
    <xf numFmtId="2" fontId="14" fillId="0" borderId="0" xfId="0" applyNumberFormat="1" applyFont="1" applyAlignment="1">
      <alignment horizontal="center" vertical="center"/>
    </xf>
    <xf numFmtId="2" fontId="14" fillId="0" borderId="0" xfId="0" applyNumberFormat="1" applyFont="1" applyBorder="1" applyAlignment="1">
      <alignment horizontal="center" shrinkToFit="1"/>
    </xf>
    <xf numFmtId="20" fontId="0" fillId="0" borderId="20" xfId="0" applyNumberFormat="1" applyBorder="1" applyAlignment="1" applyProtection="1">
      <alignment horizontal="left" vertical="center" wrapText="1"/>
      <protection locked="0"/>
    </xf>
    <xf numFmtId="1" fontId="11" fillId="0" borderId="0" xfId="0" applyNumberFormat="1" applyFont="1" applyBorder="1" applyAlignment="1">
      <alignment horizontal="center"/>
    </xf>
    <xf numFmtId="164" fontId="27" fillId="0" borderId="16" xfId="7" applyNumberFormat="1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vertical="top" wrapText="1"/>
    </xf>
    <xf numFmtId="0" fontId="13" fillId="0" borderId="0" xfId="0" applyFont="1" applyAlignment="1">
      <alignment horizontal="left"/>
    </xf>
    <xf numFmtId="0" fontId="47" fillId="0" borderId="0" xfId="0" applyFont="1" applyAlignment="1">
      <alignment vertical="center"/>
    </xf>
    <xf numFmtId="0" fontId="48" fillId="0" borderId="0" xfId="0" applyFont="1" applyAlignment="1">
      <alignment horizontal="center" vertical="top"/>
    </xf>
    <xf numFmtId="0" fontId="31" fillId="0" borderId="0" xfId="0" applyFont="1" applyAlignment="1">
      <alignment horizontal="center"/>
    </xf>
    <xf numFmtId="0" fontId="10" fillId="0" borderId="0" xfId="0" applyNumberFormat="1" applyFont="1" applyBorder="1" applyAlignment="1">
      <alignment horizontal="left" shrinkToFit="1"/>
    </xf>
    <xf numFmtId="0" fontId="0" fillId="0" borderId="0" xfId="0" applyFill="1" applyBorder="1" applyAlignment="1">
      <alignment vertical="center"/>
    </xf>
    <xf numFmtId="164" fontId="0" fillId="0" borderId="0" xfId="0" applyNumberFormat="1"/>
    <xf numFmtId="0" fontId="9" fillId="0" borderId="30" xfId="0" applyFont="1" applyBorder="1" applyAlignment="1">
      <alignment horizontal="center" wrapText="1"/>
    </xf>
    <xf numFmtId="2" fontId="14" fillId="0" borderId="0" xfId="0" applyNumberFormat="1" applyFont="1" applyBorder="1" applyAlignment="1">
      <alignment horizontal="center" wrapText="1"/>
    </xf>
    <xf numFmtId="2" fontId="52" fillId="0" borderId="0" xfId="0" applyNumberFormat="1" applyFont="1" applyAlignment="1" applyProtection="1">
      <alignment horizontal="center" vertical="center"/>
      <protection locked="0"/>
    </xf>
    <xf numFmtId="0" fontId="0" fillId="0" borderId="68" xfId="0" applyBorder="1"/>
    <xf numFmtId="0" fontId="0" fillId="0" borderId="69" xfId="0" applyBorder="1"/>
    <xf numFmtId="0" fontId="0" fillId="0" borderId="13" xfId="0" applyBorder="1"/>
    <xf numFmtId="1" fontId="9" fillId="0" borderId="0" xfId="0" applyNumberFormat="1" applyFont="1" applyBorder="1"/>
    <xf numFmtId="164" fontId="35" fillId="0" borderId="0" xfId="0" applyNumberFormat="1" applyFont="1" applyBorder="1" applyAlignment="1">
      <alignment horizontal="center"/>
    </xf>
    <xf numFmtId="1" fontId="0" fillId="0" borderId="0" xfId="0" applyNumberFormat="1" applyBorder="1"/>
    <xf numFmtId="164" fontId="0" fillId="0" borderId="0" xfId="0" applyNumberFormat="1" applyBorder="1" applyAlignment="1">
      <alignment horizontal="center"/>
    </xf>
    <xf numFmtId="49" fontId="9" fillId="0" borderId="0" xfId="0" applyNumberFormat="1" applyFont="1" applyBorder="1"/>
    <xf numFmtId="49" fontId="0" fillId="0" borderId="0" xfId="0" applyNumberFormat="1" applyBorder="1"/>
    <xf numFmtId="0" fontId="37" fillId="0" borderId="0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164" fontId="7" fillId="11" borderId="19" xfId="7" applyNumberFormat="1" applyBorder="1" applyAlignment="1">
      <alignment horizontal="center"/>
    </xf>
    <xf numFmtId="0" fontId="13" fillId="0" borderId="23" xfId="0" applyFont="1" applyBorder="1" applyAlignment="1">
      <alignment horizontal="center"/>
    </xf>
    <xf numFmtId="164" fontId="9" fillId="7" borderId="11" xfId="3" applyNumberFormat="1" applyFont="1" applyBorder="1" applyAlignment="1" applyProtection="1">
      <alignment horizontal="center"/>
      <protection locked="0"/>
    </xf>
    <xf numFmtId="0" fontId="35" fillId="0" borderId="77" xfId="0" applyFont="1" applyBorder="1" applyAlignment="1">
      <alignment horizontal="center" wrapText="1"/>
    </xf>
    <xf numFmtId="0" fontId="35" fillId="0" borderId="78" xfId="0" applyFont="1" applyBorder="1" applyAlignment="1">
      <alignment horizontal="center" wrapText="1"/>
    </xf>
    <xf numFmtId="0" fontId="35" fillId="0" borderId="22" xfId="0" applyFont="1" applyBorder="1" applyAlignment="1">
      <alignment horizontal="center"/>
    </xf>
    <xf numFmtId="20" fontId="0" fillId="7" borderId="12" xfId="9" applyNumberFormat="1" applyFont="1" applyBorder="1" applyAlignment="1" applyProtection="1">
      <alignment horizontal="center"/>
      <protection locked="0"/>
    </xf>
    <xf numFmtId="0" fontId="0" fillId="0" borderId="0" xfId="0" applyBorder="1" applyAlignment="1"/>
    <xf numFmtId="0" fontId="20" fillId="0" borderId="16" xfId="0" applyFont="1" applyBorder="1" applyAlignment="1">
      <alignment horizontal="center" wrapText="1"/>
    </xf>
    <xf numFmtId="0" fontId="21" fillId="0" borderId="5" xfId="0" applyFont="1" applyBorder="1" applyAlignment="1">
      <alignment horizontal="left"/>
    </xf>
    <xf numFmtId="0" fontId="53" fillId="0" borderId="0" xfId="0" applyFont="1"/>
    <xf numFmtId="0" fontId="54" fillId="0" borderId="0" xfId="0" applyFont="1" applyAlignment="1">
      <alignment horizontal="left"/>
    </xf>
    <xf numFmtId="1" fontId="9" fillId="0" borderId="18" xfId="0" applyNumberFormat="1" applyFont="1" applyFill="1" applyBorder="1" applyAlignment="1" applyProtection="1">
      <alignment horizontal="center" vertical="center"/>
      <protection locked="0"/>
    </xf>
    <xf numFmtId="1" fontId="21" fillId="0" borderId="15" xfId="0" applyNumberFormat="1" applyFont="1" applyBorder="1" applyAlignment="1">
      <alignment horizontal="center"/>
    </xf>
    <xf numFmtId="1" fontId="9" fillId="0" borderId="0" xfId="0" applyNumberFormat="1" applyFont="1" applyAlignment="1">
      <alignment vertical="center" wrapText="1"/>
    </xf>
    <xf numFmtId="20" fontId="9" fillId="0" borderId="12" xfId="0" applyNumberFormat="1" applyFont="1" applyBorder="1" applyAlignment="1" applyProtection="1">
      <alignment horizontal="center" vertical="center"/>
      <protection locked="0"/>
    </xf>
    <xf numFmtId="0" fontId="0" fillId="16" borderId="0" xfId="0" applyFill="1"/>
    <xf numFmtId="1" fontId="0" fillId="21" borderId="0" xfId="0" applyNumberFormat="1" applyFill="1" applyBorder="1"/>
    <xf numFmtId="0" fontId="0" fillId="21" borderId="0" xfId="0" applyFill="1" applyBorder="1"/>
    <xf numFmtId="164" fontId="0" fillId="21" borderId="0" xfId="0" applyNumberFormat="1" applyFill="1" applyBorder="1" applyAlignment="1">
      <alignment horizontal="center"/>
    </xf>
    <xf numFmtId="0" fontId="37" fillId="21" borderId="0" xfId="0" applyFont="1" applyFill="1" applyBorder="1" applyAlignment="1">
      <alignment horizontal="center"/>
    </xf>
    <xf numFmtId="1" fontId="55" fillId="21" borderId="0" xfId="0" applyNumberFormat="1" applyFont="1" applyFill="1" applyBorder="1"/>
    <xf numFmtId="0" fontId="55" fillId="21" borderId="0" xfId="0" applyFont="1" applyFill="1" applyBorder="1"/>
    <xf numFmtId="164" fontId="55" fillId="21" borderId="0" xfId="0" applyNumberFormat="1" applyFont="1" applyFill="1" applyBorder="1" applyAlignment="1">
      <alignment horizontal="center"/>
    </xf>
    <xf numFmtId="0" fontId="56" fillId="21" borderId="0" xfId="0" applyFont="1" applyFill="1" applyBorder="1" applyAlignment="1">
      <alignment horizontal="center"/>
    </xf>
    <xf numFmtId="0" fontId="28" fillId="0" borderId="0" xfId="0" applyFont="1"/>
    <xf numFmtId="172" fontId="28" fillId="0" borderId="0" xfId="0" applyNumberFormat="1" applyFont="1"/>
    <xf numFmtId="2" fontId="28" fillId="0" borderId="0" xfId="0" applyNumberFormat="1" applyFont="1" applyAlignment="1">
      <alignment horizontal="right"/>
    </xf>
    <xf numFmtId="2" fontId="28" fillId="0" borderId="0" xfId="0" applyNumberFormat="1" applyFont="1" applyAlignment="1">
      <alignment horizontal="right" wrapText="1"/>
    </xf>
    <xf numFmtId="0" fontId="57" fillId="0" borderId="0" xfId="0" applyFont="1" applyAlignment="1">
      <alignment horizontal="center" wrapText="1"/>
    </xf>
    <xf numFmtId="1" fontId="55" fillId="4" borderId="0" xfId="0" applyNumberFormat="1" applyFont="1" applyFill="1" applyBorder="1"/>
    <xf numFmtId="0" fontId="55" fillId="4" borderId="0" xfId="0" applyFont="1" applyFill="1" applyBorder="1"/>
    <xf numFmtId="164" fontId="55" fillId="4" borderId="0" xfId="0" applyNumberFormat="1" applyFont="1" applyFill="1" applyBorder="1" applyAlignment="1">
      <alignment horizontal="center"/>
    </xf>
    <xf numFmtId="0" fontId="56" fillId="4" borderId="0" xfId="0" applyFont="1" applyFill="1" applyBorder="1" applyAlignment="1">
      <alignment horizontal="center"/>
    </xf>
    <xf numFmtId="1" fontId="55" fillId="0" borderId="0" xfId="0" applyNumberFormat="1" applyFont="1" applyBorder="1"/>
    <xf numFmtId="0" fontId="55" fillId="0" borderId="0" xfId="0" applyFont="1" applyBorder="1"/>
    <xf numFmtId="164" fontId="55" fillId="0" borderId="0" xfId="0" applyNumberFormat="1" applyFont="1" applyBorder="1" applyAlignment="1">
      <alignment horizontal="center"/>
    </xf>
    <xf numFmtId="0" fontId="56" fillId="0" borderId="0" xfId="0" applyFont="1" applyBorder="1" applyAlignment="1">
      <alignment horizontal="center"/>
    </xf>
    <xf numFmtId="0" fontId="0" fillId="18" borderId="0" xfId="0" applyFill="1"/>
    <xf numFmtId="0" fontId="0" fillId="0" borderId="0" xfId="0" applyFill="1"/>
    <xf numFmtId="172" fontId="0" fillId="0" borderId="0" xfId="0" applyNumberFormat="1" applyFill="1"/>
    <xf numFmtId="2" fontId="0" fillId="0" borderId="0" xfId="0" applyNumberFormat="1" applyFill="1" applyAlignment="1">
      <alignment horizontal="right"/>
    </xf>
    <xf numFmtId="0" fontId="57" fillId="0" borderId="0" xfId="0" applyFont="1" applyFill="1" applyAlignment="1">
      <alignment horizontal="center"/>
    </xf>
    <xf numFmtId="0" fontId="6" fillId="0" borderId="0" xfId="10" applyFill="1" applyAlignment="1">
      <alignment horizontal="right"/>
    </xf>
    <xf numFmtId="0" fontId="6" fillId="0" borderId="0" xfId="10" applyFill="1"/>
    <xf numFmtId="0" fontId="28" fillId="0" borderId="0" xfId="10" applyFont="1" applyFill="1"/>
    <xf numFmtId="14" fontId="55" fillId="0" borderId="0" xfId="0" applyNumberFormat="1" applyFont="1" applyAlignment="1">
      <alignment horizontal="center"/>
    </xf>
    <xf numFmtId="0" fontId="55" fillId="0" borderId="0" xfId="0" applyFont="1"/>
    <xf numFmtId="0" fontId="55" fillId="0" borderId="0" xfId="0" applyFont="1" applyAlignment="1">
      <alignment horizontal="center"/>
    </xf>
    <xf numFmtId="0" fontId="9" fillId="0" borderId="0" xfId="1" applyBorder="1" applyAlignment="1" applyProtection="1"/>
    <xf numFmtId="0" fontId="9" fillId="0" borderId="19" xfId="1" applyBorder="1" applyAlignment="1" applyProtection="1">
      <alignment horizontal="center"/>
    </xf>
    <xf numFmtId="0" fontId="9" fillId="0" borderId="8" xfId="1" applyBorder="1" applyAlignment="1" applyProtection="1">
      <alignment horizontal="center"/>
    </xf>
    <xf numFmtId="0" fontId="13" fillId="0" borderId="0" xfId="1" applyFont="1" applyAlignment="1" applyProtection="1">
      <alignment horizontal="center"/>
    </xf>
    <xf numFmtId="0" fontId="13" fillId="12" borderId="7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164" fontId="7" fillId="11" borderId="8" xfId="7" applyNumberFormat="1" applyBorder="1" applyAlignment="1">
      <alignment horizontal="center"/>
    </xf>
    <xf numFmtId="20" fontId="31" fillId="12" borderId="0" xfId="9" applyNumberFormat="1" applyFont="1" applyFill="1" applyBorder="1" applyAlignment="1" applyProtection="1">
      <alignment horizontal="center"/>
    </xf>
    <xf numFmtId="20" fontId="0" fillId="0" borderId="0" xfId="0" applyNumberFormat="1" applyFill="1" applyBorder="1"/>
    <xf numFmtId="20" fontId="0" fillId="0" borderId="0" xfId="0" applyNumberFormat="1" applyBorder="1"/>
    <xf numFmtId="20" fontId="6" fillId="0" borderId="0" xfId="10" applyNumberFormat="1"/>
    <xf numFmtId="20" fontId="9" fillId="0" borderId="0" xfId="0" applyNumberFormat="1" applyFont="1" applyAlignment="1">
      <alignment vertical="center" wrapText="1"/>
    </xf>
    <xf numFmtId="20" fontId="0" fillId="0" borderId="0" xfId="0" applyNumberFormat="1" applyAlignment="1">
      <alignment horizontal="right"/>
    </xf>
    <xf numFmtId="20" fontId="35" fillId="0" borderId="68" xfId="0" applyNumberFormat="1" applyFont="1" applyBorder="1" applyAlignment="1">
      <alignment horizontal="center"/>
    </xf>
    <xf numFmtId="21" fontId="35" fillId="0" borderId="68" xfId="0" applyNumberFormat="1" applyFont="1" applyBorder="1" applyAlignment="1">
      <alignment horizontal="center"/>
    </xf>
    <xf numFmtId="21" fontId="0" fillId="0" borderId="0" xfId="0" applyNumberFormat="1" applyFill="1" applyBorder="1"/>
    <xf numFmtId="21" fontId="0" fillId="22" borderId="0" xfId="0" applyNumberFormat="1" applyFill="1" applyBorder="1"/>
    <xf numFmtId="21" fontId="0" fillId="0" borderId="0" xfId="0" applyNumberFormat="1" applyBorder="1"/>
    <xf numFmtId="1" fontId="60" fillId="0" borderId="0" xfId="0" applyNumberFormat="1" applyFont="1" applyBorder="1"/>
    <xf numFmtId="0" fontId="60" fillId="0" borderId="0" xfId="0" applyFont="1" applyFill="1" applyBorder="1" applyAlignment="1">
      <alignment horizontal="left"/>
    </xf>
    <xf numFmtId="49" fontId="60" fillId="0" borderId="0" xfId="0" applyNumberFormat="1" applyFont="1" applyBorder="1"/>
    <xf numFmtId="0" fontId="60" fillId="0" borderId="0" xfId="0" applyFont="1" applyBorder="1"/>
    <xf numFmtId="164" fontId="60" fillId="0" borderId="0" xfId="0" applyNumberFormat="1" applyFont="1" applyBorder="1" applyAlignment="1">
      <alignment horizontal="center"/>
    </xf>
    <xf numFmtId="0" fontId="61" fillId="0" borderId="0" xfId="0" applyFont="1" applyBorder="1" applyAlignment="1">
      <alignment horizontal="center"/>
    </xf>
    <xf numFmtId="21" fontId="60" fillId="0" borderId="0" xfId="0" applyNumberFormat="1" applyFont="1" applyFill="1" applyBorder="1"/>
    <xf numFmtId="20" fontId="60" fillId="0" borderId="0" xfId="0" applyNumberFormat="1" applyFont="1" applyFill="1" applyBorder="1"/>
    <xf numFmtId="0" fontId="49" fillId="0" borderId="0" xfId="0" applyFont="1" applyBorder="1"/>
    <xf numFmtId="164" fontId="0" fillId="7" borderId="31" xfId="9" applyNumberFormat="1" applyFont="1" applyBorder="1" applyAlignment="1" applyProtection="1">
      <alignment horizontal="center"/>
      <protection locked="0"/>
    </xf>
    <xf numFmtId="0" fontId="2" fillId="0" borderId="0" xfId="10" applyFont="1"/>
    <xf numFmtId="20" fontId="2" fillId="8" borderId="20" xfId="4" applyNumberFormat="1" applyFont="1" applyBorder="1" applyAlignment="1">
      <alignment horizontal="center" vertical="center"/>
    </xf>
    <xf numFmtId="20" fontId="2" fillId="0" borderId="70" xfId="4" applyNumberFormat="1" applyFont="1" applyFill="1" applyBorder="1" applyAlignment="1">
      <alignment horizontal="center" vertical="center"/>
    </xf>
    <xf numFmtId="20" fontId="2" fillId="0" borderId="79" xfId="4" applyNumberFormat="1" applyFont="1" applyFill="1" applyBorder="1" applyAlignment="1">
      <alignment horizontal="center" vertical="center"/>
    </xf>
    <xf numFmtId="20" fontId="2" fillId="8" borderId="24" xfId="4" applyNumberFormat="1" applyFont="1" applyBorder="1" applyAlignment="1">
      <alignment horizontal="center" vertical="center"/>
    </xf>
    <xf numFmtId="20" fontId="2" fillId="8" borderId="19" xfId="4" applyNumberFormat="1" applyFont="1" applyBorder="1" applyAlignment="1">
      <alignment horizontal="center" vertical="center"/>
    </xf>
    <xf numFmtId="0" fontId="2" fillId="0" borderId="0" xfId="1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3" fillId="0" borderId="1" xfId="0" applyFont="1" applyBorder="1" applyAlignment="1">
      <alignment horizontal="left"/>
    </xf>
    <xf numFmtId="164" fontId="21" fillId="0" borderId="15" xfId="0" applyNumberFormat="1" applyFont="1" applyFill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13" fillId="0" borderId="35" xfId="0" applyFont="1" applyBorder="1" applyAlignment="1">
      <alignment horizontal="center" wrapText="1"/>
    </xf>
    <xf numFmtId="0" fontId="4" fillId="5" borderId="43" xfId="12" applyFill="1" applyBorder="1" applyAlignment="1" applyProtection="1">
      <alignment horizontal="left"/>
      <protection locked="0"/>
    </xf>
    <xf numFmtId="0" fontId="4" fillId="5" borderId="18" xfId="12" applyFill="1" applyBorder="1" applyAlignment="1" applyProtection="1">
      <alignment horizontal="left"/>
      <protection locked="0"/>
    </xf>
    <xf numFmtId="0" fontId="39" fillId="5" borderId="49" xfId="12" applyFont="1" applyFill="1" applyBorder="1" applyAlignment="1">
      <alignment horizontal="left"/>
    </xf>
    <xf numFmtId="0" fontId="35" fillId="0" borderId="0" xfId="0" applyFont="1" applyBorder="1" applyAlignment="1">
      <alignment horizontal="center"/>
    </xf>
    <xf numFmtId="0" fontId="9" fillId="5" borderId="12" xfId="1" applyFill="1" applyBorder="1" applyAlignment="1">
      <alignment horizontal="center"/>
    </xf>
    <xf numFmtId="0" fontId="13" fillId="0" borderId="12" xfId="0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34" fillId="0" borderId="48" xfId="0" applyFont="1" applyBorder="1" applyAlignment="1">
      <alignment horizontal="center" vertical="center" wrapText="1"/>
    </xf>
    <xf numFmtId="0" fontId="34" fillId="0" borderId="51" xfId="0" applyFont="1" applyBorder="1" applyAlignment="1">
      <alignment horizontal="center" vertical="center" wrapText="1"/>
    </xf>
    <xf numFmtId="0" fontId="13" fillId="0" borderId="0" xfId="0" applyFont="1" applyAlignment="1">
      <alignment horizontal="left" vertical="top" wrapText="1"/>
    </xf>
    <xf numFmtId="0" fontId="13" fillId="0" borderId="1" xfId="0" applyFont="1" applyBorder="1" applyAlignment="1">
      <alignment horizontal="left"/>
    </xf>
    <xf numFmtId="0" fontId="13" fillId="0" borderId="30" xfId="0" applyFont="1" applyBorder="1" applyAlignment="1">
      <alignment horizontal="left"/>
    </xf>
    <xf numFmtId="0" fontId="49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1" fontId="46" fillId="0" borderId="0" xfId="0" applyNumberFormat="1" applyFont="1" applyBorder="1" applyAlignment="1">
      <alignment horizontal="center" vertical="center" wrapText="1"/>
    </xf>
    <xf numFmtId="1" fontId="20" fillId="7" borderId="59" xfId="3" applyNumberFormat="1" applyFont="1" applyBorder="1" applyAlignment="1" applyProtection="1">
      <alignment horizontal="center"/>
      <protection locked="0"/>
    </xf>
    <xf numFmtId="1" fontId="20" fillId="7" borderId="39" xfId="3" applyNumberFormat="1" applyFont="1" applyBorder="1" applyAlignment="1" applyProtection="1">
      <alignment horizontal="center"/>
      <protection locked="0"/>
    </xf>
    <xf numFmtId="1" fontId="20" fillId="7" borderId="40" xfId="3" applyNumberFormat="1" applyFont="1" applyBorder="1" applyAlignment="1" applyProtection="1">
      <alignment horizontal="center"/>
      <protection locked="0"/>
    </xf>
    <xf numFmtId="0" fontId="28" fillId="18" borderId="49" xfId="4" applyFont="1" applyFill="1" applyBorder="1" applyAlignment="1">
      <alignment horizontal="center" wrapText="1"/>
    </xf>
    <xf numFmtId="0" fontId="28" fillId="18" borderId="6" xfId="4" applyFont="1" applyFill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26" xfId="0" applyFont="1" applyBorder="1" applyAlignment="1">
      <alignment horizontal="center" wrapText="1"/>
    </xf>
    <xf numFmtId="0" fontId="28" fillId="18" borderId="15" xfId="4" applyFont="1" applyFill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50" fillId="15" borderId="0" xfId="11" applyFont="1" applyBorder="1" applyAlignment="1">
      <alignment horizontal="center" vertical="center" wrapText="1"/>
    </xf>
    <xf numFmtId="0" fontId="50" fillId="15" borderId="27" xfId="11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wrapText="1"/>
    </xf>
    <xf numFmtId="0" fontId="13" fillId="0" borderId="28" xfId="0" applyFont="1" applyBorder="1" applyAlignment="1">
      <alignment horizontal="center" wrapText="1"/>
    </xf>
    <xf numFmtId="164" fontId="21" fillId="0" borderId="49" xfId="0" applyNumberFormat="1" applyFont="1" applyFill="1" applyBorder="1" applyAlignment="1">
      <alignment horizontal="center"/>
    </xf>
    <xf numFmtId="164" fontId="21" fillId="0" borderId="15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" fontId="20" fillId="20" borderId="59" xfId="3" applyNumberFormat="1" applyFont="1" applyFill="1" applyBorder="1" applyAlignment="1" applyProtection="1">
      <alignment horizontal="center"/>
    </xf>
    <xf numFmtId="1" fontId="20" fillId="20" borderId="39" xfId="3" applyNumberFormat="1" applyFont="1" applyFill="1" applyBorder="1" applyAlignment="1" applyProtection="1">
      <alignment horizontal="center"/>
    </xf>
    <xf numFmtId="1" fontId="20" fillId="20" borderId="40" xfId="3" applyNumberFormat="1" applyFont="1" applyFill="1" applyBorder="1" applyAlignment="1" applyProtection="1">
      <alignment horizontal="center"/>
    </xf>
    <xf numFmtId="0" fontId="58" fillId="23" borderId="44" xfId="3" applyFont="1" applyFill="1" applyBorder="1" applyAlignment="1" applyProtection="1">
      <alignment horizontal="left" vertical="top" wrapText="1"/>
      <protection locked="0"/>
    </xf>
    <xf numFmtId="0" fontId="59" fillId="23" borderId="66" xfId="3" applyFont="1" applyFill="1" applyBorder="1" applyAlignment="1" applyProtection="1">
      <alignment horizontal="left" vertical="top" wrapText="1"/>
      <protection locked="0"/>
    </xf>
    <xf numFmtId="0" fontId="59" fillId="23" borderId="67" xfId="3" applyFont="1" applyFill="1" applyBorder="1" applyAlignment="1" applyProtection="1">
      <alignment horizontal="left" vertical="top" wrapText="1"/>
      <protection locked="0"/>
    </xf>
    <xf numFmtId="0" fontId="59" fillId="23" borderId="47" xfId="3" applyFont="1" applyFill="1" applyBorder="1" applyAlignment="1" applyProtection="1">
      <alignment horizontal="left" vertical="top" wrapText="1"/>
      <protection locked="0"/>
    </xf>
    <xf numFmtId="0" fontId="59" fillId="23" borderId="0" xfId="3" applyFont="1" applyFill="1" applyBorder="1" applyAlignment="1" applyProtection="1">
      <alignment horizontal="left" vertical="top" wrapText="1"/>
      <protection locked="0"/>
    </xf>
    <xf numFmtId="0" fontId="59" fillId="23" borderId="68" xfId="3" applyFont="1" applyFill="1" applyBorder="1" applyAlignment="1" applyProtection="1">
      <alignment horizontal="left" vertical="top" wrapText="1"/>
      <protection locked="0"/>
    </xf>
    <xf numFmtId="0" fontId="59" fillId="23" borderId="46" xfId="3" applyFont="1" applyFill="1" applyBorder="1" applyAlignment="1" applyProtection="1">
      <alignment horizontal="left" vertical="top" wrapText="1"/>
      <protection locked="0"/>
    </xf>
    <xf numFmtId="0" fontId="59" fillId="23" borderId="69" xfId="3" applyFont="1" applyFill="1" applyBorder="1" applyAlignment="1" applyProtection="1">
      <alignment horizontal="left" vertical="top" wrapText="1"/>
      <protection locked="0"/>
    </xf>
    <xf numFmtId="0" fontId="59" fillId="23" borderId="13" xfId="3" applyFont="1" applyFill="1" applyBorder="1" applyAlignment="1" applyProtection="1">
      <alignment horizontal="left" vertical="top" wrapText="1"/>
      <protection locked="0"/>
    </xf>
    <xf numFmtId="171" fontId="20" fillId="20" borderId="71" xfId="8" applyNumberFormat="1" applyFont="1" applyFill="1" applyBorder="1" applyAlignment="1">
      <alignment horizontal="center"/>
    </xf>
    <xf numFmtId="171" fontId="20" fillId="20" borderId="72" xfId="8" applyNumberFormat="1" applyFont="1" applyFill="1" applyBorder="1" applyAlignment="1">
      <alignment horizontal="center"/>
    </xf>
    <xf numFmtId="171" fontId="20" fillId="20" borderId="75" xfId="8" applyNumberFormat="1" applyFont="1" applyFill="1" applyBorder="1" applyAlignment="1">
      <alignment horizontal="center"/>
    </xf>
    <xf numFmtId="171" fontId="0" fillId="0" borderId="3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3" fillId="0" borderId="3" xfId="0" applyFont="1" applyBorder="1" applyAlignment="1">
      <alignment horizontal="center" wrapText="1"/>
    </xf>
    <xf numFmtId="0" fontId="13" fillId="0" borderId="38" xfId="0" applyFont="1" applyBorder="1" applyAlignment="1">
      <alignment horizontal="center"/>
    </xf>
    <xf numFmtId="0" fontId="13" fillId="0" borderId="35" xfId="0" applyFont="1" applyBorder="1" applyAlignment="1">
      <alignment horizontal="center"/>
    </xf>
    <xf numFmtId="164" fontId="8" fillId="0" borderId="76" xfId="4" applyNumberFormat="1" applyFill="1" applyBorder="1" applyAlignment="1">
      <alignment horizontal="center" vertical="center"/>
    </xf>
    <xf numFmtId="164" fontId="8" fillId="0" borderId="9" xfId="4" applyNumberFormat="1" applyFill="1" applyBorder="1" applyAlignment="1">
      <alignment horizontal="center" vertical="center"/>
    </xf>
    <xf numFmtId="0" fontId="20" fillId="0" borderId="24" xfId="0" applyFont="1" applyBorder="1" applyAlignment="1">
      <alignment horizontal="left"/>
    </xf>
    <xf numFmtId="0" fontId="20" fillId="0" borderId="43" xfId="0" applyFont="1" applyBorder="1" applyAlignment="1">
      <alignment horizontal="left"/>
    </xf>
    <xf numFmtId="0" fontId="20" fillId="0" borderId="7" xfId="0" applyFont="1" applyBorder="1" applyAlignment="1">
      <alignment horizontal="left"/>
    </xf>
    <xf numFmtId="0" fontId="20" fillId="0" borderId="54" xfId="0" applyFont="1" applyBorder="1" applyAlignment="1">
      <alignment horizontal="left"/>
    </xf>
    <xf numFmtId="0" fontId="13" fillId="0" borderId="0" xfId="0" applyFont="1" applyAlignment="1">
      <alignment horizontal="right" vertical="center"/>
    </xf>
    <xf numFmtId="0" fontId="20" fillId="0" borderId="59" xfId="0" applyFont="1" applyBorder="1" applyAlignment="1">
      <alignment horizontal="left"/>
    </xf>
    <xf numFmtId="0" fontId="20" fillId="0" borderId="73" xfId="0" applyFont="1" applyBorder="1" applyAlignment="1">
      <alignment horizontal="left"/>
    </xf>
    <xf numFmtId="0" fontId="13" fillId="0" borderId="35" xfId="0" applyFont="1" applyBorder="1" applyAlignment="1">
      <alignment horizontal="center" wrapText="1"/>
    </xf>
    <xf numFmtId="0" fontId="13" fillId="0" borderId="34" xfId="0" applyFont="1" applyBorder="1" applyAlignment="1">
      <alignment horizontal="left"/>
    </xf>
    <xf numFmtId="0" fontId="13" fillId="0" borderId="25" xfId="0" applyFont="1" applyBorder="1" applyAlignment="1">
      <alignment horizontal="left"/>
    </xf>
    <xf numFmtId="1" fontId="20" fillId="7" borderId="12" xfId="3" applyNumberFormat="1" applyFont="1" applyBorder="1" applyAlignment="1">
      <alignment horizontal="center"/>
    </xf>
    <xf numFmtId="0" fontId="20" fillId="7" borderId="12" xfId="3" applyFont="1" applyBorder="1" applyAlignment="1">
      <alignment horizontal="center"/>
    </xf>
    <xf numFmtId="0" fontId="4" fillId="5" borderId="43" xfId="12" applyFill="1" applyBorder="1" applyAlignment="1" applyProtection="1">
      <alignment horizontal="left"/>
      <protection locked="0"/>
    </xf>
    <xf numFmtId="0" fontId="4" fillId="5" borderId="18" xfId="12" applyFill="1" applyBorder="1" applyAlignment="1" applyProtection="1">
      <alignment horizontal="left"/>
      <protection locked="0"/>
    </xf>
    <xf numFmtId="0" fontId="39" fillId="5" borderId="49" xfId="12" applyFont="1" applyFill="1" applyBorder="1" applyAlignment="1">
      <alignment horizontal="left"/>
    </xf>
    <xf numFmtId="0" fontId="39" fillId="5" borderId="15" xfId="12" applyFont="1" applyFill="1" applyBorder="1" applyAlignment="1">
      <alignment horizontal="left"/>
    </xf>
    <xf numFmtId="0" fontId="2" fillId="5" borderId="46" xfId="12" applyFont="1" applyFill="1" applyBorder="1" applyAlignment="1" applyProtection="1">
      <alignment horizontal="left"/>
      <protection locked="0"/>
    </xf>
    <xf numFmtId="0" fontId="4" fillId="5" borderId="13" xfId="12" applyFill="1" applyBorder="1" applyAlignment="1" applyProtection="1">
      <alignment horizontal="left"/>
      <protection locked="0"/>
    </xf>
    <xf numFmtId="0" fontId="4" fillId="5" borderId="54" xfId="12" applyFill="1" applyBorder="1" applyAlignment="1" applyProtection="1">
      <alignment horizontal="left"/>
      <protection locked="0"/>
    </xf>
    <xf numFmtId="0" fontId="4" fillId="5" borderId="32" xfId="12" applyFill="1" applyBorder="1" applyAlignment="1" applyProtection="1">
      <alignment horizontal="left"/>
      <protection locked="0"/>
    </xf>
    <xf numFmtId="0" fontId="13" fillId="5" borderId="2" xfId="1" applyFont="1" applyFill="1" applyBorder="1" applyAlignment="1">
      <alignment horizontal="center"/>
    </xf>
    <xf numFmtId="0" fontId="13" fillId="5" borderId="5" xfId="1" applyFont="1" applyFill="1" applyBorder="1" applyAlignment="1">
      <alignment horizontal="center"/>
    </xf>
    <xf numFmtId="0" fontId="9" fillId="5" borderId="24" xfId="1" applyFill="1" applyBorder="1" applyAlignment="1" applyProtection="1">
      <alignment horizontal="left"/>
      <protection locked="0"/>
    </xf>
    <xf numFmtId="0" fontId="9" fillId="5" borderId="12" xfId="1" applyFill="1" applyBorder="1" applyAlignment="1" applyProtection="1">
      <alignment horizontal="left"/>
      <protection locked="0"/>
    </xf>
    <xf numFmtId="171" fontId="33" fillId="13" borderId="50" xfId="8" applyNumberFormat="1" applyFont="1" applyBorder="1" applyAlignment="1">
      <alignment horizontal="center"/>
    </xf>
    <xf numFmtId="171" fontId="33" fillId="13" borderId="18" xfId="8" applyNumberFormat="1" applyFont="1" applyBorder="1" applyAlignment="1">
      <alignment horizontal="center"/>
    </xf>
    <xf numFmtId="167" fontId="13" fillId="5" borderId="2" xfId="1" applyNumberFormat="1" applyFont="1" applyFill="1" applyBorder="1" applyAlignment="1">
      <alignment horizontal="center" wrapText="1"/>
    </xf>
    <xf numFmtId="167" fontId="13" fillId="5" borderId="5" xfId="1" applyNumberFormat="1" applyFont="1" applyFill="1" applyBorder="1" applyAlignment="1">
      <alignment horizontal="center" wrapText="1"/>
    </xf>
    <xf numFmtId="0" fontId="9" fillId="5" borderId="7" xfId="1" applyFill="1" applyBorder="1" applyAlignment="1" applyProtection="1">
      <alignment horizontal="left"/>
      <protection locked="0"/>
    </xf>
    <xf numFmtId="0" fontId="9" fillId="5" borderId="31" xfId="1" applyFill="1" applyBorder="1" applyAlignment="1" applyProtection="1">
      <alignment horizontal="left"/>
      <protection locked="0"/>
    </xf>
    <xf numFmtId="167" fontId="13" fillId="4" borderId="38" xfId="1" applyNumberFormat="1" applyFont="1" applyFill="1" applyBorder="1" applyAlignment="1">
      <alignment horizontal="center"/>
    </xf>
    <xf numFmtId="167" fontId="13" fillId="4" borderId="28" xfId="1" applyNumberFormat="1" applyFont="1" applyFill="1" applyBorder="1" applyAlignment="1">
      <alignment horizontal="center"/>
    </xf>
    <xf numFmtId="167" fontId="13" fillId="4" borderId="35" xfId="1" applyNumberFormat="1" applyFont="1" applyFill="1" applyBorder="1" applyAlignment="1">
      <alignment horizontal="center"/>
    </xf>
    <xf numFmtId="0" fontId="13" fillId="5" borderId="2" xfId="1" applyFont="1" applyFill="1" applyBorder="1" applyAlignment="1">
      <alignment horizontal="center" wrapText="1"/>
    </xf>
    <xf numFmtId="0" fontId="13" fillId="5" borderId="5" xfId="1" applyFont="1" applyFill="1" applyBorder="1" applyAlignment="1">
      <alignment horizontal="center" wrapText="1"/>
    </xf>
    <xf numFmtId="49" fontId="2" fillId="5" borderId="24" xfId="1" applyNumberFormat="1" applyFont="1" applyFill="1" applyBorder="1" applyAlignment="1" applyProtection="1">
      <alignment horizontal="left"/>
      <protection locked="0"/>
    </xf>
    <xf numFmtId="49" fontId="2" fillId="5" borderId="12" xfId="1" applyNumberFormat="1" applyFont="1" applyFill="1" applyBorder="1" applyAlignment="1" applyProtection="1">
      <alignment horizontal="left"/>
      <protection locked="0"/>
    </xf>
    <xf numFmtId="166" fontId="2" fillId="5" borderId="24" xfId="1" applyNumberFormat="1" applyFont="1" applyFill="1" applyBorder="1" applyAlignment="1" applyProtection="1">
      <alignment horizontal="left"/>
      <protection locked="0"/>
    </xf>
    <xf numFmtId="166" fontId="2" fillId="5" borderId="12" xfId="1" applyNumberFormat="1" applyFont="1" applyFill="1" applyBorder="1" applyAlignment="1" applyProtection="1">
      <alignment horizontal="left"/>
      <protection locked="0"/>
    </xf>
    <xf numFmtId="49" fontId="9" fillId="5" borderId="24" xfId="1" applyNumberFormat="1" applyFill="1" applyBorder="1" applyAlignment="1" applyProtection="1">
      <alignment horizontal="left"/>
      <protection locked="0"/>
    </xf>
    <xf numFmtId="49" fontId="9" fillId="5" borderId="12" xfId="1" applyNumberFormat="1" applyFill="1" applyBorder="1" applyAlignment="1" applyProtection="1">
      <alignment horizontal="left"/>
      <protection locked="0"/>
    </xf>
    <xf numFmtId="49" fontId="2" fillId="5" borderId="38" xfId="1" applyNumberFormat="1" applyFont="1" applyFill="1" applyBorder="1" applyAlignment="1" applyProtection="1">
      <alignment horizontal="left"/>
      <protection locked="0"/>
    </xf>
    <xf numFmtId="49" fontId="2" fillId="5" borderId="33" xfId="1" applyNumberFormat="1" applyFont="1" applyFill="1" applyBorder="1" applyAlignment="1" applyProtection="1">
      <alignment horizontal="left"/>
      <protection locked="0"/>
    </xf>
    <xf numFmtId="49" fontId="13" fillId="5" borderId="4" xfId="1" applyNumberFormat="1" applyFont="1" applyFill="1" applyBorder="1" applyAlignment="1">
      <alignment horizontal="left"/>
    </xf>
    <xf numFmtId="49" fontId="13" fillId="5" borderId="1" xfId="1" applyNumberFormat="1" applyFont="1" applyFill="1" applyBorder="1" applyAlignment="1">
      <alignment horizontal="left"/>
    </xf>
    <xf numFmtId="49" fontId="13" fillId="5" borderId="26" xfId="1" applyNumberFormat="1" applyFont="1" applyFill="1" applyBorder="1" applyAlignment="1">
      <alignment horizontal="left"/>
    </xf>
    <xf numFmtId="49" fontId="13" fillId="5" borderId="30" xfId="1" applyNumberFormat="1" applyFont="1" applyFill="1" applyBorder="1" applyAlignment="1">
      <alignment horizontal="left"/>
    </xf>
    <xf numFmtId="0" fontId="28" fillId="8" borderId="59" xfId="4" applyFont="1" applyBorder="1" applyAlignment="1">
      <alignment horizontal="center" wrapText="1"/>
    </xf>
    <xf numFmtId="0" fontId="28" fillId="8" borderId="7" xfId="4" applyFont="1" applyBorder="1" applyAlignment="1">
      <alignment horizontal="center" wrapText="1"/>
    </xf>
    <xf numFmtId="0" fontId="13" fillId="0" borderId="28" xfId="1" applyFont="1" applyBorder="1" applyAlignment="1">
      <alignment horizontal="center"/>
    </xf>
    <xf numFmtId="0" fontId="13" fillId="0" borderId="35" xfId="1" applyFont="1" applyBorder="1" applyAlignment="1">
      <alignment horizontal="center"/>
    </xf>
    <xf numFmtId="0" fontId="13" fillId="4" borderId="2" xfId="1" applyFont="1" applyFill="1" applyBorder="1" applyAlignment="1">
      <alignment horizontal="center" wrapText="1"/>
    </xf>
    <xf numFmtId="0" fontId="13" fillId="4" borderId="5" xfId="1" applyFont="1" applyFill="1" applyBorder="1" applyAlignment="1">
      <alignment horizontal="center" wrapText="1"/>
    </xf>
    <xf numFmtId="0" fontId="13" fillId="4" borderId="38" xfId="1" applyFont="1" applyFill="1" applyBorder="1" applyAlignment="1">
      <alignment horizontal="center"/>
    </xf>
    <xf numFmtId="0" fontId="13" fillId="4" borderId="28" xfId="1" applyFont="1" applyFill="1" applyBorder="1" applyAlignment="1">
      <alignment horizontal="center"/>
    </xf>
    <xf numFmtId="167" fontId="13" fillId="5" borderId="38" xfId="1" applyNumberFormat="1" applyFont="1" applyFill="1" applyBorder="1" applyAlignment="1">
      <alignment horizontal="center"/>
    </xf>
    <xf numFmtId="167" fontId="13" fillId="5" borderId="28" xfId="1" applyNumberFormat="1" applyFont="1" applyFill="1" applyBorder="1" applyAlignment="1">
      <alignment horizontal="center"/>
    </xf>
    <xf numFmtId="167" fontId="13" fillId="5" borderId="35" xfId="1" applyNumberFormat="1" applyFont="1" applyFill="1" applyBorder="1" applyAlignment="1">
      <alignment horizontal="center"/>
    </xf>
    <xf numFmtId="166" fontId="23" fillId="5" borderId="17" xfId="1" applyNumberFormat="1" applyFont="1" applyFill="1" applyBorder="1" applyAlignment="1" applyProtection="1">
      <alignment horizontal="left"/>
      <protection locked="0"/>
    </xf>
    <xf numFmtId="166" fontId="23" fillId="5" borderId="18" xfId="1" applyNumberFormat="1" applyFont="1" applyFill="1" applyBorder="1" applyAlignment="1" applyProtection="1">
      <alignment horizontal="left"/>
      <protection locked="0"/>
    </xf>
    <xf numFmtId="166" fontId="9" fillId="5" borderId="17" xfId="1" applyNumberFormat="1" applyFill="1" applyBorder="1" applyAlignment="1" applyProtection="1">
      <alignment horizontal="left"/>
      <protection locked="0"/>
    </xf>
    <xf numFmtId="166" fontId="9" fillId="5" borderId="18" xfId="1" applyNumberFormat="1" applyFill="1" applyBorder="1" applyAlignment="1" applyProtection="1">
      <alignment horizontal="left"/>
      <protection locked="0"/>
    </xf>
    <xf numFmtId="0" fontId="28" fillId="8" borderId="40" xfId="4" applyFont="1" applyBorder="1" applyAlignment="1">
      <alignment horizontal="center" wrapText="1"/>
    </xf>
    <xf numFmtId="0" fontId="28" fillId="8" borderId="8" xfId="4" applyFont="1" applyBorder="1" applyAlignment="1">
      <alignment horizontal="center" wrapText="1"/>
    </xf>
    <xf numFmtId="49" fontId="13" fillId="5" borderId="3" xfId="1" applyNumberFormat="1" applyFont="1" applyFill="1" applyBorder="1" applyAlignment="1">
      <alignment horizontal="left"/>
    </xf>
    <xf numFmtId="49" fontId="13" fillId="5" borderId="27" xfId="1" applyNumberFormat="1" applyFont="1" applyFill="1" applyBorder="1" applyAlignment="1">
      <alignment horizontal="left"/>
    </xf>
    <xf numFmtId="0" fontId="13" fillId="5" borderId="1" xfId="1" applyFont="1" applyFill="1" applyBorder="1" applyAlignment="1">
      <alignment horizontal="center" wrapText="1"/>
    </xf>
    <xf numFmtId="0" fontId="13" fillId="5" borderId="30" xfId="1" applyFont="1" applyFill="1" applyBorder="1" applyAlignment="1">
      <alignment horizontal="center" wrapText="1"/>
    </xf>
    <xf numFmtId="166" fontId="23" fillId="5" borderId="38" xfId="1" applyNumberFormat="1" applyFont="1" applyFill="1" applyBorder="1" applyAlignment="1" applyProtection="1">
      <alignment horizontal="left"/>
      <protection locked="0"/>
    </xf>
    <xf numFmtId="166" fontId="23" fillId="5" borderId="33" xfId="1" applyNumberFormat="1" applyFont="1" applyFill="1" applyBorder="1" applyAlignment="1" applyProtection="1">
      <alignment horizontal="left"/>
      <protection locked="0"/>
    </xf>
    <xf numFmtId="0" fontId="44" fillId="0" borderId="44" xfId="13" applyFont="1" applyBorder="1" applyAlignment="1">
      <alignment horizontal="center"/>
    </xf>
    <xf numFmtId="0" fontId="44" fillId="0" borderId="67" xfId="13" applyFont="1" applyBorder="1" applyAlignment="1">
      <alignment horizontal="center"/>
    </xf>
    <xf numFmtId="0" fontId="44" fillId="0" borderId="66" xfId="13" applyFont="1" applyBorder="1" applyAlignment="1">
      <alignment horizontal="center"/>
    </xf>
    <xf numFmtId="0" fontId="13" fillId="4" borderId="35" xfId="1" applyFont="1" applyFill="1" applyBorder="1" applyAlignment="1">
      <alignment horizontal="center"/>
    </xf>
    <xf numFmtId="0" fontId="35" fillId="0" borderId="44" xfId="0" applyFont="1" applyBorder="1" applyAlignment="1">
      <alignment horizontal="center"/>
    </xf>
    <xf numFmtId="0" fontId="35" fillId="0" borderId="66" xfId="0" applyFont="1" applyBorder="1" applyAlignment="1">
      <alignment horizontal="center"/>
    </xf>
    <xf numFmtId="0" fontId="35" fillId="0" borderId="67" xfId="0" applyFont="1" applyBorder="1" applyAlignment="1">
      <alignment horizontal="center"/>
    </xf>
    <xf numFmtId="14" fontId="13" fillId="0" borderId="0" xfId="0" applyNumberFormat="1" applyFont="1" applyBorder="1" applyAlignment="1">
      <alignment horizontal="right"/>
    </xf>
    <xf numFmtId="0" fontId="35" fillId="0" borderId="0" xfId="0" applyFont="1" applyBorder="1" applyAlignment="1">
      <alignment horizontal="center"/>
    </xf>
    <xf numFmtId="0" fontId="20" fillId="12" borderId="12" xfId="2" applyFont="1" applyFill="1" applyBorder="1" applyAlignment="1">
      <alignment horizontal="center"/>
    </xf>
    <xf numFmtId="0" fontId="13" fillId="12" borderId="43" xfId="0" applyFont="1" applyFill="1" applyBorder="1" applyAlignment="1">
      <alignment horizontal="center"/>
    </xf>
    <xf numFmtId="0" fontId="13" fillId="12" borderId="18" xfId="0" applyFont="1" applyFill="1" applyBorder="1" applyAlignment="1">
      <alignment horizontal="center"/>
    </xf>
    <xf numFmtId="0" fontId="13" fillId="0" borderId="50" xfId="0" applyFont="1" applyBorder="1" applyAlignment="1">
      <alignment horizontal="center"/>
    </xf>
    <xf numFmtId="0" fontId="9" fillId="12" borderId="43" xfId="0" applyFont="1" applyFill="1" applyBorder="1" applyAlignment="1">
      <alignment horizontal="center"/>
    </xf>
    <xf numFmtId="0" fontId="9" fillId="12" borderId="18" xfId="0" applyFont="1" applyFill="1" applyBorder="1" applyAlignment="1">
      <alignment horizontal="center"/>
    </xf>
    <xf numFmtId="0" fontId="20" fillId="7" borderId="42" xfId="3" applyFont="1" applyAlignment="1">
      <alignment horizontal="center"/>
    </xf>
    <xf numFmtId="166" fontId="23" fillId="5" borderId="17" xfId="1" applyNumberFormat="1" applyFont="1" applyFill="1" applyBorder="1" applyAlignment="1">
      <alignment horizontal="center"/>
    </xf>
    <xf numFmtId="166" fontId="23" fillId="5" borderId="18" xfId="1" applyNumberFormat="1" applyFont="1" applyFill="1" applyBorder="1" applyAlignment="1">
      <alignment horizontal="center"/>
    </xf>
    <xf numFmtId="0" fontId="9" fillId="5" borderId="7" xfId="1" applyFill="1" applyBorder="1" applyAlignment="1">
      <alignment horizontal="center"/>
    </xf>
    <xf numFmtId="0" fontId="9" fillId="5" borderId="31" xfId="1" applyFill="1" applyBorder="1" applyAlignment="1">
      <alignment horizontal="center"/>
    </xf>
    <xf numFmtId="166" fontId="9" fillId="5" borderId="17" xfId="1" applyNumberFormat="1" applyFill="1" applyBorder="1" applyAlignment="1">
      <alignment horizontal="center"/>
    </xf>
    <xf numFmtId="166" fontId="9" fillId="5" borderId="18" xfId="1" applyNumberFormat="1" applyFill="1" applyBorder="1" applyAlignment="1">
      <alignment horizontal="center"/>
    </xf>
    <xf numFmtId="49" fontId="9" fillId="5" borderId="24" xfId="1" applyNumberFormat="1" applyFill="1" applyBorder="1" applyAlignment="1">
      <alignment horizontal="center"/>
    </xf>
    <xf numFmtId="49" fontId="9" fillId="5" borderId="12" xfId="1" applyNumberFormat="1" applyFill="1" applyBorder="1" applyAlignment="1">
      <alignment horizontal="center"/>
    </xf>
    <xf numFmtId="0" fontId="9" fillId="5" borderId="24" xfId="1" applyFill="1" applyBorder="1" applyAlignment="1">
      <alignment horizontal="center"/>
    </xf>
    <xf numFmtId="0" fontId="9" fillId="5" borderId="12" xfId="1" applyFill="1" applyBorder="1" applyAlignment="1">
      <alignment horizontal="center"/>
    </xf>
    <xf numFmtId="167" fontId="13" fillId="5" borderId="38" xfId="1" applyNumberFormat="1" applyFont="1" applyFill="1" applyBorder="1" applyAlignment="1">
      <alignment horizontal="left"/>
    </xf>
    <xf numFmtId="167" fontId="13" fillId="5" borderId="35" xfId="1" applyNumberFormat="1" applyFont="1" applyFill="1" applyBorder="1" applyAlignment="1">
      <alignment horizontal="left"/>
    </xf>
    <xf numFmtId="167" fontId="13" fillId="4" borderId="38" xfId="1" applyNumberFormat="1" applyFont="1" applyFill="1" applyBorder="1" applyAlignment="1">
      <alignment horizontal="left"/>
    </xf>
    <xf numFmtId="167" fontId="13" fillId="4" borderId="35" xfId="1" applyNumberFormat="1" applyFont="1" applyFill="1" applyBorder="1" applyAlignment="1">
      <alignment horizontal="left"/>
    </xf>
    <xf numFmtId="0" fontId="13" fillId="4" borderId="2" xfId="1" applyFont="1" applyFill="1" applyBorder="1" applyAlignment="1">
      <alignment horizontal="center"/>
    </xf>
    <xf numFmtId="0" fontId="13" fillId="4" borderId="5" xfId="1" applyFont="1" applyFill="1" applyBorder="1" applyAlignment="1">
      <alignment horizontal="center"/>
    </xf>
    <xf numFmtId="167" fontId="13" fillId="5" borderId="2" xfId="1" applyNumberFormat="1" applyFont="1" applyFill="1" applyBorder="1" applyAlignment="1">
      <alignment horizontal="center"/>
    </xf>
    <xf numFmtId="167" fontId="13" fillId="5" borderId="5" xfId="1" applyNumberFormat="1" applyFont="1" applyFill="1" applyBorder="1" applyAlignment="1">
      <alignment horizontal="center"/>
    </xf>
    <xf numFmtId="49" fontId="23" fillId="5" borderId="38" xfId="1" applyNumberFormat="1" applyFont="1" applyFill="1" applyBorder="1" applyAlignment="1">
      <alignment horizontal="left"/>
    </xf>
    <xf numFmtId="49" fontId="23" fillId="5" borderId="33" xfId="1" applyNumberFormat="1" applyFont="1" applyFill="1" applyBorder="1" applyAlignment="1">
      <alignment horizontal="left"/>
    </xf>
    <xf numFmtId="49" fontId="23" fillId="5" borderId="17" xfId="1" applyNumberFormat="1" applyFont="1" applyFill="1" applyBorder="1" applyAlignment="1">
      <alignment horizontal="center"/>
    </xf>
    <xf numFmtId="49" fontId="23" fillId="5" borderId="18" xfId="1" applyNumberFormat="1" applyFont="1" applyFill="1" applyBorder="1" applyAlignment="1">
      <alignment horizontal="center"/>
    </xf>
    <xf numFmtId="20" fontId="27" fillId="8" borderId="49" xfId="4" applyNumberFormat="1" applyFont="1" applyBorder="1" applyAlignment="1" applyProtection="1">
      <alignment horizontal="center"/>
    </xf>
    <xf numFmtId="20" fontId="27" fillId="8" borderId="15" xfId="4" applyNumberFormat="1" applyFont="1" applyBorder="1" applyAlignment="1" applyProtection="1">
      <alignment horizontal="center"/>
    </xf>
    <xf numFmtId="0" fontId="13" fillId="0" borderId="43" xfId="0" applyFont="1" applyBorder="1" applyAlignment="1">
      <alignment horizontal="center" vertical="center"/>
    </xf>
    <xf numFmtId="0" fontId="13" fillId="0" borderId="50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40" fillId="15" borderId="44" xfId="11" applyFont="1" applyBorder="1" applyAlignment="1">
      <alignment horizontal="center" vertical="center" wrapText="1"/>
    </xf>
    <xf numFmtId="0" fontId="40" fillId="15" borderId="66" xfId="11" applyFont="1" applyBorder="1" applyAlignment="1">
      <alignment horizontal="center" vertical="center" wrapText="1"/>
    </xf>
    <xf numFmtId="0" fontId="40" fillId="15" borderId="67" xfId="11" applyFont="1" applyBorder="1" applyAlignment="1">
      <alignment horizontal="center" vertical="center" wrapText="1"/>
    </xf>
    <xf numFmtId="0" fontId="40" fillId="15" borderId="47" xfId="11" applyFont="1" applyBorder="1" applyAlignment="1">
      <alignment horizontal="center" vertical="center" wrapText="1"/>
    </xf>
    <xf numFmtId="0" fontId="40" fillId="15" borderId="0" xfId="11" applyFont="1" applyBorder="1" applyAlignment="1">
      <alignment horizontal="center" vertical="center" wrapText="1"/>
    </xf>
    <xf numFmtId="0" fontId="40" fillId="15" borderId="68" xfId="11" applyFont="1" applyBorder="1" applyAlignment="1">
      <alignment horizontal="center" vertical="center" wrapText="1"/>
    </xf>
    <xf numFmtId="164" fontId="28" fillId="17" borderId="7" xfId="4" applyNumberFormat="1" applyFont="1" applyFill="1" applyBorder="1" applyAlignment="1">
      <alignment horizontal="center" vertical="center"/>
    </xf>
    <xf numFmtId="164" fontId="28" fillId="17" borderId="8" xfId="4" applyNumberFormat="1" applyFont="1" applyFill="1" applyBorder="1" applyAlignment="1">
      <alignment horizontal="center" vertical="center"/>
    </xf>
    <xf numFmtId="0" fontId="13" fillId="0" borderId="43" xfId="0" applyFont="1" applyBorder="1" applyAlignment="1">
      <alignment horizontal="right" vertical="center"/>
    </xf>
    <xf numFmtId="0" fontId="13" fillId="0" borderId="18" xfId="0" applyFont="1" applyBorder="1" applyAlignment="1">
      <alignment horizontal="right" vertical="center"/>
    </xf>
    <xf numFmtId="0" fontId="13" fillId="0" borderId="59" xfId="0" applyFont="1" applyBorder="1" applyAlignment="1">
      <alignment horizontal="center"/>
    </xf>
    <xf numFmtId="0" fontId="13" fillId="0" borderId="40" xfId="0" applyFont="1" applyBorder="1" applyAlignment="1">
      <alignment horizontal="center"/>
    </xf>
    <xf numFmtId="0" fontId="20" fillId="0" borderId="39" xfId="0" applyFont="1" applyBorder="1" applyAlignment="1">
      <alignment horizontal="left"/>
    </xf>
    <xf numFmtId="1" fontId="20" fillId="7" borderId="60" xfId="3" applyNumberFormat="1" applyFont="1" applyBorder="1" applyAlignment="1" applyProtection="1">
      <alignment horizontal="center"/>
      <protection locked="0"/>
    </xf>
    <xf numFmtId="1" fontId="20" fillId="7" borderId="61" xfId="3" applyNumberFormat="1" applyFont="1" applyBorder="1" applyAlignment="1" applyProtection="1">
      <alignment horizontal="center"/>
      <protection locked="0"/>
    </xf>
    <xf numFmtId="0" fontId="9" fillId="5" borderId="44" xfId="3" applyFont="1" applyFill="1" applyBorder="1" applyAlignment="1" applyProtection="1">
      <alignment horizontal="left" vertical="center" wrapText="1"/>
      <protection locked="0"/>
    </xf>
    <xf numFmtId="0" fontId="9" fillId="5" borderId="66" xfId="3" applyFont="1" applyFill="1" applyBorder="1" applyAlignment="1" applyProtection="1">
      <alignment horizontal="left" vertical="center" wrapText="1"/>
      <protection locked="0"/>
    </xf>
    <xf numFmtId="0" fontId="9" fillId="5" borderId="67" xfId="3" applyFont="1" applyFill="1" applyBorder="1" applyAlignment="1" applyProtection="1">
      <alignment horizontal="left" vertical="center" wrapText="1"/>
      <protection locked="0"/>
    </xf>
    <xf numFmtId="0" fontId="9" fillId="5" borderId="47" xfId="3" applyFont="1" applyFill="1" applyBorder="1" applyAlignment="1" applyProtection="1">
      <alignment horizontal="left" vertical="center" wrapText="1"/>
      <protection locked="0"/>
    </xf>
    <xf numFmtId="0" fontId="9" fillId="5" borderId="0" xfId="3" applyFont="1" applyFill="1" applyBorder="1" applyAlignment="1" applyProtection="1">
      <alignment horizontal="left" vertical="center" wrapText="1"/>
      <protection locked="0"/>
    </xf>
    <xf numFmtId="0" fontId="9" fillId="5" borderId="68" xfId="3" applyFont="1" applyFill="1" applyBorder="1" applyAlignment="1" applyProtection="1">
      <alignment horizontal="left" vertical="center" wrapText="1"/>
      <protection locked="0"/>
    </xf>
    <xf numFmtId="0" fontId="9" fillId="5" borderId="46" xfId="3" applyFont="1" applyFill="1" applyBorder="1" applyAlignment="1" applyProtection="1">
      <alignment horizontal="left" vertical="center" wrapText="1"/>
      <protection locked="0"/>
    </xf>
    <xf numFmtId="0" fontId="9" fillId="5" borderId="69" xfId="3" applyFont="1" applyFill="1" applyBorder="1" applyAlignment="1" applyProtection="1">
      <alignment horizontal="left" vertical="center" wrapText="1"/>
      <protection locked="0"/>
    </xf>
    <xf numFmtId="0" fontId="9" fillId="5" borderId="13" xfId="3" applyFont="1" applyFill="1" applyBorder="1" applyAlignment="1" applyProtection="1">
      <alignment horizontal="left" vertical="center" wrapText="1"/>
      <protection locked="0"/>
    </xf>
    <xf numFmtId="0" fontId="20" fillId="0" borderId="12" xfId="0" applyFont="1" applyBorder="1" applyAlignment="1">
      <alignment horizontal="left"/>
    </xf>
    <xf numFmtId="0" fontId="20" fillId="16" borderId="52" xfId="3" applyNumberFormat="1" applyFont="1" applyFill="1" applyBorder="1" applyAlignment="1" applyProtection="1">
      <alignment horizontal="center"/>
    </xf>
    <xf numFmtId="0" fontId="20" fillId="16" borderId="53" xfId="3" applyNumberFormat="1" applyFont="1" applyFill="1" applyBorder="1" applyAlignment="1" applyProtection="1">
      <alignment horizontal="center"/>
    </xf>
    <xf numFmtId="0" fontId="20" fillId="16" borderId="62" xfId="3" applyNumberFormat="1" applyFont="1" applyFill="1" applyBorder="1" applyAlignment="1" applyProtection="1">
      <alignment horizontal="center"/>
    </xf>
    <xf numFmtId="0" fontId="20" fillId="0" borderId="31" xfId="0" applyFont="1" applyBorder="1" applyAlignment="1">
      <alignment horizontal="left"/>
    </xf>
    <xf numFmtId="171" fontId="33" fillId="16" borderId="63" xfId="8" applyNumberFormat="1" applyFont="1" applyFill="1" applyBorder="1" applyAlignment="1">
      <alignment horizontal="center"/>
    </xf>
    <xf numFmtId="171" fontId="33" fillId="16" borderId="64" xfId="8" applyNumberFormat="1" applyFont="1" applyFill="1" applyBorder="1" applyAlignment="1">
      <alignment horizontal="center"/>
    </xf>
    <xf numFmtId="171" fontId="33" fillId="16" borderId="65" xfId="8" applyNumberFormat="1" applyFont="1" applyFill="1" applyBorder="1" applyAlignment="1">
      <alignment horizontal="center"/>
    </xf>
    <xf numFmtId="0" fontId="20" fillId="16" borderId="70" xfId="3" applyNumberFormat="1" applyFont="1" applyFill="1" applyBorder="1" applyAlignment="1" applyProtection="1">
      <alignment horizontal="center"/>
    </xf>
    <xf numFmtId="0" fontId="20" fillId="16" borderId="58" xfId="3" applyNumberFormat="1" applyFont="1" applyFill="1" applyBorder="1" applyAlignment="1" applyProtection="1">
      <alignment horizontal="center"/>
    </xf>
    <xf numFmtId="0" fontId="20" fillId="16" borderId="74" xfId="3" applyNumberFormat="1" applyFont="1" applyFill="1" applyBorder="1" applyAlignment="1" applyProtection="1">
      <alignment horizontal="center"/>
    </xf>
    <xf numFmtId="171" fontId="33" fillId="16" borderId="71" xfId="8" applyNumberFormat="1" applyFont="1" applyFill="1" applyBorder="1" applyAlignment="1">
      <alignment horizontal="center"/>
    </xf>
    <xf numFmtId="171" fontId="33" fillId="16" borderId="72" xfId="8" applyNumberFormat="1" applyFont="1" applyFill="1" applyBorder="1" applyAlignment="1">
      <alignment horizontal="center"/>
    </xf>
    <xf numFmtId="171" fontId="33" fillId="16" borderId="75" xfId="8" applyNumberFormat="1" applyFont="1" applyFill="1" applyBorder="1" applyAlignment="1">
      <alignment horizontal="center"/>
    </xf>
    <xf numFmtId="164" fontId="8" fillId="0" borderId="71" xfId="4" applyNumberFormat="1" applyFill="1" applyBorder="1" applyAlignment="1">
      <alignment horizontal="center" vertical="center"/>
    </xf>
    <xf numFmtId="164" fontId="8" fillId="0" borderId="75" xfId="4" applyNumberForma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3" fillId="0" borderId="12" xfId="0" applyFont="1" applyBorder="1" applyAlignment="1">
      <alignment horizontal="right"/>
    </xf>
    <xf numFmtId="0" fontId="13" fillId="0" borderId="26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42" fillId="15" borderId="0" xfId="11" applyFont="1" applyAlignment="1">
      <alignment horizontal="center" vertical="center" wrapText="1"/>
    </xf>
    <xf numFmtId="0" fontId="42" fillId="15" borderId="27" xfId="11" applyFont="1" applyBorder="1" applyAlignment="1">
      <alignment horizontal="center" vertical="center" wrapText="1"/>
    </xf>
    <xf numFmtId="20" fontId="27" fillId="8" borderId="26" xfId="4" applyNumberFormat="1" applyFont="1" applyBorder="1" applyAlignment="1" applyProtection="1">
      <alignment horizontal="center"/>
    </xf>
    <xf numFmtId="20" fontId="27" fillId="8" borderId="30" xfId="4" applyNumberFormat="1" applyFont="1" applyBorder="1" applyAlignment="1" applyProtection="1">
      <alignment horizontal="center"/>
    </xf>
    <xf numFmtId="49" fontId="9" fillId="0" borderId="0" xfId="0" applyNumberFormat="1" applyFont="1" applyFill="1" applyBorder="1"/>
    <xf numFmtId="0" fontId="1" fillId="0" borderId="0" xfId="10" applyFont="1"/>
  </cellXfs>
  <cellStyles count="20">
    <cellStyle name="20 % - Dekorfärg1" xfId="4" builtinId="30"/>
    <cellStyle name="20 % - Dekorfärg1 2" xfId="14" xr:uid="{243614AF-32B3-4BC5-A639-D311405E8E05}"/>
    <cellStyle name="20 % - Dekorfärg2" xfId="5" builtinId="34"/>
    <cellStyle name="20 % - Dekorfärg2 2" xfId="19" xr:uid="{475C0966-D2CB-41CB-BDA6-349D08771C78}"/>
    <cellStyle name="20 % - Dekorfärg3" xfId="11" builtinId="38"/>
    <cellStyle name="20 % - Dekorfärg3 2" xfId="16" xr:uid="{ADD0D7FC-99D8-4065-B193-7B9668972E85}"/>
    <cellStyle name="20 % - Dekorfärg5" xfId="12" builtinId="46"/>
    <cellStyle name="20 % - Dekorfärg5 2" xfId="17" xr:uid="{75A6273A-0BC9-4455-92E5-7096F0FBFF78}"/>
    <cellStyle name="40 % - Dekorfärg1" xfId="6" builtinId="31"/>
    <cellStyle name="40 % - Dekorfärg1 2" xfId="18" xr:uid="{A8A40C1E-4DAC-43B3-B721-43E0579C98AC}"/>
    <cellStyle name="40 % - Dekorfärg3" xfId="7" builtinId="39"/>
    <cellStyle name="40 % - Dekorfärg3 2" xfId="15" xr:uid="{35CD52EB-3CB0-46E2-9EE4-B11355D5314B}"/>
    <cellStyle name="Anteckning" xfId="3" builtinId="10"/>
    <cellStyle name="Anteckning 2" xfId="9" xr:uid="{F301D9DD-A86F-4AD1-B862-86A63F6D66BB}"/>
    <cellStyle name="Förklarande text" xfId="13" builtinId="53"/>
    <cellStyle name="Indata" xfId="2" builtinId="20"/>
    <cellStyle name="Neutral" xfId="8" builtinId="28"/>
    <cellStyle name="Normal" xfId="0" builtinId="0"/>
    <cellStyle name="Normal 2" xfId="1" xr:uid="{00000000-0005-0000-0000-000001000000}"/>
    <cellStyle name="Normal 3" xfId="10" xr:uid="{60415054-7F4E-459B-9EC9-74A91A2D6F08}"/>
  </cellStyles>
  <dxfs count="131">
    <dxf>
      <font>
        <b/>
        <i val="0"/>
      </font>
      <fill>
        <patternFill>
          <bgColor theme="4" tint="0.79998168889431442"/>
        </patternFill>
      </fill>
    </dxf>
    <dxf>
      <fill>
        <patternFill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rgb="FFD0E0F4"/>
        </patternFill>
      </fill>
    </dxf>
    <dxf>
      <font>
        <color rgb="FF9C0006"/>
      </font>
    </dxf>
    <dxf>
      <font>
        <color rgb="FF0070C0"/>
      </font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>
          <bgColor theme="8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 patternType="lightVertical">
          <bgColor theme="5" tint="-0.24994659260841701"/>
        </patternFill>
      </fill>
      <border>
        <left style="dashDot">
          <color theme="5" tint="-0.24994659260841701"/>
        </left>
        <right style="dashDot">
          <color theme="5" tint="-0.24994659260841701"/>
        </right>
        <top style="dashDot">
          <color theme="5" tint="-0.24994659260841701"/>
        </top>
        <bottom style="dashDot">
          <color theme="5" tint="-0.24994659260841701"/>
        </bottom>
        <vertical/>
        <horizontal/>
      </border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ont>
        <b/>
        <i val="0"/>
        <color rgb="FFC0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numFmt numFmtId="169" formatCode="\-hh:mm"/>
    </dxf>
    <dxf>
      <font>
        <color auto="1"/>
      </font>
      <fill>
        <patternFill>
          <bgColor rgb="FFFFC7CE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rgb="FFFDD97F"/>
        </patternFill>
      </fill>
    </dxf>
    <dxf>
      <font>
        <color theme="5"/>
      </font>
    </dxf>
    <dxf>
      <fill>
        <patternFill>
          <bgColor rgb="FFD0E0F4"/>
        </patternFill>
      </fill>
    </dxf>
    <dxf>
      <font>
        <color rgb="FF9C0006"/>
      </font>
    </dxf>
    <dxf>
      <font>
        <color rgb="FF0070C0"/>
      </font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 patternType="lightVertical">
          <bgColor theme="5" tint="-0.24994659260841701"/>
        </patternFill>
      </fill>
      <border>
        <left style="dashDot">
          <color theme="5" tint="-0.24994659260841701"/>
        </left>
        <right style="dashDot">
          <color theme="5" tint="-0.24994659260841701"/>
        </right>
        <top style="dashDot">
          <color theme="5" tint="-0.24994659260841701"/>
        </top>
        <bottom style="dashDot">
          <color theme="5" tint="-0.24994659260841701"/>
        </bottom>
        <vertical/>
        <horizontal/>
      </border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ont>
        <b/>
        <i val="0"/>
        <color rgb="FFC0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numFmt numFmtId="169" formatCode="\-hh:mm"/>
    </dxf>
    <dxf>
      <font>
        <color auto="1"/>
      </font>
      <fill>
        <patternFill>
          <bgColor rgb="FFFFC7CE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-0.24994659260841701"/>
      </font>
      <fill>
        <patternFill>
          <bgColor rgb="FFFDD97F"/>
        </patternFill>
      </fill>
    </dxf>
    <dxf>
      <font>
        <color theme="3"/>
      </font>
      <fill>
        <patternFill>
          <bgColor theme="8" tint="0.59996337778862885"/>
        </patternFill>
      </fill>
    </dxf>
    <dxf>
      <font>
        <color theme="5"/>
      </font>
    </dxf>
    <dxf>
      <font>
        <b/>
        <i val="0"/>
      </font>
      <fill>
        <patternFill>
          <bgColor theme="4" tint="0.79998168889431442"/>
        </patternFill>
      </fill>
    </dxf>
    <dxf>
      <fill>
        <patternFill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5" tint="0.79998168889431442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color rgb="FF9C0006"/>
      </font>
      <fill>
        <patternFill patternType="none">
          <bgColor auto="1"/>
        </patternFill>
      </fill>
    </dxf>
    <dxf>
      <font>
        <color theme="5" tint="-0.24994659260841701"/>
      </font>
      <fill>
        <patternFill>
          <bgColor rgb="FFFFFF00"/>
        </patternFill>
      </fill>
    </dxf>
    <dxf>
      <fill>
        <patternFill>
          <bgColor rgb="FFD0E0F4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color rgb="FF9C0006"/>
      </font>
    </dxf>
    <dxf>
      <font>
        <color rgb="FF0070C0"/>
      </font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>
          <bgColor theme="8" tint="0.59996337778862885"/>
        </patternFill>
      </fill>
    </dxf>
    <dxf>
      <font>
        <color auto="1"/>
      </font>
      <fill>
        <patternFill>
          <bgColor rgb="FFFFCC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FF0000"/>
        </patternFill>
      </fill>
    </dxf>
    <dxf>
      <fill>
        <patternFill>
          <bgColor rgb="FFFF5050"/>
        </patternFill>
      </fill>
    </dxf>
    <dxf>
      <fill>
        <patternFill>
          <bgColor theme="9" tint="0.59996337778862885"/>
        </patternFill>
      </fill>
    </dxf>
    <dxf>
      <font>
        <color auto="1"/>
      </font>
      <fill>
        <patternFill>
          <bgColor rgb="FFFFCC6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C00000"/>
      </font>
      <fill>
        <patternFill>
          <bgColor rgb="FFFFC7CE"/>
        </patternFill>
      </fill>
    </dxf>
    <dxf>
      <font>
        <color theme="4" tint="0.59996337778862885"/>
      </font>
    </dxf>
    <dxf>
      <fill>
        <patternFill>
          <bgColor theme="3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rgb="FFFAB972"/>
        </patternFill>
      </fill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6" tint="0.59996337778862885"/>
        </patternFill>
      </fill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rgb="FFFF5050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 patternType="none">
          <bgColor auto="1"/>
        </patternFill>
      </fill>
    </dxf>
    <dxf>
      <font>
        <color auto="1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 patternType="lightVertical">
          <bgColor theme="5" tint="-0.24994659260841701"/>
        </patternFill>
      </fill>
      <border>
        <left style="dashDot">
          <color theme="5" tint="-0.24994659260841701"/>
        </left>
        <right style="dashDot">
          <color theme="5" tint="-0.24994659260841701"/>
        </right>
        <top style="dashDot">
          <color theme="5" tint="-0.24994659260841701"/>
        </top>
        <bottom style="dashDot">
          <color theme="5" tint="-0.24994659260841701"/>
        </bottom>
        <vertical/>
        <horizontal/>
      </border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ont>
        <b/>
        <i val="0"/>
        <color rgb="FFC0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theme="3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numFmt numFmtId="169" formatCode="\-hh:mm"/>
    </dxf>
    <dxf>
      <font>
        <color auto="1"/>
      </font>
      <fill>
        <patternFill>
          <bgColor rgb="FFFFC7CE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rgb="FFFDD97F"/>
        </patternFill>
      </fill>
    </dxf>
    <dxf>
      <fill>
        <patternFill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5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7CE"/>
      <color rgb="FFFAB972"/>
      <color rgb="FF99CCFF"/>
      <color rgb="FFFFCC66"/>
      <color rgb="FFFDD97F"/>
      <color rgb="FFFFFFCC"/>
      <color rgb="FFFF5050"/>
      <color rgb="FFFF7C80"/>
      <color rgb="FFD0E0F4"/>
      <color rgb="FFFCC8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431799</xdr:colOff>
      <xdr:row>3</xdr:row>
      <xdr:rowOff>103717</xdr:rowOff>
    </xdr:from>
    <xdr:to>
      <xdr:col>4</xdr:col>
      <xdr:colOff>90593</xdr:colOff>
      <xdr:row>3</xdr:row>
      <xdr:rowOff>103717</xdr:rowOff>
    </xdr:to>
    <xdr:cxnSp macro="">
      <xdr:nvCxnSpPr>
        <xdr:cNvPr id="3" name="Rak koppling 2">
          <a:extLst>
            <a:ext uri="{FF2B5EF4-FFF2-40B4-BE49-F238E27FC236}">
              <a16:creationId xmlns:a16="http://schemas.microsoft.com/office/drawing/2014/main" id="{1B0C7555-8773-42D2-99B6-C8DBEA8F4B73}"/>
            </a:ext>
          </a:extLst>
        </xdr:cNvPr>
        <xdr:cNvCxnSpPr/>
      </xdr:nvCxnSpPr>
      <xdr:spPr>
        <a:xfrm>
          <a:off x="1989666" y="713317"/>
          <a:ext cx="115994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1590675</xdr:colOff>
      <xdr:row>3</xdr:row>
      <xdr:rowOff>104775</xdr:rowOff>
    </xdr:from>
    <xdr:to>
      <xdr:col>1</xdr:col>
      <xdr:colOff>1743075</xdr:colOff>
      <xdr:row>3</xdr:row>
      <xdr:rowOff>104775</xdr:rowOff>
    </xdr:to>
    <xdr:cxnSp macro="">
      <xdr:nvCxnSpPr>
        <xdr:cNvPr id="2" name="Rak koppling 1">
          <a:extLst>
            <a:ext uri="{FF2B5EF4-FFF2-40B4-BE49-F238E27FC236}">
              <a16:creationId xmlns:a16="http://schemas.microsoft.com/office/drawing/2014/main" id="{65BCCD32-7073-4652-8620-35DA874BFB24}"/>
            </a:ext>
          </a:extLst>
        </xdr:cNvPr>
        <xdr:cNvCxnSpPr/>
      </xdr:nvCxnSpPr>
      <xdr:spPr>
        <a:xfrm>
          <a:off x="2638425" y="723900"/>
          <a:ext cx="1524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944880</xdr:colOff>
      <xdr:row>3</xdr:row>
      <xdr:rowOff>100965</xdr:rowOff>
    </xdr:from>
    <xdr:to>
      <xdr:col>1</xdr:col>
      <xdr:colOff>1021080</xdr:colOff>
      <xdr:row>3</xdr:row>
      <xdr:rowOff>100965</xdr:rowOff>
    </xdr:to>
    <xdr:cxnSp macro="">
      <xdr:nvCxnSpPr>
        <xdr:cNvPr id="8" name="Rak koppling 7">
          <a:extLst>
            <a:ext uri="{FF2B5EF4-FFF2-40B4-BE49-F238E27FC236}">
              <a16:creationId xmlns:a16="http://schemas.microsoft.com/office/drawing/2014/main" id="{F23A661E-8A5F-42E0-AB15-4C3975D967CB}"/>
            </a:ext>
          </a:extLst>
        </xdr:cNvPr>
        <xdr:cNvCxnSpPr/>
      </xdr:nvCxnSpPr>
      <xdr:spPr>
        <a:xfrm>
          <a:off x="1996440" y="718185"/>
          <a:ext cx="762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3</xdr:row>
      <xdr:rowOff>95250</xdr:rowOff>
    </xdr:from>
    <xdr:to>
      <xdr:col>2</xdr:col>
      <xdr:colOff>167640</xdr:colOff>
      <xdr:row>3</xdr:row>
      <xdr:rowOff>95251</xdr:rowOff>
    </xdr:to>
    <xdr:cxnSp macro="">
      <xdr:nvCxnSpPr>
        <xdr:cNvPr id="2" name="Rak koppling 1">
          <a:extLst>
            <a:ext uri="{FF2B5EF4-FFF2-40B4-BE49-F238E27FC236}">
              <a16:creationId xmlns:a16="http://schemas.microsoft.com/office/drawing/2014/main" id="{5D73C41B-C155-4708-9197-D88480723754}"/>
            </a:ext>
          </a:extLst>
        </xdr:cNvPr>
        <xdr:cNvCxnSpPr/>
      </xdr:nvCxnSpPr>
      <xdr:spPr>
        <a:xfrm>
          <a:off x="2042160" y="689610"/>
          <a:ext cx="160020" cy="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80010</xdr:colOff>
      <xdr:row>3</xdr:row>
      <xdr:rowOff>110490</xdr:rowOff>
    </xdr:from>
    <xdr:to>
      <xdr:col>2</xdr:col>
      <xdr:colOff>194310</xdr:colOff>
      <xdr:row>3</xdr:row>
      <xdr:rowOff>110491</xdr:rowOff>
    </xdr:to>
    <xdr:cxnSp macro="">
      <xdr:nvCxnSpPr>
        <xdr:cNvPr id="5" name="Rak koppling 4">
          <a:extLst>
            <a:ext uri="{FF2B5EF4-FFF2-40B4-BE49-F238E27FC236}">
              <a16:creationId xmlns:a16="http://schemas.microsoft.com/office/drawing/2014/main" id="{22C980D5-0EE7-434B-A386-102C77C53CB1}"/>
            </a:ext>
          </a:extLst>
        </xdr:cNvPr>
        <xdr:cNvCxnSpPr/>
      </xdr:nvCxnSpPr>
      <xdr:spPr>
        <a:xfrm>
          <a:off x="1916430" y="727710"/>
          <a:ext cx="114300" cy="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80010</xdr:colOff>
      <xdr:row>3</xdr:row>
      <xdr:rowOff>110490</xdr:rowOff>
    </xdr:from>
    <xdr:to>
      <xdr:col>2</xdr:col>
      <xdr:colOff>194310</xdr:colOff>
      <xdr:row>3</xdr:row>
      <xdr:rowOff>110491</xdr:rowOff>
    </xdr:to>
    <xdr:cxnSp macro="">
      <xdr:nvCxnSpPr>
        <xdr:cNvPr id="2" name="Rak koppling 1">
          <a:extLst>
            <a:ext uri="{FF2B5EF4-FFF2-40B4-BE49-F238E27FC236}">
              <a16:creationId xmlns:a16="http://schemas.microsoft.com/office/drawing/2014/main" id="{C6E9618F-BDC6-4F78-A5DB-064DE95B9CEB}"/>
            </a:ext>
          </a:extLst>
        </xdr:cNvPr>
        <xdr:cNvCxnSpPr/>
      </xdr:nvCxnSpPr>
      <xdr:spPr>
        <a:xfrm>
          <a:off x="1916430" y="727710"/>
          <a:ext cx="114300" cy="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914400</xdr:colOff>
      <xdr:row>3</xdr:row>
      <xdr:rowOff>95250</xdr:rowOff>
    </xdr:from>
    <xdr:to>
      <xdr:col>2</xdr:col>
      <xdr:colOff>47625</xdr:colOff>
      <xdr:row>3</xdr:row>
      <xdr:rowOff>95250</xdr:rowOff>
    </xdr:to>
    <xdr:cxnSp macro="">
      <xdr:nvCxnSpPr>
        <xdr:cNvPr id="2" name="Rak koppling 1">
          <a:extLst>
            <a:ext uri="{FF2B5EF4-FFF2-40B4-BE49-F238E27FC236}">
              <a16:creationId xmlns:a16="http://schemas.microsoft.com/office/drawing/2014/main" id="{EDA66EE8-1EB7-43AC-9D58-694596FECF9C}"/>
            </a:ext>
          </a:extLst>
        </xdr:cNvPr>
        <xdr:cNvCxnSpPr/>
      </xdr:nvCxnSpPr>
      <xdr:spPr>
        <a:xfrm>
          <a:off x="1962150" y="714375"/>
          <a:ext cx="85725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423335</xdr:colOff>
      <xdr:row>3</xdr:row>
      <xdr:rowOff>95250</xdr:rowOff>
    </xdr:from>
    <xdr:to>
      <xdr:col>4</xdr:col>
      <xdr:colOff>80435</xdr:colOff>
      <xdr:row>3</xdr:row>
      <xdr:rowOff>95250</xdr:rowOff>
    </xdr:to>
    <xdr:cxnSp macro="">
      <xdr:nvCxnSpPr>
        <xdr:cNvPr id="2" name="Rak koppling 1">
          <a:extLst>
            <a:ext uri="{FF2B5EF4-FFF2-40B4-BE49-F238E27FC236}">
              <a16:creationId xmlns:a16="http://schemas.microsoft.com/office/drawing/2014/main" id="{D4316332-CF5F-43A8-9573-08CBF650CA90}"/>
            </a:ext>
          </a:extLst>
        </xdr:cNvPr>
        <xdr:cNvCxnSpPr/>
      </xdr:nvCxnSpPr>
      <xdr:spPr>
        <a:xfrm>
          <a:off x="1981202" y="704850"/>
          <a:ext cx="97366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95250</xdr:rowOff>
    </xdr:from>
    <xdr:to>
      <xdr:col>4</xdr:col>
      <xdr:colOff>99060</xdr:colOff>
      <xdr:row>3</xdr:row>
      <xdr:rowOff>95250</xdr:rowOff>
    </xdr:to>
    <xdr:cxnSp macro="">
      <xdr:nvCxnSpPr>
        <xdr:cNvPr id="2" name="Rak koppling 1">
          <a:extLst>
            <a:ext uri="{FF2B5EF4-FFF2-40B4-BE49-F238E27FC236}">
              <a16:creationId xmlns:a16="http://schemas.microsoft.com/office/drawing/2014/main" id="{2ACA96A5-4BB6-4DC3-B08F-E570D2B99732}"/>
            </a:ext>
          </a:extLst>
        </xdr:cNvPr>
        <xdr:cNvCxnSpPr/>
      </xdr:nvCxnSpPr>
      <xdr:spPr>
        <a:xfrm>
          <a:off x="2004060" y="697230"/>
          <a:ext cx="9906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157C6-E124-4F33-AAAB-3F61CCC10E43}">
  <sheetPr codeName="Blad1">
    <pageSetUpPr fitToPage="1"/>
  </sheetPr>
  <dimension ref="A1:QR83"/>
  <sheetViews>
    <sheetView tabSelected="1" zoomScale="80" zoomScaleNormal="80" workbookViewId="0">
      <pane ySplit="11" topLeftCell="A12" activePane="bottomLeft" state="frozen"/>
      <selection activeCell="A13" sqref="A13"/>
      <selection pane="bottomLeft" activeCell="C2" sqref="C2:F2"/>
    </sheetView>
  </sheetViews>
  <sheetFormatPr defaultRowHeight="13.2" x14ac:dyDescent="0.25"/>
  <cols>
    <col min="1" max="1" width="11" style="12" customWidth="1"/>
    <col min="2" max="2" width="5.109375" style="13" customWidth="1"/>
    <col min="3" max="4" width="6.6640625" customWidth="1"/>
    <col min="5" max="5" width="7.33203125" style="80" customWidth="1"/>
    <col min="6" max="6" width="6.109375" customWidth="1"/>
    <col min="7" max="7" width="6.44140625" customWidth="1"/>
    <col min="8" max="8" width="7.6640625" customWidth="1"/>
    <col min="9" max="9" width="6.33203125" style="80" customWidth="1"/>
    <col min="10" max="10" width="6.5546875" style="80" customWidth="1"/>
    <col min="11" max="11" width="7.44140625" style="80" customWidth="1"/>
    <col min="12" max="12" width="7.109375" style="80" customWidth="1"/>
    <col min="13" max="13" width="7.33203125" style="80" customWidth="1"/>
    <col min="14" max="14" width="8" style="80" customWidth="1"/>
    <col min="15" max="15" width="8.44140625" style="143" customWidth="1"/>
    <col min="16" max="16" width="7.6640625" style="80" customWidth="1"/>
    <col min="17" max="17" width="8.88671875" style="80" customWidth="1"/>
    <col min="18" max="18" width="6.6640625" style="80" customWidth="1"/>
    <col min="19" max="19" width="8.5546875" style="80" customWidth="1"/>
    <col min="20" max="20" width="7" style="80" customWidth="1"/>
    <col min="21" max="21" width="6.6640625" style="80" customWidth="1"/>
    <col min="22" max="22" width="7.88671875" style="80" customWidth="1"/>
    <col min="23" max="23" width="7" style="80" customWidth="1"/>
    <col min="24" max="24" width="9" style="80" customWidth="1"/>
    <col min="25" max="25" width="32.44140625" style="12" customWidth="1"/>
    <col min="26" max="26" width="5" style="338" customWidth="1"/>
    <col min="27" max="27" width="4.109375" customWidth="1"/>
    <col min="28" max="28" width="9.88671875" style="89" customWidth="1"/>
    <col min="29" max="29" width="6.109375" customWidth="1"/>
    <col min="30" max="31" width="8.109375" bestFit="1" customWidth="1"/>
    <col min="32" max="32" width="2.44140625" customWidth="1"/>
    <col min="33" max="36" width="2.33203125" bestFit="1" customWidth="1"/>
    <col min="460" max="460" width="8.88671875" hidden="1" customWidth="1"/>
  </cols>
  <sheetData>
    <row r="1" spans="1:38" ht="16.2" customHeight="1" thickBot="1" x14ac:dyDescent="0.4">
      <c r="A1" s="380" t="s">
        <v>0</v>
      </c>
      <c r="B1" s="379" t="str">
        <f>IF(VLOOKUP(C2,Grunddata!L2:Q150,6,FALSE)="Utesäljare","SANT","FALSKT")</f>
        <v>FALSKT</v>
      </c>
      <c r="C1" s="511" t="str">
        <f>IF(C2="","Fyll i ditt anställningsID nedan","")</f>
        <v>Fyll i ditt anställningsID nedan</v>
      </c>
      <c r="D1" s="511"/>
      <c r="E1" s="511"/>
      <c r="F1" s="511"/>
      <c r="G1" s="512" t="s">
        <v>1</v>
      </c>
      <c r="H1" s="512"/>
      <c r="I1" s="512"/>
      <c r="J1" s="264" t="s">
        <v>2</v>
      </c>
      <c r="K1" s="454"/>
      <c r="L1" s="257" t="s">
        <v>3</v>
      </c>
      <c r="M1" s="257"/>
      <c r="N1" s="454"/>
      <c r="O1" s="454"/>
      <c r="P1" s="454"/>
      <c r="Q1" s="454"/>
      <c r="R1" s="374" t="s">
        <v>4</v>
      </c>
      <c r="S1" s="372" t="s">
        <v>5</v>
      </c>
      <c r="T1" s="373" t="s">
        <v>6</v>
      </c>
      <c r="U1" s="454"/>
      <c r="V1" s="454"/>
      <c r="W1" s="454"/>
      <c r="X1" s="348" t="str">
        <f>IF(COUNTIF($AF$12:$AF$42,"X"),"Felkod A","")</f>
        <v/>
      </c>
      <c r="Y1" s="468" t="str">
        <f>IF(X1="","","Arbetad tid och övertid överensstämmer ej")</f>
        <v/>
      </c>
      <c r="Z1" s="468"/>
      <c r="AB1" s="471" t="str">
        <f>IF(COUNTIF($AC$12:$AC$42,"! G"),"Felkod G","")</f>
        <v/>
      </c>
      <c r="AC1" s="467" t="str">
        <f>IF(AB1="","","Övertid/Mertid avser tid som överstiger din ordinarie veckoarbetstid (ignorera om veckan ej är slutrapporterad)")</f>
        <v/>
      </c>
      <c r="AD1" s="467"/>
      <c r="AE1" s="467"/>
      <c r="AF1" s="467"/>
      <c r="AG1" s="467"/>
      <c r="AH1" s="467"/>
      <c r="AI1" s="467"/>
      <c r="AJ1" s="467"/>
      <c r="AK1" s="467"/>
      <c r="AL1" s="467"/>
    </row>
    <row r="2" spans="1:38" ht="14.4" customHeight="1" thickBot="1" x14ac:dyDescent="0.35">
      <c r="A2" s="524" t="s">
        <v>7</v>
      </c>
      <c r="B2" s="525"/>
      <c r="C2" s="477"/>
      <c r="D2" s="478"/>
      <c r="E2" s="478"/>
      <c r="F2" s="479"/>
      <c r="G2" s="255">
        <f>LEN(C2)</f>
        <v>0</v>
      </c>
      <c r="H2" s="256"/>
      <c r="I2" s="458" t="s">
        <v>8</v>
      </c>
      <c r="J2" s="262" t="str">
        <f>IF(COUNTA(Utlägg!B8:C38)=0,"Nej","Ja")</f>
        <v>Nej</v>
      </c>
      <c r="K2" s="454"/>
      <c r="L2" s="498" t="s">
        <v>9</v>
      </c>
      <c r="M2" s="499"/>
      <c r="N2" s="499"/>
      <c r="O2" s="499"/>
      <c r="P2" s="500"/>
      <c r="Q2" s="454"/>
      <c r="R2" s="370" t="s">
        <v>10</v>
      </c>
      <c r="S2" s="371"/>
      <c r="T2" s="517">
        <f>IF(S3="",S2+V43,-S3+V43)</f>
        <v>0</v>
      </c>
      <c r="U2" s="454"/>
      <c r="V2" s="454"/>
      <c r="W2" s="454"/>
      <c r="X2" s="348" t="str">
        <f>IF(COUNTIF($AG$12:$AG$42,"X"),"Felkod B","")</f>
        <v/>
      </c>
      <c r="Y2" s="466" t="str">
        <f>IF(X2="","","Frånvaro + ev arbete överstiger normal arbetsdag")</f>
        <v/>
      </c>
      <c r="Z2" s="466"/>
      <c r="AA2" s="466"/>
      <c r="AB2" s="471"/>
      <c r="AC2" s="467"/>
      <c r="AD2" s="467"/>
      <c r="AE2" s="467"/>
      <c r="AF2" s="467"/>
      <c r="AG2" s="467"/>
      <c r="AH2" s="467"/>
      <c r="AI2" s="467"/>
      <c r="AJ2" s="467"/>
      <c r="AK2" s="467"/>
      <c r="AL2" s="467"/>
    </row>
    <row r="3" spans="1:38" ht="14.4" customHeight="1" x14ac:dyDescent="0.3">
      <c r="A3" s="519" t="s">
        <v>11</v>
      </c>
      <c r="B3" s="520"/>
      <c r="C3" s="495" t="str">
        <f>IF(VLOOKUP(C2,Grunddata!L2:N201,3,FALSE)=0,"",VLOOKUP(C2,Grunddata!L2:N201,3,FALSE))</f>
        <v/>
      </c>
      <c r="D3" s="496"/>
      <c r="E3" s="496"/>
      <c r="F3" s="497"/>
      <c r="H3" s="523" t="s">
        <v>12</v>
      </c>
      <c r="I3" s="523"/>
      <c r="J3" s="262" t="str">
        <f>IF(Bilersättning!J31=" ","Nej","Ja")</f>
        <v>Nej</v>
      </c>
      <c r="K3" s="454"/>
      <c r="L3" s="501"/>
      <c r="M3" s="502"/>
      <c r="N3" s="502"/>
      <c r="O3" s="502"/>
      <c r="P3" s="503"/>
      <c r="Q3" s="454"/>
      <c r="R3" s="368" t="s">
        <v>13</v>
      </c>
      <c r="S3" s="245"/>
      <c r="T3" s="518"/>
      <c r="U3" s="454"/>
      <c r="V3" s="454"/>
      <c r="W3" s="454"/>
      <c r="X3" s="348" t="str">
        <f>IF(COUNTIF($AH$12:$AH$42,"X"),"Felkod C","")</f>
        <v/>
      </c>
      <c r="Y3" s="466" t="str">
        <f>IF(X3="","","Semester kan ej kombineras med annat än sjukskrivning")</f>
        <v/>
      </c>
      <c r="Z3" s="466"/>
      <c r="AA3" s="466"/>
      <c r="AB3" s="466"/>
    </row>
    <row r="4" spans="1:38" ht="14.4" customHeight="1" thickBot="1" x14ac:dyDescent="0.35">
      <c r="A4" s="521" t="s">
        <v>14</v>
      </c>
      <c r="B4" s="522"/>
      <c r="C4" s="507">
        <f>A12</f>
        <v>42870</v>
      </c>
      <c r="D4" s="508"/>
      <c r="E4" s="508">
        <f>_xlfn.AGGREGATE(4,5,A12:A42)</f>
        <v>42900</v>
      </c>
      <c r="F4" s="509"/>
      <c r="G4" s="523" t="s">
        <v>15</v>
      </c>
      <c r="H4" s="523"/>
      <c r="I4" s="458" t="s">
        <v>16</v>
      </c>
      <c r="J4" s="263" t="str">
        <f>IF(COUNTA('Inrikes traktamente'!C9:C30)&gt;0,"Ja",IF(AND(COUNTA('Inrikes traktamente'!C9:C30)=0,COUNTA('Inrikes traktamente'!A9:A30)&gt;0),"Ja*","Nej"))</f>
        <v>Nej</v>
      </c>
      <c r="K4" s="454"/>
      <c r="L4" s="501"/>
      <c r="M4" s="502"/>
      <c r="N4" s="502"/>
      <c r="O4" s="502"/>
      <c r="P4" s="503"/>
      <c r="Q4" s="454"/>
      <c r="R4" s="368" t="s">
        <v>17</v>
      </c>
      <c r="S4" s="375"/>
      <c r="T4" s="369">
        <f>S4+S43-T43</f>
        <v>0</v>
      </c>
      <c r="U4" s="454"/>
      <c r="V4" s="454"/>
      <c r="W4" s="454"/>
      <c r="X4" s="348" t="str">
        <f>IF(COUNTIF($AI$12:$AI$42,"X"),"Felkod D","")</f>
        <v/>
      </c>
      <c r="Y4" s="475" t="str">
        <f>IF(X4="","",IF(X4="Felkod D","Komp/ATF kan ej tas ut på ledig dag"))</f>
        <v/>
      </c>
      <c r="Z4" s="475"/>
      <c r="AA4" s="347"/>
      <c r="AB4" s="347"/>
      <c r="AC4" s="347"/>
      <c r="AD4" s="347"/>
      <c r="AE4" s="347"/>
    </row>
    <row r="5" spans="1:38" ht="15.6" customHeight="1" thickBot="1" x14ac:dyDescent="0.35">
      <c r="A5" s="454"/>
      <c r="B5" s="454"/>
      <c r="C5" s="510"/>
      <c r="D5" s="510"/>
      <c r="E5" s="286"/>
      <c r="F5" s="256"/>
      <c r="G5" s="256"/>
      <c r="H5" s="256"/>
      <c r="I5" s="458" t="s">
        <v>18</v>
      </c>
      <c r="J5" s="263" t="str">
        <f>IF(COUNTA('Utrikes traktamente'!C9:C30)&gt;0,"Ja","Nej")</f>
        <v>Nej</v>
      </c>
      <c r="K5" s="454"/>
      <c r="L5" s="504"/>
      <c r="M5" s="505"/>
      <c r="N5" s="505"/>
      <c r="O5" s="505"/>
      <c r="P5" s="506"/>
      <c r="Q5" s="454"/>
      <c r="R5" s="422" t="s">
        <v>19</v>
      </c>
      <c r="S5" s="445"/>
      <c r="T5" s="424">
        <f>S5-U43</f>
        <v>0</v>
      </c>
      <c r="U5" s="454"/>
      <c r="V5" s="454"/>
      <c r="W5" s="454"/>
      <c r="X5" s="348" t="str">
        <f>IF(COUNTIF($AJ$12:$AJ$42,"X"),"Felkod E","")</f>
        <v/>
      </c>
      <c r="Y5" s="466" t="str">
        <f>IF(X5="Felkod E","Summerad frånvaro understiger normal arbetsdag","")</f>
        <v/>
      </c>
      <c r="Z5" s="466"/>
      <c r="AA5" s="346"/>
      <c r="AB5" s="83"/>
      <c r="AC5" s="83"/>
      <c r="AD5" s="83"/>
      <c r="AE5" s="83"/>
    </row>
    <row r="6" spans="1:38" ht="12.75" customHeight="1" x14ac:dyDescent="0.25">
      <c r="A6" s="513" t="str">
        <f>IF(D6="","","Timmar vid röd dag")</f>
        <v/>
      </c>
      <c r="B6" s="513"/>
      <c r="C6" s="513"/>
      <c r="D6" s="425" t="str">
        <f>IF(Grunddata!D34&gt;0,VLOOKUP(C2,Grunddata!L2:S174,8,FALSE),"")</f>
        <v/>
      </c>
      <c r="E6" s="430"/>
      <c r="F6" s="256"/>
      <c r="I6" s="454"/>
      <c r="J6" s="454"/>
      <c r="K6" s="454"/>
      <c r="L6" s="454"/>
      <c r="M6" s="454"/>
      <c r="N6" s="454"/>
      <c r="P6" s="454"/>
      <c r="Q6" s="454"/>
      <c r="R6" s="454"/>
      <c r="S6" s="454"/>
      <c r="T6" s="454"/>
      <c r="U6" s="454"/>
      <c r="V6" s="454"/>
      <c r="W6" s="454"/>
      <c r="X6" s="221" t="str">
        <f>IF(COUNTIF($AA$12:$AA$42,"! F"),"Felkod F","")</f>
        <v/>
      </c>
      <c r="Y6" s="475" t="str">
        <f>IF(X6="","",IF(X6="Felkod F","ATF måste kombineras med minst 4 timmars arbete"))</f>
        <v/>
      </c>
      <c r="Z6" s="475"/>
      <c r="AA6" s="475"/>
      <c r="AB6" s="475"/>
      <c r="AC6" s="475"/>
      <c r="AD6" s="475"/>
    </row>
    <row r="7" spans="1:38" ht="12.75" customHeight="1" x14ac:dyDescent="0.25">
      <c r="A7" s="453"/>
      <c r="D7" s="429"/>
      <c r="E7" s="383"/>
      <c r="F7" s="240"/>
      <c r="G7" s="487" t="s">
        <v>20</v>
      </c>
      <c r="H7" s="487"/>
      <c r="I7" s="487"/>
      <c r="J7" s="487"/>
      <c r="K7" s="487"/>
      <c r="L7" s="487"/>
      <c r="M7" s="487"/>
      <c r="N7" s="487"/>
      <c r="O7" s="487"/>
      <c r="P7" s="487"/>
      <c r="Q7" s="454"/>
      <c r="R7" s="454"/>
      <c r="S7" s="454"/>
      <c r="T7" s="454"/>
      <c r="U7" s="454"/>
      <c r="V7" s="454"/>
      <c r="W7" s="454"/>
      <c r="X7" s="454"/>
      <c r="Y7" s="453"/>
      <c r="Z7" s="83"/>
      <c r="AA7" s="83"/>
      <c r="AB7" s="83"/>
      <c r="AC7" s="83"/>
      <c r="AD7" s="83"/>
      <c r="AE7" s="83"/>
      <c r="AF7" s="83"/>
      <c r="AG7" s="83"/>
      <c r="AH7" s="83"/>
    </row>
    <row r="8" spans="1:38" ht="17.399999999999999" customHeight="1" thickBot="1" x14ac:dyDescent="0.3">
      <c r="A8" s="254"/>
      <c r="B8" s="254"/>
      <c r="C8" s="254"/>
      <c r="D8" s="254"/>
      <c r="E8" s="254"/>
      <c r="F8" s="254"/>
      <c r="G8" s="488"/>
      <c r="H8" s="488"/>
      <c r="I8" s="488"/>
      <c r="J8" s="488"/>
      <c r="K8" s="488"/>
      <c r="L8" s="488"/>
      <c r="M8" s="488"/>
      <c r="N8" s="488"/>
      <c r="O8" s="488"/>
      <c r="P8" s="488"/>
      <c r="Q8" s="376"/>
      <c r="R8" s="376"/>
      <c r="S8" s="454"/>
      <c r="T8" s="454"/>
      <c r="U8" s="454"/>
      <c r="V8" s="454"/>
      <c r="W8" s="454"/>
      <c r="X8" s="454"/>
      <c r="Y8" s="83"/>
      <c r="Z8" s="337"/>
      <c r="AA8" s="83"/>
      <c r="AB8" s="469" t="s">
        <v>21</v>
      </c>
      <c r="AC8" s="102"/>
    </row>
    <row r="9" spans="1:38" ht="30.6" customHeight="1" thickBot="1" x14ac:dyDescent="0.35">
      <c r="A9" s="91" t="s">
        <v>22</v>
      </c>
      <c r="B9" s="92"/>
      <c r="C9" s="480" t="s">
        <v>23</v>
      </c>
      <c r="D9" s="481"/>
      <c r="E9" s="481"/>
      <c r="F9" s="481"/>
      <c r="G9" s="481"/>
      <c r="H9" s="481"/>
      <c r="I9" s="481"/>
      <c r="J9" s="484"/>
      <c r="K9" s="480" t="s">
        <v>24</v>
      </c>
      <c r="L9" s="481"/>
      <c r="M9" s="481"/>
      <c r="N9" s="481"/>
      <c r="O9" s="481"/>
      <c r="P9" s="484"/>
      <c r="Q9" s="480" t="s">
        <v>25</v>
      </c>
      <c r="R9" s="481"/>
      <c r="S9" s="481"/>
      <c r="T9" s="481"/>
      <c r="U9" s="481"/>
      <c r="V9" s="481"/>
      <c r="W9" s="481"/>
      <c r="X9" s="377" t="s">
        <v>26</v>
      </c>
      <c r="Y9" s="453"/>
      <c r="AB9" s="470"/>
      <c r="AC9" s="102"/>
    </row>
    <row r="10" spans="1:38" ht="15.75" customHeight="1" x14ac:dyDescent="0.25">
      <c r="A10" s="527" t="s">
        <v>27</v>
      </c>
      <c r="B10" s="472" t="s">
        <v>28</v>
      </c>
      <c r="C10" s="515" t="s">
        <v>29</v>
      </c>
      <c r="D10" s="516"/>
      <c r="E10" s="220" t="s">
        <v>30</v>
      </c>
      <c r="F10" s="485" t="s">
        <v>31</v>
      </c>
      <c r="G10" s="485" t="s">
        <v>32</v>
      </c>
      <c r="H10" s="493" t="s">
        <v>33</v>
      </c>
      <c r="I10" s="485" t="s">
        <v>34</v>
      </c>
      <c r="J10" s="482" t="s">
        <v>35</v>
      </c>
      <c r="K10" s="84" t="s">
        <v>36</v>
      </c>
      <c r="L10" s="84" t="s">
        <v>37</v>
      </c>
      <c r="M10" s="84" t="s">
        <v>38</v>
      </c>
      <c r="N10" s="84" t="s">
        <v>39</v>
      </c>
      <c r="O10" s="144" t="s">
        <v>40</v>
      </c>
      <c r="P10" s="84" t="s">
        <v>41</v>
      </c>
      <c r="Q10" s="84" t="s">
        <v>42</v>
      </c>
      <c r="R10" s="489" t="s">
        <v>43</v>
      </c>
      <c r="S10" s="490"/>
      <c r="T10" s="526"/>
      <c r="U10" s="459" t="s">
        <v>19</v>
      </c>
      <c r="V10" s="489" t="s">
        <v>44</v>
      </c>
      <c r="W10" s="490"/>
      <c r="X10" s="260" t="s">
        <v>45</v>
      </c>
      <c r="Y10" s="455"/>
      <c r="Z10" s="339"/>
      <c r="AA10" s="67"/>
      <c r="AB10" s="457"/>
      <c r="AC10" s="67"/>
      <c r="AF10" s="474" t="str">
        <f>IF(COUNTIF(AF12:AJ42,"X")&gt;0,"Felkod","")</f>
        <v/>
      </c>
      <c r="AG10" s="474"/>
      <c r="AH10" s="474"/>
      <c r="AI10" s="474"/>
      <c r="AJ10" s="474"/>
    </row>
    <row r="11" spans="1:38" ht="30" customHeight="1" thickBot="1" x14ac:dyDescent="0.3">
      <c r="A11" s="528"/>
      <c r="B11" s="473"/>
      <c r="C11" s="199" t="s">
        <v>46</v>
      </c>
      <c r="D11" s="198" t="s">
        <v>47</v>
      </c>
      <c r="E11" s="197" t="s">
        <v>48</v>
      </c>
      <c r="F11" s="486" t="s">
        <v>31</v>
      </c>
      <c r="G11" s="486"/>
      <c r="H11" s="494"/>
      <c r="I11" s="486"/>
      <c r="J11" s="483"/>
      <c r="K11" s="73" t="s">
        <v>49</v>
      </c>
      <c r="L11" s="73" t="s">
        <v>50</v>
      </c>
      <c r="M11" s="73" t="s">
        <v>51</v>
      </c>
      <c r="N11" s="73" t="s">
        <v>52</v>
      </c>
      <c r="O11" s="73" t="s">
        <v>53</v>
      </c>
      <c r="P11" s="73" t="s">
        <v>54</v>
      </c>
      <c r="Q11" s="222" t="s">
        <v>55</v>
      </c>
      <c r="R11" s="196" t="s">
        <v>56</v>
      </c>
      <c r="S11" s="195" t="s">
        <v>57</v>
      </c>
      <c r="T11" s="355" t="s">
        <v>58</v>
      </c>
      <c r="U11" s="194" t="s">
        <v>59</v>
      </c>
      <c r="V11" s="197" t="s">
        <v>60</v>
      </c>
      <c r="W11" s="195" t="s">
        <v>61</v>
      </c>
      <c r="X11" s="252"/>
      <c r="Y11" s="378" t="s">
        <v>62</v>
      </c>
      <c r="Z11" s="356" t="s">
        <v>63</v>
      </c>
      <c r="AA11" s="454"/>
      <c r="AC11" s="2"/>
      <c r="AF11" s="3" t="str">
        <f>IF(COUNTIF(AF12:AF42,"X")&gt;0,"A","")</f>
        <v/>
      </c>
      <c r="AG11" s="3" t="str">
        <f>IF(COUNTIF(AG12:AG42,"X")&gt;0,"B","")</f>
        <v/>
      </c>
      <c r="AH11" s="3" t="str">
        <f>IF(COUNTIF(AH12:AH42,"X")&gt;0,"C","")</f>
        <v/>
      </c>
      <c r="AI11" s="3" t="str">
        <f>IF(COUNTIF(AI12:AI42,"X")&gt;0,"D","")</f>
        <v/>
      </c>
      <c r="AJ11" s="3" t="str">
        <f>IF(COUNTIF(AJ12:AJ42,"X")&gt;0,"E","")</f>
        <v/>
      </c>
    </row>
    <row r="12" spans="1:38" s="113" customFormat="1" ht="30" customHeight="1" x14ac:dyDescent="0.25">
      <c r="A12" s="266">
        <v>42870</v>
      </c>
      <c r="B12" s="267">
        <f t="shared" ref="B12:B42" si="0">A12</f>
        <v>42870</v>
      </c>
      <c r="C12" s="211"/>
      <c r="D12" s="211"/>
      <c r="E12" s="210"/>
      <c r="F12" s="384"/>
      <c r="G12" s="209"/>
      <c r="H12" s="447" t="str">
        <f t="shared" ref="H12:H17" si="1">IF(AND(D12="",E12=""),"",(D12-C12+E12-F12-G12))</f>
        <v/>
      </c>
      <c r="I12" s="381" t="str">
        <f>IF($J$1="Ja",IF(F12&gt;0,IF(AND(WEEKDAY(A12,2)&lt;6,COUNTIF(Grunddata!$A$14:$A$17,A12)=0,C12&gt;0),1,""),""),"")</f>
        <v/>
      </c>
      <c r="J12" s="207"/>
      <c r="K12" s="206"/>
      <c r="L12" s="210"/>
      <c r="M12" s="210"/>
      <c r="N12" s="210"/>
      <c r="O12" s="287"/>
      <c r="P12" s="288"/>
      <c r="Q12" s="203"/>
      <c r="R12" s="208"/>
      <c r="S12" s="204"/>
      <c r="T12" s="204"/>
      <c r="U12" s="204"/>
      <c r="V12" s="448" t="str">
        <f>IF(H12="","",IF(OR(WEEKDAY(A12,2)&gt;5,Z12="X",COUNTIF(Grunddata!$A$15:$A$31,A12)&gt;0),IF(H12-R12-S12=0,"",H12-R12-S12),IF(K12="",IF(H12+L12+M12+N12+P12-R12-S12+T12+U12=Grunddata!$C$1,"",IF(H12+L12+M12+N12+P12-R12-S12+T12-U12&gt;Grunddata!$C$1,H12+L12+M12+N12+P12-R12-S12+T12-U12-Grunddata!$C$1,"")),IF(H12+K12+L12+M12+N12+O12+P12-R12-S12+T12+U12=Grunddata!$C$1,"",IF(H12+K12+L12+M12+N12+P12-R12-S12+T12-U12&gt;Grunddata!$C$1,H12+K12+L12+M12+N12+P12-R12-S12+T12-U12-Grunddata!$C$1,"")))))</f>
        <v/>
      </c>
      <c r="W12" s="449" t="str">
        <f>IF(OR(AA12="!",O12&gt;0,H12="",V12&lt;&gt;"",WEEKDAY(A12,2)&gt;5,Z12="X",COUNTIF(Grunddata!$A$15:$A$31,A12)&gt;0),"",IF(K12="",IF(H12+L12+M12+N12+P12-R12-S12+T12+U12=Grunddata!$C$1,"",H12+L12+M12+N12+P12-R12-S12+T12+U12-Grunddata!$C$1),IF(H12+K12+L12+M12+N12+P12-R12-S12+T12+U12=Grunddata!$C$1,"",H12+K12+L12+M12+N12+O12+P12-R12-S12+T12+U12-Grunddata!$C$1)))</f>
        <v/>
      </c>
      <c r="X12" s="202" t="str">
        <f>IF(AND(WEEKDAY(A12,2)&lt;6,COUNTIF(Grunddata!$A$15:$A$31,A12)&gt;0,Z12=""),$D$6,IF(OR(H12="",Z12="X"),"",IF(V12="",IF(W12="",H12-R12-S12,H12-R12-S12-W12),H12-R12-S12-V12)))</f>
        <v/>
      </c>
      <c r="Y12" s="343"/>
      <c r="Z12" s="357" t="str">
        <f>IF(OR(WEEKDAY(A12,2)=VLOOKUP($C$2,Grunddata!$L$2:$W$174,9,FALSE),WEEKDAY(A12,2)=VLOOKUP($C$2,Grunddata!$L$2:$W$174,10,FALSE),WEEKDAY(A12,2)=VLOOKUP($C$2,Grunddata!$L$2:$W$174,11,FALSE),WEEKDAY(A12,2)=VLOOKUP($C$2,Grunddata!$L$2:$W$174,12,FALSE)),"X","")</f>
        <v/>
      </c>
      <c r="AA12" s="200" t="str">
        <f>IF(OR(AF12&lt;&gt;"",AG12&lt;&gt;"",AH12&lt;&gt;"",AI12&lt;&gt;"",AJ12&lt;&gt;""),"!","")</f>
        <v/>
      </c>
      <c r="AB12" s="97">
        <f>IF(WEEKDAY(A12,2)=7,SUM(X4:X12)+SUM(K6:K12)+SUM(L6:L12)+SUM(N6:N12)+COUNT(O6:O12)*Grunddata!$C$1+SUM(P6:P12)+SUM(R6:R12)+SUM(S6:S12)+SUM(T6:T12)+SUM(U6:U12)+SUM(V6:V12)+SUM(W6:W12),"")</f>
        <v>0</v>
      </c>
      <c r="AC12" s="113" t="str">
        <f>IF(AND(WEEKDAY(A12,2)=7,SUM(R6:S12)&gt;0),IF(AB12-SUM(R6:S12)&lt;Grunddata!$C$2,"! G",""),"")</f>
        <v/>
      </c>
      <c r="AE12" s="349" t="str">
        <f>IF(AB12="","",IF(AB12&gt;Grunddata!$J$1,"Över",""))</f>
        <v/>
      </c>
      <c r="AF12" s="3" t="str">
        <f t="shared" ref="AF12:AF13" si="2">IF(H12="",IF(COUNTA(R12:S12)=0,"","X"),IF(H12&lt;R12+S12,"X",""))</f>
        <v/>
      </c>
      <c r="AG12" s="353" t="str">
        <f>IF(AND(OR(COUNTA(H12,L12:P12,T12)&gt;1,AND(COUNTA(H12,L12:P12,T12)&gt;=1,K12&lt;&gt;"")),SUM(H12,K12,L12:N12,P12,T12:U12)&gt;Grunddata!$C$1),"X","")</f>
        <v/>
      </c>
      <c r="AH12" s="353" t="str">
        <f t="shared" ref="AH12:AH13" si="3">IF(AND(O12&lt;&gt;"",OR(H12&lt;&gt;"",L12&lt;&gt;"",M12&lt;&gt;"",N12&lt;&gt;"",P12&lt;&gt;"",R12&lt;&gt;"",S12&lt;&gt;"",T12&lt;&gt;"",U12&lt;&gt;"")),"X","")</f>
        <v/>
      </c>
      <c r="AI12" s="353" t="str">
        <f t="shared" ref="AI12:AI17" si="4">IF(AND(OR(WEEKDAY(A12,2)&gt;5,Z12="X"),OR(U12&lt;&gt;"",T12&lt;&gt;"")),"X","")</f>
        <v/>
      </c>
      <c r="AJ12" s="353" t="str">
        <f>IF(AND(WEEKDAY(A12,2)&lt;6,H12="",O12="",SUM(K12:N12,P12,T12:U12)&gt;0,SUM(K12:N12,P12,T12:U12)&lt;Grunddata!$C$1),"X","")</f>
        <v/>
      </c>
    </row>
    <row r="13" spans="1:38" s="113" customFormat="1" ht="30" customHeight="1" x14ac:dyDescent="0.25">
      <c r="A13" s="266">
        <v>42871</v>
      </c>
      <c r="B13" s="267">
        <f t="shared" si="0"/>
        <v>42871</v>
      </c>
      <c r="C13" s="211"/>
      <c r="D13" s="211"/>
      <c r="E13" s="210"/>
      <c r="F13" s="210"/>
      <c r="G13" s="209"/>
      <c r="H13" s="447" t="str">
        <f t="shared" si="1"/>
        <v/>
      </c>
      <c r="I13" s="381" t="str">
        <f>IF($J$1="Ja",IF(F13&gt;0,IF(AND(WEEKDAY(A13,2)&lt;6,COUNTIF(Grunddata!$A$14:$A$17,A13)=0,C13&gt;0),1,""),""),"")</f>
        <v/>
      </c>
      <c r="J13" s="207"/>
      <c r="K13" s="206"/>
      <c r="L13" s="210"/>
      <c r="M13" s="210"/>
      <c r="N13" s="210"/>
      <c r="O13" s="287"/>
      <c r="P13" s="204"/>
      <c r="Q13" s="203"/>
      <c r="R13" s="208"/>
      <c r="S13" s="204"/>
      <c r="T13" s="204"/>
      <c r="U13" s="204"/>
      <c r="V13" s="448" t="str">
        <f>IF(H13="","",IF(OR(WEEKDAY(A13,2)&gt;5,Z13="X",COUNTIF(Grunddata!$A$15:$A$31,A13)&gt;0),IF(H13-R13-S13=0,"",H13-R13-S13),IF(K13="",IF(H13+L13+M13+N13+P13-R13-S13+T13+U13=Grunddata!$C$1,"",IF(H13+L13+M13+N13+P13-R13-S13+T13-U13&gt;Grunddata!$C$1,H13+L13+M13+N13+P13-R13-S13+T13-U13-Grunddata!$C$1,"")),IF(H13+K13+L13+M13+N13+O13+P13-R13-S13+T13+U13=Grunddata!$C$1,"",IF(H13+K13+L13+M13+N13+P13-R13-S13+T13-U13&gt;Grunddata!$C$1,H13+K13+L13+M13+N13+P13-R13-S13+T13-U13-Grunddata!$C$1,"")))))</f>
        <v/>
      </c>
      <c r="W13" s="449" t="str">
        <f>IF(OR(AA13="!",O13&gt;0,H13="",V13&lt;&gt;"",WEEKDAY(A13,2)&gt;5,Z13="X",COUNTIF(Grunddata!$A$15:$A$31,A13)&gt;0),"",IF(K13="",IF(H13+L13+M13+N13+P13-R13-S13+T13+U13=Grunddata!$C$1,"",H13+L13+M13+N13+P13-R13-S13+T13+U13-Grunddata!$C$1),IF(H13+K13+L13+M13+N13+P13-R13-S13+T13+U13=Grunddata!$C$1,"",H13+K13+L13+M13+N13+O13+P13-R13-S13+T13+U13-Grunddata!$C$1)))</f>
        <v/>
      </c>
      <c r="X13" s="202" t="str">
        <f>IF(AND(WEEKDAY(A13,2)&lt;6,COUNTIF(Grunddata!$A$15:$A$31,A13)&gt;0,Z13=""),$D$6,IF(OR(H13="",Z13="X"),"",IF(V13="",IF(W13="",H13-R13-S13,H13-R13-S13-W13),H13-R13-S13-V13)))</f>
        <v/>
      </c>
      <c r="Y13" s="343"/>
      <c r="Z13" s="357" t="str">
        <f>IF(OR(WEEKDAY(A13,2)=VLOOKUP($C$2,Grunddata!$L$2:$W$174,9,FALSE),WEEKDAY(A13,2)=VLOOKUP($C$2,Grunddata!$L$2:$W$174,10,FALSE),WEEKDAY(A13,2)=VLOOKUP($C$2,Grunddata!$L$2:$W$174,11,FALSE),WEEKDAY(A13,2)=VLOOKUP($C$2,Grunddata!$L$2:$W$174,12,FALSE)),"X","")</f>
        <v/>
      </c>
      <c r="AA13" s="200" t="str">
        <f t="shared" ref="AA13:AA42" si="5">IF(OR(AF13&lt;&gt;"",AG13&lt;&gt;"",AH13&lt;&gt;"",AI13&lt;&gt;"",AJ13&lt;&gt;""),"!","")</f>
        <v/>
      </c>
      <c r="AB13" s="97" t="str">
        <f>IF(WEEKDAY(A13,2)=7,SUM(X5:X13)+SUM(K7:K13)+SUM(L7:L13)+SUM(N7:N13)+COUNT(O7:O13)*Grunddata!$C$1+SUM(P7:P13)+SUM(R7:R13)+SUM(S7:S13)+SUM(T7:T13)+SUM(U7:U13)+SUM(V7:V13)+SUM(W7:W13),"")</f>
        <v/>
      </c>
      <c r="AC13" s="113" t="str">
        <f>IF(AND(WEEKDAY(A13,2)=7,SUM(R7:S13)&gt;0),IF(AB13-SUM(R7:S13)&lt;Grunddata!$C$2,"! G",""),"")</f>
        <v/>
      </c>
      <c r="AE13" s="349" t="str">
        <f>IF(AB13="","",IF(AB13&gt;Grunddata!$J$1,"Över",""))</f>
        <v/>
      </c>
      <c r="AF13" s="3" t="str">
        <f t="shared" si="2"/>
        <v/>
      </c>
      <c r="AG13" s="353" t="str">
        <f>IF(AND(OR(COUNTA(H13,L13:P13,T13)&gt;1,AND(COUNTA(H13,L13:P13,T13)&gt;=1,K13&lt;&gt;"")),SUM(H13,K13,L13:N13,P13,T13:U13)&gt;Grunddata!$C$1),"X","")</f>
        <v/>
      </c>
      <c r="AH13" s="353" t="str">
        <f t="shared" si="3"/>
        <v/>
      </c>
      <c r="AI13" s="353" t="str">
        <f t="shared" si="4"/>
        <v/>
      </c>
      <c r="AJ13" s="353" t="str">
        <f>IF(AND(WEEKDAY(A13,2)&lt;6,H13="",O13="",SUM(K13:N13,P13,T13:U13)&gt;0,SUM(K13:N13,P13,T13:U13)&lt;Grunddata!$C$1),"X","")</f>
        <v/>
      </c>
    </row>
    <row r="14" spans="1:38" s="113" customFormat="1" ht="30" customHeight="1" x14ac:dyDescent="0.25">
      <c r="A14" s="266">
        <v>42872</v>
      </c>
      <c r="B14" s="267">
        <f t="shared" si="0"/>
        <v>42872</v>
      </c>
      <c r="C14" s="151"/>
      <c r="D14" s="151"/>
      <c r="E14" s="152"/>
      <c r="F14" s="152"/>
      <c r="G14" s="153"/>
      <c r="H14" s="154" t="str">
        <f t="shared" si="1"/>
        <v/>
      </c>
      <c r="I14" s="381" t="str">
        <f>IF($J$1="Ja",IF(F14&gt;0,IF(AND(WEEKDAY(A14,2)&lt;6,COUNTIF(Grunddata!$A$14:$A$17,A14)=0,C14&gt;0),1,""),""),"")</f>
        <v/>
      </c>
      <c r="J14" s="156"/>
      <c r="K14" s="206" t="str">
        <f t="shared" ref="K14:K23" si="6">IF(WEEKDAY(A14,2)=6,IF(AND(K13&lt;&gt;"",K16&lt;&gt;""),"00:00",""),IF(WEEKDAY(A14,2)=7,IF(AND(K12&lt;&gt;"",K15&lt;&gt;""),"00:00",""),""))</f>
        <v/>
      </c>
      <c r="L14" s="210"/>
      <c r="M14" s="210"/>
      <c r="N14" s="152"/>
      <c r="O14" s="287"/>
      <c r="P14" s="159"/>
      <c r="Q14" s="160"/>
      <c r="R14" s="155"/>
      <c r="S14" s="159"/>
      <c r="T14" s="159"/>
      <c r="U14" s="159"/>
      <c r="V14" s="448" t="str">
        <f>IF(H14="","",IF(OR(WEEKDAY(A14,2)&gt;5,Z14="X",COUNTIF(Grunddata!$A$15:$A$31,A14)&gt;0),IF(H14-R14-S14=0,"",H14-R14-S14),IF(K14="",IF(H14+L14+M14+N14+P14-R14-S14+T14+U14=Grunddata!$C$1,"",IF(H14+L14+M14+N14+P14-R14-S14+T14-U14&gt;Grunddata!$C$1,H14+L14+M14+N14+P14-R14-S14+T14-U14-Grunddata!$C$1,"")),IF(H14+K14+L14+M14+N14+O14+P14-R14-S14+T14+U14=Grunddata!$C$1,"",IF(H14+K14+L14+M14+N14+P14-R14-S14+T14-U14&gt;Grunddata!$C$1,H14+K14+L14+M14+N14+P14-R14-S14+T14-U14-Grunddata!$C$1,"")))))</f>
        <v/>
      </c>
      <c r="W14" s="449" t="str">
        <f>IF(OR(AA14="!",O14&gt;0,H14="",V14&lt;&gt;"",WEEKDAY(A14,2)&gt;5,Z14="X",COUNTIF(Grunddata!$A$15:$A$31,A14)&gt;0),"",IF(K14="",IF(H14+L14+M14+N14+P14-R14-S14+T14+U14=Grunddata!$C$1,"",H14+L14+M14+N14+P14-R14-S14+T14+U14-Grunddata!$C$1),IF(H14+K14+L14+M14+N14+P14-R14-S14+T14+U14=Grunddata!$C$1,"",H14+K14+L14+M14+N14+O14+P14-R14-S14+T14+U14-Grunddata!$C$1)))</f>
        <v/>
      </c>
      <c r="X14" s="202" t="str">
        <f>IF(AND(WEEKDAY(A14,2)&lt;6,COUNTIF(Grunddata!$A$15:$A$31,A14)&gt;0,Z14=""),$D$6,IF(OR(H14="",Z14="X"),"",IF(V14="",IF(W14="",H14-R14-S14,H14-R14-S14-W14),H14-R14-S14-V14)))</f>
        <v/>
      </c>
      <c r="Y14" s="166"/>
      <c r="Z14" s="357" t="str">
        <f>IF(OR(WEEKDAY(A14,2)=VLOOKUP($C$2,Grunddata!$L$2:$W$174,9,FALSE),WEEKDAY(A14,2)=VLOOKUP($C$2,Grunddata!$L$2:$W$174,10,FALSE),WEEKDAY(A14,2)=VLOOKUP($C$2,Grunddata!$L$2:$W$174,11,FALSE),WEEKDAY(A14,2)=VLOOKUP($C$2,Grunddata!$L$2:$W$174,12,FALSE)),"X","")</f>
        <v/>
      </c>
      <c r="AA14" s="200" t="str">
        <f t="shared" si="5"/>
        <v/>
      </c>
      <c r="AB14" s="97" t="str">
        <f>IF(WEEKDAY(A14,2)=7,SUM(X6:X14)+SUM(K8:K14)+SUM(L8:L14)+SUM(N8:N14)+COUNT(O8:O14)*Grunddata!$C$1+SUM(P8:P14)+SUM(R8:R14)+SUM(S8:S14)+SUM(T8:T14)+SUM(U8:U14)+SUM(V8:V14)+SUM(W8:W14),"")</f>
        <v/>
      </c>
      <c r="AC14" s="113" t="str">
        <f>IF(AND(WEEKDAY(A14,2)=7,SUM(R8:S14)&gt;0),IF(AB14-SUM(R8:S14)&lt;Grunddata!$C$2,"! G",""),"")</f>
        <v/>
      </c>
      <c r="AE14" s="349" t="str">
        <f>IF(AB14="","",IF(AB14&gt;Grunddata!$J$1,"Över",""))</f>
        <v/>
      </c>
      <c r="AF14" s="3" t="str">
        <f>IF(H14="",IF(COUNTA(R14:S14)=0,"","X"),IF(H14&lt;R14+S14,"X",""))</f>
        <v/>
      </c>
      <c r="AG14" s="353" t="str">
        <f>IF(AND(OR(COUNTA(H14,L14:P14,T14)&gt;1,AND(COUNTA(H14,L14:P14,T14)&gt;=1,K14&lt;&gt;"")),SUM(H14,K14,L14:N14,P14,T14:U14)&gt;Grunddata!$C$1),"X","")</f>
        <v/>
      </c>
      <c r="AH14" s="353" t="str">
        <f>IF(AND(O14&lt;&gt;"",OR(H14&lt;&gt;"",L14&lt;&gt;"",M14&lt;&gt;"",N14&lt;&gt;"",P14&lt;&gt;"",R14&lt;&gt;"",S14&lt;&gt;"",T14&lt;&gt;"",U14&lt;&gt;"")),"X","")</f>
        <v/>
      </c>
      <c r="AI14" s="353" t="str">
        <f t="shared" si="4"/>
        <v/>
      </c>
      <c r="AJ14" s="353" t="str">
        <f>IF(AND(WEEKDAY(A14,2)&lt;6,H14="",O14="",SUM(K14:N14,P14,T14:U14)&gt;0,SUM(K14:N14,P14,T14:U14)&lt;Grunddata!$C$1),"X","")</f>
        <v/>
      </c>
    </row>
    <row r="15" spans="1:38" s="113" customFormat="1" ht="30" customHeight="1" x14ac:dyDescent="0.25">
      <c r="A15" s="266">
        <v>42873</v>
      </c>
      <c r="B15" s="267">
        <f t="shared" si="0"/>
        <v>42873</v>
      </c>
      <c r="C15" s="151"/>
      <c r="D15" s="151"/>
      <c r="E15" s="152"/>
      <c r="F15" s="152"/>
      <c r="G15" s="153"/>
      <c r="H15" s="154" t="str">
        <f t="shared" si="1"/>
        <v/>
      </c>
      <c r="I15" s="381" t="str">
        <f>IF($J$1="Ja",IF(F15&gt;0,IF(AND(WEEKDAY(A15,2)&lt;6,COUNTIF(Grunddata!$A$14:$A$17,A15)=0,C15&gt;0),1,""),""),"")</f>
        <v/>
      </c>
      <c r="J15" s="156"/>
      <c r="K15" s="206" t="str">
        <f t="shared" si="6"/>
        <v/>
      </c>
      <c r="L15" s="210"/>
      <c r="M15" s="210"/>
      <c r="N15" s="152"/>
      <c r="O15" s="287"/>
      <c r="P15" s="159"/>
      <c r="Q15" s="160"/>
      <c r="R15" s="155"/>
      <c r="S15" s="159"/>
      <c r="T15" s="159"/>
      <c r="U15" s="159"/>
      <c r="V15" s="448" t="str">
        <f>IF(H15="","",IF(OR(WEEKDAY(A15,2)&gt;5,Z15="X",COUNTIF(Grunddata!$A$15:$A$31,A15)&gt;0),IF(H15-R15-S15=0,"",H15-R15-S15),IF(K15="",IF(H15+L15+M15+N15+P15-R15-S15+T15+U15=Grunddata!$C$1,"",IF(H15+L15+M15+N15+P15-R15-S15+T15-U15&gt;Grunddata!$C$1,H15+L15+M15+N15+P15-R15-S15+T15-U15-Grunddata!$C$1,"")),IF(H15+K15+L15+M15+N15+O15+P15-R15-S15+T15+U15=Grunddata!$C$1,"",IF(H15+K15+L15+M15+N15+P15-R15-S15+T15-U15&gt;Grunddata!$C$1,H15+K15+L15+M15+N15+P15-R15-S15+T15-U15-Grunddata!$C$1,"")))))</f>
        <v/>
      </c>
      <c r="W15" s="449" t="str">
        <f>IF(OR(AA15="!",O15&gt;0,H15="",V15&lt;&gt;"",WEEKDAY(A15,2)&gt;5,Z15="X",COUNTIF(Grunddata!$A$15:$A$31,A15)&gt;0),"",IF(K15="",IF(H15+L15+M15+N15+P15-R15-S15+T15+U15=Grunddata!$C$1,"",H15+L15+M15+N15+P15-R15-S15+T15+U15-Grunddata!$C$1),IF(H15+K15+L15+M15+N15+P15-R15-S15+T15+U15=Grunddata!$C$1,"",H15+K15+L15+M15+N15+O15+P15-R15-S15+T15+U15-Grunddata!$C$1)))</f>
        <v/>
      </c>
      <c r="X15" s="202" t="str">
        <f>IF(AND(WEEKDAY(A15,2)&lt;6,COUNTIF(Grunddata!$A$15:$A$31,A15)&gt;0,Z15=""),$D$6,IF(OR(H15="",Z15="X"),"",IF(V15="",IF(W15="",H15-R15-S15,H15-R15-S15-W15),H15-R15-S15-V15)))</f>
        <v/>
      </c>
      <c r="Y15" s="166"/>
      <c r="Z15" s="357" t="str">
        <f>IF(OR(WEEKDAY(A15,2)=VLOOKUP($C$2,Grunddata!$L$2:$W$174,9,FALSE),WEEKDAY(A15,2)=VLOOKUP($C$2,Grunddata!$L$2:$W$174,10,FALSE),WEEKDAY(A15,2)=VLOOKUP($C$2,Grunddata!$L$2:$W$174,11,FALSE),WEEKDAY(A15,2)=VLOOKUP($C$2,Grunddata!$L$2:$W$174,12,FALSE)),"X","")</f>
        <v/>
      </c>
      <c r="AA15" s="200" t="str">
        <f t="shared" si="5"/>
        <v/>
      </c>
      <c r="AB15" s="97" t="str">
        <f>IF(WEEKDAY(A15,2)=7,SUM(X7:X15)+SUM(K9:K15)+SUM(L9:L15)+SUM(N9:N15)+COUNT(O9:O15)*Grunddata!$C$1+SUM(P9:P15)+SUM(R9:R15)+SUM(S9:S15)+SUM(T9:T15)+SUM(U9:U15)+SUM(V9:V15)+SUM(W9:W15),"")</f>
        <v/>
      </c>
      <c r="AC15" s="113" t="str">
        <f>IF(AND(WEEKDAY(A15,2)=7,SUM(R9:S15)&gt;0),IF(AB15-SUM(R9:S15)&lt;Grunddata!$C$2,"! G",""),"")</f>
        <v/>
      </c>
      <c r="AE15" s="349" t="str">
        <f>IF(AB15="","",IF(AB15&gt;Grunddata!$J$1,"Över",""))</f>
        <v/>
      </c>
      <c r="AF15" s="3" t="str">
        <f t="shared" ref="AF15:AF42" si="7">IF(H15="",IF(COUNTA(R15:S15)=0,"","X"),IF(H15&lt;R15+S15,"X",""))</f>
        <v/>
      </c>
      <c r="AG15" s="353" t="str">
        <f>IF(AND(OR(COUNTA(H15,L15:P15,T15)&gt;1,AND(COUNTA(H15,L15:P15,T15)&gt;=1,K15&lt;&gt;"")),SUM(H15,K15,L15:N15,P15,T15:U15)&gt;Grunddata!$C$1),"X","")</f>
        <v/>
      </c>
      <c r="AH15" s="353" t="str">
        <f t="shared" ref="AH15:AH18" si="8">IF(AND(O15&lt;&gt;"",OR(H15&lt;&gt;"",L15&lt;&gt;"",M15&lt;&gt;"",N15&lt;&gt;"",P15&lt;&gt;"",R15&lt;&gt;"",S15&lt;&gt;"",T15&lt;&gt;"",U15&lt;&gt;"")),"X","")</f>
        <v/>
      </c>
      <c r="AI15" s="353" t="str">
        <f t="shared" si="4"/>
        <v/>
      </c>
      <c r="AJ15" s="353" t="str">
        <f>IF(AND(WEEKDAY(A15,2)&lt;6,H15="",O15="",SUM(K15:N15,P15,T15:U15)&gt;0,SUM(K15:N15,P15,T15:U15)&lt;Grunddata!$C$1),"X","")</f>
        <v/>
      </c>
    </row>
    <row r="16" spans="1:38" s="113" customFormat="1" ht="30" customHeight="1" x14ac:dyDescent="0.25">
      <c r="A16" s="266">
        <v>42874</v>
      </c>
      <c r="B16" s="267">
        <f t="shared" si="0"/>
        <v>42874</v>
      </c>
      <c r="C16" s="151"/>
      <c r="D16" s="151"/>
      <c r="E16" s="152"/>
      <c r="F16" s="152"/>
      <c r="G16" s="153"/>
      <c r="H16" s="154" t="str">
        <f t="shared" si="1"/>
        <v/>
      </c>
      <c r="I16" s="381" t="str">
        <f>IF($J$1="Ja",IF(F16&gt;0,IF(AND(WEEKDAY(A16,2)&lt;6,COUNTIF(Grunddata!$A$14:$A$17,A16)=0,C16&gt;0),1,""),""),"")</f>
        <v/>
      </c>
      <c r="J16" s="156"/>
      <c r="K16" s="206" t="str">
        <f t="shared" si="6"/>
        <v/>
      </c>
      <c r="L16" s="210"/>
      <c r="M16" s="210"/>
      <c r="N16" s="152"/>
      <c r="O16" s="287"/>
      <c r="P16" s="159"/>
      <c r="Q16" s="160"/>
      <c r="R16" s="155"/>
      <c r="S16" s="159"/>
      <c r="T16" s="159"/>
      <c r="U16" s="159"/>
      <c r="V16" s="448" t="str">
        <f>IF(H16="","",IF(OR(WEEKDAY(A16,2)&gt;5,Z16="X",COUNTIF(Grunddata!$A$15:$A$31,A16)&gt;0),IF(H16-R16-S16=0,"",H16-R16-S16),IF(K16="",IF(H16+L16+M16+N16+P16-R16-S16+T16+U16=Grunddata!$C$1,"",IF(H16+L16+M16+N16+P16-R16-S16+T16-U16&gt;Grunddata!$C$1,H16+L16+M16+N16+P16-R16-S16+T16-U16-Grunddata!$C$1,"")),IF(H16+K16+L16+M16+N16+O16+P16-R16-S16+T16+U16=Grunddata!$C$1,"",IF(H16+K16+L16+M16+N16+P16-R16-S16+T16-U16&gt;Grunddata!$C$1,H16+K16+L16+M16+N16+P16-R16-S16+T16-U16-Grunddata!$C$1,"")))))</f>
        <v/>
      </c>
      <c r="W16" s="449" t="str">
        <f>IF(OR(AA16="!",O16&gt;0,H16="",V16&lt;&gt;"",WEEKDAY(A16,2)&gt;5,Z16="X",COUNTIF(Grunddata!$A$15:$A$31,A16)&gt;0),"",IF(K16="",IF(H16+L16+M16+N16+P16-R16-S16+T16+U16=Grunddata!$C$1,"",H16+L16+M16+N16+P16-R16-S16+T16+U16-Grunddata!$C$1),IF(H16+K16+L16+M16+N16+P16-R16-S16+T16+U16=Grunddata!$C$1,"",H16+K16+L16+M16+N16+O16+P16-R16-S16+T16+U16-Grunddata!$C$1)))</f>
        <v/>
      </c>
      <c r="X16" s="202" t="str">
        <f>IF(AND(WEEKDAY(A16,2)&lt;6,COUNTIF(Grunddata!$A$15:$A$31,A16)&gt;0,Z16=""),$D$6,IF(OR(H16="",Z16="X"),"",IF(V16="",IF(W16="",H16-R16-S16,H16-R16-S16-W16),H16-R16-S16-V16)))</f>
        <v/>
      </c>
      <c r="Y16" s="166"/>
      <c r="Z16" s="357" t="str">
        <f>IF(OR(WEEKDAY(A16,2)=VLOOKUP($C$2,Grunddata!$L$2:$W$174,9,FALSE),WEEKDAY(A16,2)=VLOOKUP($C$2,Grunddata!$L$2:$W$174,10,FALSE),WEEKDAY(A16,2)=VLOOKUP($C$2,Grunddata!$L$2:$W$174,11,FALSE),WEEKDAY(A16,2)=VLOOKUP($C$2,Grunddata!$L$2:$W$174,12,FALSE)),"X","")</f>
        <v/>
      </c>
      <c r="AA16" s="200" t="str">
        <f t="shared" si="5"/>
        <v/>
      </c>
      <c r="AB16" s="97" t="str">
        <f>IF(WEEKDAY(A16,2)=7,SUM(X8:X16)+SUM(K10:K16)+SUM(L10:L16)+SUM(N10:N16)+COUNT(O10:O16)*Grunddata!$C$1+SUM(P10:P16)+SUM(R10:R16)+SUM(S10:S16)+SUM(T10:T16)+SUM(U10:U16)+SUM(V10:V16)+SUM(W10:W16),"")</f>
        <v/>
      </c>
      <c r="AC16" s="113" t="str">
        <f>IF(AND(WEEKDAY(A16,2)=7,SUM(R10:S16)&gt;0),IF(AB16-SUM(R10:S16)&lt;Grunddata!$C$2,"! G",""),"")</f>
        <v/>
      </c>
      <c r="AD16" s="167"/>
      <c r="AE16" s="349" t="str">
        <f>IF(AB16="","",IF(AB16&gt;Grunddata!$J$1,"Över",""))</f>
        <v/>
      </c>
      <c r="AF16" s="3" t="str">
        <f t="shared" si="7"/>
        <v/>
      </c>
      <c r="AG16" s="353" t="str">
        <f>IF(AND(OR(COUNTA(H16,L16:P16,T16)&gt;1,AND(COUNTA(H16,L16:P16,T16)&gt;=1,K16&lt;&gt;"")),SUM(H16,K16,L16:N16,P16,T16:U16)&gt;Grunddata!$C$1),"X","")</f>
        <v/>
      </c>
      <c r="AH16" s="353" t="str">
        <f t="shared" si="8"/>
        <v/>
      </c>
      <c r="AI16" s="353" t="str">
        <f t="shared" si="4"/>
        <v/>
      </c>
      <c r="AJ16" s="353" t="str">
        <f>IF(AND(WEEKDAY(A16,2)&lt;6,H16="",O16="",SUM(K16:N16,P16,T16:U16)&gt;0,SUM(K16:N16,P16,T16:U16)&lt;Grunddata!$C$1),"X","")</f>
        <v/>
      </c>
    </row>
    <row r="17" spans="1:36" s="113" customFormat="1" ht="30" customHeight="1" x14ac:dyDescent="0.25">
      <c r="A17" s="266">
        <v>42875</v>
      </c>
      <c r="B17" s="267">
        <f t="shared" si="0"/>
        <v>42875</v>
      </c>
      <c r="C17" s="151"/>
      <c r="D17" s="151"/>
      <c r="E17" s="152"/>
      <c r="F17" s="152"/>
      <c r="G17" s="153"/>
      <c r="H17" s="154" t="str">
        <f t="shared" si="1"/>
        <v/>
      </c>
      <c r="I17" s="381" t="str">
        <f>IF($J$1="Ja",IF(F17&gt;0,IF(AND(WEEKDAY(A17,2)&lt;6,COUNTIF(Grunddata!$A$14:$A$17,A17)=0,C17&gt;0),1,""),""),"")</f>
        <v/>
      </c>
      <c r="J17" s="156"/>
      <c r="K17" s="206" t="str">
        <f t="shared" si="6"/>
        <v/>
      </c>
      <c r="L17" s="210"/>
      <c r="M17" s="210"/>
      <c r="N17" s="152"/>
      <c r="O17" s="287"/>
      <c r="P17" s="159"/>
      <c r="Q17" s="160"/>
      <c r="R17" s="155"/>
      <c r="S17" s="159"/>
      <c r="T17" s="159"/>
      <c r="U17" s="159"/>
      <c r="V17" s="448" t="str">
        <f>IF(H17="","",IF(OR(WEEKDAY(A17,2)&gt;5,Z17="X",COUNTIF(Grunddata!$A$15:$A$31,A17)&gt;0),IF(H17-R17-S17=0,"",H17-R17-S17),IF(K17="",IF(H17+L17+M17+N17+P17-R17-S17+T17+U17=Grunddata!$C$1,"",IF(H17+L17+M17+N17+P17-R17-S17+T17-U17&gt;Grunddata!$C$1,H17+L17+M17+N17+P17-R17-S17+T17-U17-Grunddata!$C$1,"")),IF(H17+K17+L17+M17+N17+O17+P17-R17-S17+T17+U17=Grunddata!$C$1,"",IF(H17+K17+L17+M17+N17+P17-R17-S17+T17-U17&gt;Grunddata!$C$1,H17+K17+L17+M17+N17+P17-R17-S17+T17-U17-Grunddata!$C$1,"")))))</f>
        <v/>
      </c>
      <c r="W17" s="449" t="str">
        <f>IF(OR(AA17="!",O17&gt;0,H17="",V17&lt;&gt;"",WEEKDAY(A17,2)&gt;5,Z17="X",COUNTIF(Grunddata!$A$15:$A$31,A17)&gt;0),"",IF(K17="",IF(H17+L17+M17+N17+P17-R17-S17+T17+U17=Grunddata!$C$1,"",H17+L17+M17+N17+P17-R17-S17+T17+U17-Grunddata!$C$1),IF(H17+K17+L17+M17+N17+P17-R17-S17+T17+U17=Grunddata!$C$1,"",H17+K17+L17+M17+N17+O17+P17-R17-S17+T17+U17-Grunddata!$C$1)))</f>
        <v/>
      </c>
      <c r="X17" s="202" t="str">
        <f>IF(AND(WEEKDAY(A17,2)&lt;6,COUNTIF(Grunddata!$A$15:$A$31,A17)&gt;0,Z17=""),$D$6,IF(OR(H17="",Z17="X"),"",IF(V17="",IF(W17="",H17-R17-S17,H17-R17-S17-W17),H17-R17-S17-V17)))</f>
        <v/>
      </c>
      <c r="Y17" s="166"/>
      <c r="Z17" s="357" t="str">
        <f>IF(OR(WEEKDAY(A17,2)=VLOOKUP($C$2,Grunddata!$L$2:$W$174,9,FALSE),WEEKDAY(A17,2)=VLOOKUP($C$2,Grunddata!$L$2:$W$174,10,FALSE),WEEKDAY(A17,2)=VLOOKUP($C$2,Grunddata!$L$2:$W$174,11,FALSE),WEEKDAY(A17,2)=VLOOKUP($C$2,Grunddata!$L$2:$W$174,12,FALSE)),"X","")</f>
        <v/>
      </c>
      <c r="AA17" s="200" t="str">
        <f t="shared" si="5"/>
        <v/>
      </c>
      <c r="AB17" s="97" t="str">
        <f>IF(WEEKDAY(A17,2)=7,SUM(X9:X17)+SUM(K11:K17)+SUM(L11:L17)+SUM(N11:N17)+COUNT(O11:O17)*Grunddata!$C$1+SUM(P11:P17)+SUM(R11:R17)+SUM(S11:S17)+SUM(T11:T17)+SUM(U11:U17)+SUM(V11:V17)+SUM(W11:W17),"")</f>
        <v/>
      </c>
      <c r="AC17" s="113" t="str">
        <f>IF(AND(WEEKDAY(A17,2)=7,SUM(R11:S17)&gt;0),IF(AB17-SUM(R11:S17)&lt;Grunddata!$C$2,"! G",""),"")</f>
        <v/>
      </c>
      <c r="AD17" s="167"/>
      <c r="AE17" s="349" t="str">
        <f>IF(AB17="","",IF(AB17&gt;Grunddata!$J$1,"Över",""))</f>
        <v/>
      </c>
      <c r="AF17" s="3" t="str">
        <f t="shared" si="7"/>
        <v/>
      </c>
      <c r="AG17" s="353" t="str">
        <f>IF(AND(OR(COUNTA(H17,L17:P17,T17)&gt;1,AND(COUNTA(H17,L17:P17,T17)&gt;=1,K17&lt;&gt;"")),SUM(H17,K17,L17:N17,P17,T17:U17)&gt;Grunddata!$C$1),"X","")</f>
        <v/>
      </c>
      <c r="AH17" s="353" t="str">
        <f t="shared" si="8"/>
        <v/>
      </c>
      <c r="AI17" s="353" t="str">
        <f t="shared" si="4"/>
        <v/>
      </c>
      <c r="AJ17" s="353" t="str">
        <f>IF(AND(WEEKDAY(A17,2)&lt;6,H17="",O17="",SUM(K17:N17,P17,T17:U17)&gt;0,SUM(K17:N17,P17,T17:U17)&lt;Grunddata!$C$1),"X","")</f>
        <v/>
      </c>
    </row>
    <row r="18" spans="1:36" s="113" customFormat="1" ht="30" customHeight="1" x14ac:dyDescent="0.25">
      <c r="A18" s="266">
        <v>42876</v>
      </c>
      <c r="B18" s="267">
        <f t="shared" si="0"/>
        <v>42876</v>
      </c>
      <c r="C18" s="151"/>
      <c r="D18" s="151"/>
      <c r="E18" s="152"/>
      <c r="F18" s="152"/>
      <c r="G18" s="153"/>
      <c r="H18" s="154" t="str">
        <f t="shared" ref="H18:H42" si="9">IF(AND(D18="",E18=""),"",(D18-C18+E18-F18-G18))</f>
        <v/>
      </c>
      <c r="I18" s="381" t="str">
        <f>IF($J$1="Ja",IF(F18&gt;0,IF(AND(WEEKDAY(A18,2)&lt;6,COUNTIF(Grunddata!$A$14:$A$17,A18)=0,C18&gt;0),1,""),""),"")</f>
        <v/>
      </c>
      <c r="J18" s="156"/>
      <c r="K18" s="206" t="str">
        <f t="shared" si="6"/>
        <v/>
      </c>
      <c r="L18" s="210"/>
      <c r="M18" s="210"/>
      <c r="N18" s="152"/>
      <c r="O18" s="287"/>
      <c r="P18" s="159"/>
      <c r="Q18" s="160"/>
      <c r="R18" s="155"/>
      <c r="S18" s="159"/>
      <c r="T18" s="159"/>
      <c r="U18" s="159"/>
      <c r="V18" s="448" t="str">
        <f>IF(H18="","",IF(OR(WEEKDAY(A18,2)&gt;5,Z18="X",COUNTIF(Grunddata!$A$15:$A$31,A18)&gt;0),IF(H18-R18-S18=0,"",H18-R18-S18),IF(K18="",IF(H18+L18+M18+N18+P18-R18-S18+T18+U18=Grunddata!$C$1,"",IF(H18+L18+M18+N18+P18-R18-S18+T18-U18&gt;Grunddata!$C$1,H18+L18+M18+N18+P18-R18-S18+T18-U18-Grunddata!$C$1,"")),IF(H18+K18+L18+M18+N18+O18+P18-R18-S18+T18+U18=Grunddata!$C$1,"",IF(H18+K18+L18+M18+N18+P18-R18-S18+T18-U18&gt;Grunddata!$C$1,H18+K18+L18+M18+N18+P18-R18-S18+T18-U18-Grunddata!$C$1,"")))))</f>
        <v/>
      </c>
      <c r="W18" s="449" t="str">
        <f>IF(OR(AA18="!",O18&gt;0,H18="",V18&lt;&gt;"",WEEKDAY(A18,2)&gt;5,Z18="X",COUNTIF(Grunddata!$A$15:$A$31,A18)&gt;0),"",IF(K18="",IF(H18+L18+M18+N18+P18-R18-S18+T18+U18=Grunddata!$C$1,"",H18+L18+M18+N18+P18-R18-S18+T18+U18-Grunddata!$C$1),IF(H18+K18+L18+M18+N18+P18-R18-S18+T18+U18=Grunddata!$C$1,"",H18+K18+L18+M18+N18+O18+P18-R18-S18+T18+U18-Grunddata!$C$1)))</f>
        <v/>
      </c>
      <c r="X18" s="202" t="str">
        <f>IF(AND(WEEKDAY(A18,2)&lt;6,COUNTIF(Grunddata!$A$15:$A$31,A18)&gt;0,Z18=""),$D$6,IF(OR(H18="",Z18="X"),"",IF(V18="",IF(W18="",H18-R18-S18,H18-R18-S18-W18),H18-R18-S18-V18)))</f>
        <v/>
      </c>
      <c r="Y18" s="166"/>
      <c r="Z18" s="357" t="str">
        <f>IF(OR(WEEKDAY(A18,2)=VLOOKUP($C$2,Grunddata!$L$2:$W$174,9,FALSE),WEEKDAY(A18,2)=VLOOKUP($C$2,Grunddata!$L$2:$W$174,10,FALSE),WEEKDAY(A18,2)=VLOOKUP($C$2,Grunddata!$L$2:$W$174,11,FALSE),WEEKDAY(A18,2)=VLOOKUP($C$2,Grunddata!$L$2:$W$174,12,FALSE)),"X","")</f>
        <v/>
      </c>
      <c r="AA18" s="200" t="str">
        <f>IF(OR(AF18&lt;&gt;"",AG18&lt;&gt;"",AH18&lt;&gt;"",AI18&lt;&gt;"",AJ18&lt;&gt;""),"!","")</f>
        <v/>
      </c>
      <c r="AB18" s="97" t="str">
        <f>IF(WEEKDAY(A18,2)=7,SUM(X10:X18)+SUM(K12:K18)+SUM(L12:L18)+SUM(N12:N18)+COUNT(O12:O18)*Grunddata!$C$1+SUM(P12:P18)+SUM(R12:R18)+SUM(S12:S18)+SUM(T12:T18)+SUM(U12:U18)+SUM(V12:V18)+SUM(W12:W18),"")</f>
        <v/>
      </c>
      <c r="AC18" s="113" t="str">
        <f>IF(AND(WEEKDAY(A18,2)=7,SUM(R12:S18)&gt;0),IF(AB18-SUM(R12:S18)&lt;Grunddata!$C$2,"! G",""),"")</f>
        <v/>
      </c>
      <c r="AD18" s="167"/>
      <c r="AE18" s="349" t="str">
        <f>IF(AB18="","",IF(AB18&gt;Grunddata!$J$1,"Över",""))</f>
        <v/>
      </c>
      <c r="AF18" s="3" t="str">
        <f t="shared" si="7"/>
        <v/>
      </c>
      <c r="AG18" s="353" t="str">
        <f>IF(AND(OR(COUNTA(H18,L18:P18,T18)&gt;1,AND(COUNTA(H18,L18:P18,T18)&gt;=1,K18&lt;&gt;"")),SUM(H18,K18,L18:N18,P18,T18:U18)&gt;Grunddata!$C$1),"X","")</f>
        <v/>
      </c>
      <c r="AH18" s="353" t="str">
        <f t="shared" si="8"/>
        <v/>
      </c>
      <c r="AI18" s="353" t="str">
        <f>IF(AND(OR(WEEKDAY(A18,2)&gt;5,Z18="X"),OR(U18&lt;&gt;"",T18&lt;&gt;"")),"X","")</f>
        <v/>
      </c>
      <c r="AJ18" s="353" t="str">
        <f>IF(AND(WEEKDAY(A18,2)&lt;6,H18="",O18="",SUM(K18:N18,P18,T18:U18)&gt;0,SUM(K18:N18,P18,T18:U18)&lt;Grunddata!$C$1),"X","")</f>
        <v/>
      </c>
    </row>
    <row r="19" spans="1:36" s="113" customFormat="1" ht="30" customHeight="1" x14ac:dyDescent="0.25">
      <c r="A19" s="266">
        <v>42877</v>
      </c>
      <c r="B19" s="267">
        <f t="shared" si="0"/>
        <v>42877</v>
      </c>
      <c r="C19" s="151"/>
      <c r="D19" s="151"/>
      <c r="E19" s="152"/>
      <c r="F19" s="152"/>
      <c r="G19" s="153"/>
      <c r="H19" s="154" t="str">
        <f t="shared" si="9"/>
        <v/>
      </c>
      <c r="I19" s="381" t="str">
        <f>IF($J$1="Ja",IF(F19&gt;0,IF(AND(WEEKDAY(A19,2)&lt;6,COUNTIF(Grunddata!$A$14:$A$17,A19)=0,C19&gt;0),1,""),""),"")</f>
        <v/>
      </c>
      <c r="J19" s="153"/>
      <c r="K19" s="206" t="str">
        <f t="shared" si="6"/>
        <v/>
      </c>
      <c r="L19" s="210"/>
      <c r="M19" s="210"/>
      <c r="N19" s="151"/>
      <c r="O19" s="287"/>
      <c r="P19" s="170"/>
      <c r="Q19" s="171"/>
      <c r="R19" s="172"/>
      <c r="S19" s="170"/>
      <c r="T19" s="170"/>
      <c r="U19" s="170"/>
      <c r="V19" s="448" t="str">
        <f>IF(H19="","",IF(OR(WEEKDAY(A19,2)&gt;5,Z19="X",COUNTIF(Grunddata!$A$15:$A$31,A19)&gt;0),IF(H19-R19-S19=0,"",H19-R19-S19),IF(K19="",IF(H19+L19+M19+N19+P19-R19-S19+T19+U19=Grunddata!$C$1,"",IF(H19+L19+M19+N19+P19-R19-S19+T19-U19&gt;Grunddata!$C$1,H19+L19+M19+N19+P19-R19-S19+T19-U19-Grunddata!$C$1,"")),IF(H19+K19+L19+M19+N19+O19+P19-R19-S19+T19+U19=Grunddata!$C$1,"",IF(H19+K19+L19+M19+N19+P19-R19-S19+T19-U19&gt;Grunddata!$C$1,H19+K19+L19+M19+N19+P19-R19-S19+T19-U19-Grunddata!$C$1,"")))))</f>
        <v/>
      </c>
      <c r="W19" s="449" t="str">
        <f>IF(OR(AA19="!",O19&gt;0,H19="",V19&lt;&gt;"",WEEKDAY(A19,2)&gt;5,Z19="X",COUNTIF(Grunddata!$A$15:$A$31,A19)&gt;0),"",IF(K19="",IF(H19+L19+M19+N19+P19-R19-S19+T19+U19=Grunddata!$C$1,"",H19+L19+M19+N19+P19-R19-S19+T19+U19-Grunddata!$C$1),IF(H19+K19+L19+M19+N19+P19-R19-S19+T19+U19=Grunddata!$C$1,"",H19+K19+L19+M19+N19+O19+P19-R19-S19+T19+U19-Grunddata!$C$1)))</f>
        <v/>
      </c>
      <c r="X19" s="202" t="str">
        <f>IF(AND(WEEKDAY(A19,2)&lt;6,COUNTIF(Grunddata!$A$15:$A$31,A19)&gt;0,Z19=""),$D$6,IF(OR(H19="",Z19="X"),"",IF(V19="",IF(W19="",H19-R19-S19,H19-R19-S19-W19),H19-R19-S19-V19)))</f>
        <v/>
      </c>
      <c r="Y19" s="173"/>
      <c r="Z19" s="357" t="str">
        <f>IF(OR(WEEKDAY(A19,2)=VLOOKUP($C$2,Grunddata!$L$2:$W$174,9,FALSE),WEEKDAY(A19,2)=VLOOKUP($C$2,Grunddata!$L$2:$W$174,10,FALSE),WEEKDAY(A19,2)=VLOOKUP($C$2,Grunddata!$L$2:$W$174,11,FALSE),WEEKDAY(A19,2)=VLOOKUP($C$2,Grunddata!$L$2:$W$174,12,FALSE)),"X","")</f>
        <v/>
      </c>
      <c r="AA19" s="200" t="str">
        <f t="shared" si="5"/>
        <v/>
      </c>
      <c r="AB19" s="97">
        <f>IF(WEEKDAY(A19,2)=7,SUM(X11:X19)+SUM(K13:K19)+SUM(L13:L19)+SUM(N13:N19)+COUNT(O13:O19)*Grunddata!$C$1+SUM(P13:P19)+SUM(R13:R19)+SUM(S13:S19)+SUM(T13:T19)+SUM(U13:U19)+SUM(V13:V19)+SUM(W13:W19),"")</f>
        <v>0</v>
      </c>
      <c r="AC19" s="113" t="str">
        <f>IF(AND(WEEKDAY(A19,2)=7,SUM(R13:S19)&gt;0),IF(AB19-SUM(R13:S19)&lt;Grunddata!$C$2,"! G",""),"")</f>
        <v/>
      </c>
      <c r="AD19" s="167"/>
      <c r="AE19" s="349" t="str">
        <f>IF(AB19="","",IF(AB19&gt;Grunddata!$J$1,"Över",""))</f>
        <v/>
      </c>
      <c r="AF19" s="3" t="str">
        <f t="shared" si="7"/>
        <v/>
      </c>
      <c r="AG19" s="353" t="str">
        <f>IF(AND(OR(COUNTA(H19,L19:P19,T19)&gt;1,AND(COUNTA(H19,L19:P19,T19)&gt;=1,K19&lt;&gt;"")),SUM(H19,K19,L19:N19,P19,T19:U19)&gt;Grunddata!$C$1),"X","")</f>
        <v/>
      </c>
      <c r="AH19" s="353" t="str">
        <f t="shared" ref="AH19:AH42" si="10">IF(AND(O19&lt;&gt;"",OR(H19&lt;&gt;"",L19&lt;&gt;"",M19&lt;&gt;"",N19&lt;&gt;"",P19&lt;&gt;"",R19&lt;&gt;"",S19&lt;&gt;"",T19&lt;&gt;"",U19&lt;&gt;"")),"X","")</f>
        <v/>
      </c>
      <c r="AI19" s="353" t="str">
        <f t="shared" ref="AI19:AI42" si="11">IF(AND(OR(WEEKDAY(A19,2)&gt;5,Z19="X"),OR(U19&lt;&gt;"",T19&lt;&gt;"")),"X","")</f>
        <v/>
      </c>
      <c r="AJ19" s="353" t="str">
        <f>IF(AND(WEEKDAY(A19,2)&lt;6,H19="",O19="",SUM(K19:N19,P19,T19:U19)&gt;0,SUM(K19:N19,P19,T19:U19)&lt;Grunddata!$C$1),"X","")</f>
        <v/>
      </c>
    </row>
    <row r="20" spans="1:36" s="113" customFormat="1" ht="30" customHeight="1" x14ac:dyDescent="0.25">
      <c r="A20" s="266">
        <v>42878</v>
      </c>
      <c r="B20" s="267">
        <f t="shared" si="0"/>
        <v>42878</v>
      </c>
      <c r="C20" s="151"/>
      <c r="D20" s="151"/>
      <c r="E20" s="151"/>
      <c r="F20" s="152"/>
      <c r="G20" s="153"/>
      <c r="H20" s="154" t="str">
        <f t="shared" si="9"/>
        <v/>
      </c>
      <c r="I20" s="381" t="str">
        <f>IF($J$1="Ja",IF(F20&gt;0,IF(AND(WEEKDAY(A20,2)&lt;6,COUNTIF(Grunddata!$A$14:$A$17,A20)=0,C20&gt;0),1,""),""),"")</f>
        <v/>
      </c>
      <c r="J20" s="156"/>
      <c r="K20" s="206" t="str">
        <f t="shared" si="6"/>
        <v/>
      </c>
      <c r="L20" s="210"/>
      <c r="M20" s="210"/>
      <c r="N20" s="152"/>
      <c r="O20" s="287"/>
      <c r="P20" s="159"/>
      <c r="Q20" s="160"/>
      <c r="R20" s="155"/>
      <c r="S20" s="159"/>
      <c r="T20" s="159"/>
      <c r="U20" s="159"/>
      <c r="V20" s="448" t="str">
        <f>IF(H20="","",IF(OR(WEEKDAY(A20,2)&gt;5,Z20="X",COUNTIF(Grunddata!$A$15:$A$31,A20)&gt;0),IF(H20-R20-S20=0,"",H20-R20-S20),IF(K20="",IF(H20+L20+M20+N20+P20-R20-S20+T20+U20=Grunddata!$C$1,"",IF(H20+L20+M20+N20+P20-R20-S20+T20-U20&gt;Grunddata!$C$1,H20+L20+M20+N20+P20-R20-S20+T20-U20-Grunddata!$C$1,"")),IF(H20+K20+L20+M20+N20+O20+P20-R20-S20+T20+U20=Grunddata!$C$1,"",IF(H20+K20+L20+M20+N20+P20-R20-S20+T20-U20&gt;Grunddata!$C$1,H20+K20+L20+M20+N20+P20-R20-S20+T20-U20-Grunddata!$C$1,"")))))</f>
        <v/>
      </c>
      <c r="W20" s="449" t="str">
        <f>IF(OR(AA20="!",O20&gt;0,H20="",V20&lt;&gt;"",WEEKDAY(A20,2)&gt;5,Z20="X",COUNTIF(Grunddata!$A$15:$A$31,A20)&gt;0),"",IF(K20="",IF(H20+L20+M20+N20+P20-R20-S20+T20+U20=Grunddata!$C$1,"",H20+L20+M20+N20+P20-R20-S20+T20+U20-Grunddata!$C$1),IF(H20+K20+L20+M20+N20+P20-R20-S20+T20+U20=Grunddata!$C$1,"",H20+K20+L20+M20+N20+O20+P20-R20-S20+T20+U20-Grunddata!$C$1)))</f>
        <v/>
      </c>
      <c r="X20" s="202" t="str">
        <f>IF(AND(WEEKDAY(A20,2)&lt;6,COUNTIF(Grunddata!$A$15:$A$31,A20)&gt;0,Z20=""),$D$6,IF(OR(H20="",Z20="X"),"",IF(V20="",IF(W20="",H20-R20-S20,H20-R20-S20-W20),H20-R20-S20-V20)))</f>
        <v/>
      </c>
      <c r="Y20" s="166"/>
      <c r="Z20" s="357" t="str">
        <f>IF(OR(WEEKDAY(A20,2)=VLOOKUP($C$2,Grunddata!$L$2:$W$174,9,FALSE),WEEKDAY(A20,2)=VLOOKUP($C$2,Grunddata!$L$2:$W$174,10,FALSE),WEEKDAY(A20,2)=VLOOKUP($C$2,Grunddata!$L$2:$W$174,11,FALSE),WEEKDAY(A20,2)=VLOOKUP($C$2,Grunddata!$L$2:$W$174,12,FALSE)),"X","")</f>
        <v/>
      </c>
      <c r="AA20" s="200" t="str">
        <f t="shared" si="5"/>
        <v/>
      </c>
      <c r="AB20" s="97" t="str">
        <f>IF(WEEKDAY(A20,2)=7,SUM(X12:X20)+SUM(K14:K20)+SUM(L14:L20)+SUM(N14:N20)+COUNT(O14:O20)*Grunddata!$C$1+SUM(P14:P20)+SUM(R14:R20)+SUM(S14:S20)+SUM(T14:T20)+SUM(U14:U20)+SUM(V14:V20)+SUM(W14:W20),"")</f>
        <v/>
      </c>
      <c r="AC20" s="113" t="str">
        <f>IF(AND(WEEKDAY(A20,2)=7,SUM(R14:S20)&gt;0),IF(AB20-SUM(R14:S20)&lt;Grunddata!$C$2,"! G",""),"")</f>
        <v/>
      </c>
      <c r="AD20" s="167"/>
      <c r="AE20" s="349" t="str">
        <f>IF(AB20="","",IF(AB20&gt;Grunddata!$J$1,"Över",""))</f>
        <v/>
      </c>
      <c r="AF20" s="3" t="str">
        <f t="shared" si="7"/>
        <v/>
      </c>
      <c r="AG20" s="353" t="str">
        <f>IF(AND(OR(COUNTA(H20,L20:P20,T20)&gt;1,AND(COUNTA(H20,L20:P20,T20)&gt;=1,K20&lt;&gt;"")),SUM(H20,K20,L20:N20,P20,T20:U20)&gt;Grunddata!$C$1),"X","")</f>
        <v/>
      </c>
      <c r="AH20" s="353" t="str">
        <f t="shared" si="10"/>
        <v/>
      </c>
      <c r="AI20" s="353" t="str">
        <f t="shared" si="11"/>
        <v/>
      </c>
      <c r="AJ20" s="353" t="str">
        <f>IF(AND(WEEKDAY(A20,2)&lt;6,H20="",O20="",SUM(K20:N20,P20,T20:U20)&gt;0,SUM(K20:N20,P20,T20:U20)&lt;Grunddata!$C$1),"X","")</f>
        <v/>
      </c>
    </row>
    <row r="21" spans="1:36" s="113" customFormat="1" ht="30" customHeight="1" x14ac:dyDescent="0.25">
      <c r="A21" s="266">
        <v>42879</v>
      </c>
      <c r="B21" s="267">
        <f t="shared" si="0"/>
        <v>42879</v>
      </c>
      <c r="C21" s="151"/>
      <c r="D21" s="151"/>
      <c r="E21" s="151"/>
      <c r="F21" s="151"/>
      <c r="G21" s="153"/>
      <c r="H21" s="154" t="str">
        <f t="shared" si="9"/>
        <v/>
      </c>
      <c r="I21" s="381" t="str">
        <f>IF($J$1="Ja",IF(F21&gt;0,IF(AND(WEEKDAY(A21,2)&lt;6,COUNTIF(Grunddata!$A$14:$A$17,A21)=0,C21&gt;0),1,""),""),"")</f>
        <v/>
      </c>
      <c r="J21" s="156"/>
      <c r="K21" s="206" t="str">
        <f t="shared" si="6"/>
        <v/>
      </c>
      <c r="L21" s="210"/>
      <c r="M21" s="210"/>
      <c r="N21" s="152"/>
      <c r="O21" s="287"/>
      <c r="P21" s="159"/>
      <c r="Q21" s="160"/>
      <c r="R21" s="155"/>
      <c r="S21" s="159"/>
      <c r="T21" s="159"/>
      <c r="U21" s="159"/>
      <c r="V21" s="448" t="str">
        <f>IF(H21="","",IF(OR(WEEKDAY(A21,2)&gt;5,Z21="X",COUNTIF(Grunddata!$A$15:$A$31,A21)&gt;0),IF(H21-R21-S21=0,"",H21-R21-S21),IF(K21="",IF(H21+L21+M21+N21+P21-R21-S21+T21+U21=Grunddata!$C$1,"",IF(H21+L21+M21+N21+P21-R21-S21+T21-U21&gt;Grunddata!$C$1,H21+L21+M21+N21+P21-R21-S21+T21-U21-Grunddata!$C$1,"")),IF(H21+K21+L21+M21+N21+O21+P21-R21-S21+T21+U21=Grunddata!$C$1,"",IF(H21+K21+L21+M21+N21+P21-R21-S21+T21-U21&gt;Grunddata!$C$1,H21+K21+L21+M21+N21+P21-R21-S21+T21-U21-Grunddata!$C$1,"")))))</f>
        <v/>
      </c>
      <c r="W21" s="449" t="str">
        <f>IF(OR(AA21="!",O21&gt;0,H21="",V21&lt;&gt;"",WEEKDAY(A21,2)&gt;5,Z21="X",COUNTIF(Grunddata!$A$15:$A$31,A21)&gt;0),"",IF(K21="",IF(H21+L21+M21+N21+P21-R21-S21+T21+U21=Grunddata!$C$1,"",H21+L21+M21+N21+P21-R21-S21+T21+U21-Grunddata!$C$1),IF(H21+K21+L21+M21+N21+P21-R21-S21+T21+U21=Grunddata!$C$1,"",H21+K21+L21+M21+N21+O21+P21-R21-S21+T21+U21-Grunddata!$C$1)))</f>
        <v/>
      </c>
      <c r="X21" s="202" t="str">
        <f>IF(AND(WEEKDAY(A21,2)&lt;6,COUNTIF(Grunddata!$A$15:$A$31,A21)&gt;0,Z21=""),$D$6,IF(OR(H21="",Z21="X"),"",IF(V21="",IF(W21="",H21-R21-S21,H21-R21-S21-W21),H21-R21-S21-V21)))</f>
        <v/>
      </c>
      <c r="Y21" s="166"/>
      <c r="Z21" s="357" t="str">
        <f>IF(OR(WEEKDAY(A21,2)=VLOOKUP($C$2,Grunddata!$L$2:$W$174,9,FALSE),WEEKDAY(A21,2)=VLOOKUP($C$2,Grunddata!$L$2:$W$174,10,FALSE),WEEKDAY(A21,2)=VLOOKUP($C$2,Grunddata!$L$2:$W$174,11,FALSE),WEEKDAY(A21,2)=VLOOKUP($C$2,Grunddata!$L$2:$W$174,12,FALSE)),"X","")</f>
        <v/>
      </c>
      <c r="AA21" s="200" t="str">
        <f t="shared" si="5"/>
        <v/>
      </c>
      <c r="AB21" s="97" t="str">
        <f>IF(WEEKDAY(A21,2)=7,SUM(X13:X21)+SUM(K15:K21)+SUM(L15:L21)+SUM(N15:N21)+COUNT(O15:O21)*Grunddata!$C$1+SUM(P15:P21)+SUM(R15:R21)+SUM(S15:S21)+SUM(T15:T21)+SUM(U15:U21)+SUM(V15:V21)+SUM(W15:W21),"")</f>
        <v/>
      </c>
      <c r="AC21" s="113" t="str">
        <f>IF(AND(WEEKDAY(A21,2)=7,SUM(R15:S21)&gt;0),IF(AB21-SUM(R15:S21)&lt;Grunddata!$C$2,"! G",""),"")</f>
        <v/>
      </c>
      <c r="AD21" s="167"/>
      <c r="AE21" s="349" t="str">
        <f>IF(AB21="","",IF(AB21&gt;Grunddata!$J$1,"Över",""))</f>
        <v/>
      </c>
      <c r="AF21" s="3" t="str">
        <f t="shared" si="7"/>
        <v/>
      </c>
      <c r="AG21" s="353" t="str">
        <f>IF(AND(OR(COUNTA(H21,L21:P21,T21)&gt;1,AND(COUNTA(H21,L21:P21,T21)&gt;=1,K21&lt;&gt;"")),SUM(H21,K21,L21:N21,P21,T21:U21)&gt;Grunddata!$C$1),"X","")</f>
        <v/>
      </c>
      <c r="AH21" s="353" t="str">
        <f t="shared" si="10"/>
        <v/>
      </c>
      <c r="AI21" s="353" t="str">
        <f t="shared" si="11"/>
        <v/>
      </c>
      <c r="AJ21" s="353" t="str">
        <f>IF(AND(WEEKDAY(A21,2)&lt;6,H21="",O21="",SUM(K21:N21,P21,T21:U21)&gt;0,SUM(K21:N21,P21,T21:U21)&lt;Grunddata!$C$1),"X","")</f>
        <v/>
      </c>
    </row>
    <row r="22" spans="1:36" s="113" customFormat="1" ht="30" customHeight="1" x14ac:dyDescent="0.25">
      <c r="A22" s="266">
        <v>42880</v>
      </c>
      <c r="B22" s="267">
        <f t="shared" si="0"/>
        <v>42880</v>
      </c>
      <c r="C22" s="151"/>
      <c r="D22" s="151"/>
      <c r="E22" s="151"/>
      <c r="F22" s="151"/>
      <c r="G22" s="153"/>
      <c r="H22" s="154" t="str">
        <f t="shared" si="9"/>
        <v/>
      </c>
      <c r="I22" s="381" t="str">
        <f>IF($J$1="Ja",IF(F22&gt;0,IF(AND(WEEKDAY(A22,2)&lt;6,COUNTIF(Grunddata!$A$14:$A$17,A22)=0,C22&gt;0),1,""),""),"")</f>
        <v/>
      </c>
      <c r="J22" s="156"/>
      <c r="K22" s="206" t="str">
        <f t="shared" si="6"/>
        <v/>
      </c>
      <c r="L22" s="210"/>
      <c r="M22" s="210"/>
      <c r="N22" s="152"/>
      <c r="O22" s="287"/>
      <c r="P22" s="159"/>
      <c r="Q22" s="160"/>
      <c r="R22" s="155"/>
      <c r="S22" s="159"/>
      <c r="T22" s="159"/>
      <c r="U22" s="159"/>
      <c r="V22" s="448" t="str">
        <f>IF(H22="","",IF(OR(WEEKDAY(A22,2)&gt;5,Z22="X",COUNTIF(Grunddata!$A$15:$A$31,A22)&gt;0),IF(H22-R22-S22=0,"",H22-R22-S22),IF(K22="",IF(H22+L22+M22+N22+P22-R22-S22+T22+U22=Grunddata!$C$1,"",IF(H22+L22+M22+N22+P22-R22-S22+T22-U22&gt;Grunddata!$C$1,H22+L22+M22+N22+P22-R22-S22+T22-U22-Grunddata!$C$1,"")),IF(H22+K22+L22+M22+N22+O22+P22-R22-S22+T22+U22=Grunddata!$C$1,"",IF(H22+K22+L22+M22+N22+P22-R22-S22+T22-U22&gt;Grunddata!$C$1,H22+K22+L22+M22+N22+P22-R22-S22+T22-U22-Grunddata!$C$1,"")))))</f>
        <v/>
      </c>
      <c r="W22" s="449" t="str">
        <f>IF(OR(AA22="!",O22&gt;0,H22="",V22&lt;&gt;"",WEEKDAY(A22,2)&gt;5,Z22="X",COUNTIF(Grunddata!$A$15:$A$31,A22)&gt;0),"",IF(K22="",IF(H22+L22+M22+N22+P22-R22-S22+T22+U22=Grunddata!$C$1,"",H22+L22+M22+N22+P22-R22-S22+T22+U22-Grunddata!$C$1),IF(H22+K22+L22+M22+N22+P22-R22-S22+T22+U22=Grunddata!$C$1,"",H22+K22+L22+M22+N22+O22+P22-R22-S22+T22+U22-Grunddata!$C$1)))</f>
        <v/>
      </c>
      <c r="X22" s="202" t="str">
        <f>IF(AND(WEEKDAY(A22,2)&lt;6,COUNTIF(Grunddata!$A$15:$A$31,A22)&gt;0,Z22=""),$D$6,IF(OR(H22="",Z22="X"),"",IF(V22="",IF(W22="",H22-R22-S22,H22-R22-S22-W22),H22-R22-S22-V22)))</f>
        <v/>
      </c>
      <c r="Y22" s="166"/>
      <c r="Z22" s="357" t="str">
        <f>IF(OR(WEEKDAY(A22,2)=VLOOKUP($C$2,Grunddata!$L$2:$W$174,9,FALSE),WEEKDAY(A22,2)=VLOOKUP($C$2,Grunddata!$L$2:$W$174,10,FALSE),WEEKDAY(A22,2)=VLOOKUP($C$2,Grunddata!$L$2:$W$174,11,FALSE),WEEKDAY(A22,2)=VLOOKUP($C$2,Grunddata!$L$2:$W$174,12,FALSE)),"X","")</f>
        <v/>
      </c>
      <c r="AA22" s="200" t="str">
        <f t="shared" si="5"/>
        <v/>
      </c>
      <c r="AB22" s="97" t="str">
        <f>IF(WEEKDAY(A22,2)=7,SUM(X14:X22)+SUM(K16:K22)+SUM(L16:L22)+SUM(N16:N22)+COUNT(O16:O22)*Grunddata!$C$1+SUM(P16:P22)+SUM(R16:R22)+SUM(S16:S22)+SUM(T16:T22)+SUM(U16:U22)+SUM(V16:V22)+SUM(W16:W22),"")</f>
        <v/>
      </c>
      <c r="AC22" s="113" t="str">
        <f>IF(AND(WEEKDAY(A22,2)=7,SUM(R16:S22)&gt;0),IF(AB22-SUM(R16:S22)&lt;Grunddata!$C$2,"! G",""),"")</f>
        <v/>
      </c>
      <c r="AE22" s="349" t="str">
        <f>IF(AB22="","",IF(AB22&gt;Grunddata!$J$1,"Över",""))</f>
        <v/>
      </c>
      <c r="AF22" s="3" t="str">
        <f t="shared" si="7"/>
        <v/>
      </c>
      <c r="AG22" s="353" t="str">
        <f>IF(AND(OR(COUNTA(H22,L22:P22,T22)&gt;1,AND(COUNTA(H22,L22:P22,T22)&gt;=1,K22&lt;&gt;"")),SUM(H22,K22,L22:N22,P22,T22:U22)&gt;Grunddata!$C$1),"X","")</f>
        <v/>
      </c>
      <c r="AH22" s="353" t="str">
        <f t="shared" si="10"/>
        <v/>
      </c>
      <c r="AI22" s="353" t="str">
        <f t="shared" si="11"/>
        <v/>
      </c>
      <c r="AJ22" s="353" t="str">
        <f>IF(AND(WEEKDAY(A22,2)&lt;6,H22="",O22="",SUM(K22:N22,P22,T22:U22)&gt;0,SUM(K22:N22,P22,T22:U22)&lt;Grunddata!$C$1),"X","")</f>
        <v/>
      </c>
    </row>
    <row r="23" spans="1:36" s="113" customFormat="1" ht="30" customHeight="1" x14ac:dyDescent="0.25">
      <c r="A23" s="266">
        <v>42881</v>
      </c>
      <c r="B23" s="267">
        <f t="shared" si="0"/>
        <v>42881</v>
      </c>
      <c r="C23" s="151"/>
      <c r="D23" s="151"/>
      <c r="E23" s="151"/>
      <c r="F23" s="151"/>
      <c r="G23" s="153"/>
      <c r="H23" s="154" t="str">
        <f t="shared" si="9"/>
        <v/>
      </c>
      <c r="I23" s="381" t="str">
        <f>IF($J$1="Ja",IF(F23&gt;0,IF(AND(WEEKDAY(A23,2)&lt;6,COUNTIF(Grunddata!$A$14:$A$17,A23)=0,C23&gt;0),1,""),""),"")</f>
        <v/>
      </c>
      <c r="J23" s="156"/>
      <c r="K23" s="206" t="str">
        <f t="shared" si="6"/>
        <v/>
      </c>
      <c r="L23" s="210"/>
      <c r="M23" s="210"/>
      <c r="N23" s="152"/>
      <c r="O23" s="287"/>
      <c r="P23" s="159"/>
      <c r="Q23" s="160"/>
      <c r="R23" s="155"/>
      <c r="S23" s="159"/>
      <c r="T23" s="159"/>
      <c r="U23" s="159"/>
      <c r="V23" s="448" t="str">
        <f>IF(H23="","",IF(OR(WEEKDAY(A23,2)&gt;5,Z23="X",COUNTIF(Grunddata!$A$15:$A$31,A23)&gt;0),IF(H23-R23-S23=0,"",H23-R23-S23),IF(K23="",IF(H23+L23+M23+N23+P23-R23-S23+T23+U23=Grunddata!$C$1,"",IF(H23+L23+M23+N23+P23-R23-S23+T23-U23&gt;Grunddata!$C$1,H23+L23+M23+N23+P23-R23-S23+T23-U23-Grunddata!$C$1,"")),IF(H23+K23+L23+M23+N23+O23+P23-R23-S23+T23+U23=Grunddata!$C$1,"",IF(H23+K23+L23+M23+N23+P23-R23-S23+T23-U23&gt;Grunddata!$C$1,H23+K23+L23+M23+N23+P23-R23-S23+T23-U23-Grunddata!$C$1,"")))))</f>
        <v/>
      </c>
      <c r="W23" s="449" t="str">
        <f>IF(OR(AA23="!",O23&gt;0,H23="",V23&lt;&gt;"",WEEKDAY(A23,2)&gt;5,Z23="X",COUNTIF(Grunddata!$A$15:$A$31,A23)&gt;0),"",IF(K23="",IF(H23+L23+M23+N23+P23-R23-S23+T23+U23=Grunddata!$C$1,"",H23+L23+M23+N23+P23-R23-S23+T23+U23-Grunddata!$C$1),IF(H23+K23+L23+M23+N23+P23-R23-S23+T23+U23=Grunddata!$C$1,"",H23+K23+L23+M23+N23+O23+P23-R23-S23+T23+U23-Grunddata!$C$1)))</f>
        <v/>
      </c>
      <c r="X23" s="202" t="str">
        <f>IF(AND(WEEKDAY(A23,2)&lt;6,COUNTIF(Grunddata!$A$15:$A$31,A23)&gt;0,Z23=""),$D$6,IF(OR(H23="",Z23="X"),"",IF(V23="",IF(W23="",H23-R23-S23,H23-R23-S23-W23),H23-R23-S23-V23)))</f>
        <v/>
      </c>
      <c r="Y23" s="166"/>
      <c r="Z23" s="357" t="str">
        <f>IF(OR(WEEKDAY(A23,2)=VLOOKUP($C$2,Grunddata!$L$2:$W$174,9,FALSE),WEEKDAY(A23,2)=VLOOKUP($C$2,Grunddata!$L$2:$W$174,10,FALSE),WEEKDAY(A23,2)=VLOOKUP($C$2,Grunddata!$L$2:$W$174,11,FALSE),WEEKDAY(A23,2)=VLOOKUP($C$2,Grunddata!$L$2:$W$174,12,FALSE)),"X","")</f>
        <v/>
      </c>
      <c r="AA23" s="200" t="str">
        <f t="shared" si="5"/>
        <v/>
      </c>
      <c r="AB23" s="97" t="str">
        <f>IF(WEEKDAY(A23,2)=7,SUM(X15:X23)+SUM(K17:K23)+SUM(L17:L23)+SUM(N17:N23)+COUNT(O17:O23)*Grunddata!$C$1+SUM(P17:P23)+SUM(R17:R23)+SUM(S17:S23)+SUM(T17:T23)+SUM(U17:U23)+SUM(V17:V23)+SUM(W17:W23),"")</f>
        <v/>
      </c>
      <c r="AC23" s="113" t="str">
        <f>IF(AND(WEEKDAY(A23,2)=7,SUM(R17:S23)&gt;0),IF(AB23-SUM(R17:S23)&lt;Grunddata!$C$2,"! G",""),"")</f>
        <v/>
      </c>
      <c r="AE23" s="349" t="str">
        <f>IF(AB23="","",IF(AB23&gt;Grunddata!$J$1,"Över",""))</f>
        <v/>
      </c>
      <c r="AF23" s="3" t="str">
        <f t="shared" si="7"/>
        <v/>
      </c>
      <c r="AG23" s="353" t="str">
        <f>IF(AND(OR(COUNTA(H23,L23:P23,T23)&gt;1,AND(COUNTA(H23,L23:P23,T23)&gt;=1,K23&lt;&gt;"")),SUM(H23,K23,L23:N23,P23,T23:U23)&gt;Grunddata!$C$1),"X","")</f>
        <v/>
      </c>
      <c r="AH23" s="353" t="str">
        <f t="shared" si="10"/>
        <v/>
      </c>
      <c r="AI23" s="353" t="str">
        <f t="shared" si="11"/>
        <v/>
      </c>
      <c r="AJ23" s="353" t="str">
        <f>IF(AND(WEEKDAY(A23,2)&lt;6,H23="",O23="",SUM(K23:N23,P23,T23:U23)&gt;0,SUM(K23:N23,P23,T23:U23)&lt;Grunddata!$C$1),"X","")</f>
        <v/>
      </c>
    </row>
    <row r="24" spans="1:36" s="113" customFormat="1" ht="30" customHeight="1" x14ac:dyDescent="0.25">
      <c r="A24" s="266">
        <v>42882</v>
      </c>
      <c r="B24" s="267">
        <f t="shared" si="0"/>
        <v>42882</v>
      </c>
      <c r="C24" s="151"/>
      <c r="D24" s="151"/>
      <c r="E24" s="152"/>
      <c r="F24" s="151"/>
      <c r="G24" s="153"/>
      <c r="H24" s="154" t="str">
        <f t="shared" si="9"/>
        <v/>
      </c>
      <c r="I24" s="381" t="str">
        <f>IF($J$1="Ja",IF(F24&gt;0,IF(AND(WEEKDAY(A24,2)&lt;6,COUNTIF(Grunddata!$A$14:$A$17,A24)=0,C24&gt;0),1,""),""),"")</f>
        <v/>
      </c>
      <c r="J24" s="156"/>
      <c r="K24" s="206" t="str">
        <f t="shared" ref="K24:K40" si="12">IF(WEEKDAY(A24,2)=6,IF(AND(K23&lt;&gt;"",K26&lt;&gt;""),"00:00",""),IF(WEEKDAY(A24,2)=7,IF(AND(K22&lt;&gt;"",K25&lt;&gt;""),"00:00",""),""))</f>
        <v/>
      </c>
      <c r="L24" s="210"/>
      <c r="M24" s="210"/>
      <c r="N24" s="152"/>
      <c r="O24" s="287"/>
      <c r="P24" s="159"/>
      <c r="Q24" s="160"/>
      <c r="R24" s="155"/>
      <c r="S24" s="159"/>
      <c r="T24" s="159"/>
      <c r="U24" s="159"/>
      <c r="V24" s="448" t="str">
        <f>IF(H24="","",IF(OR(WEEKDAY(A24,2)&gt;5,Z24="X",COUNTIF(Grunddata!$A$15:$A$31,A24)&gt;0),IF(H24-R24-S24=0,"",H24-R24-S24),IF(K24="",IF(H24+L24+M24+N24+P24-R24-S24+T24+U24=Grunddata!$C$1,"",IF(H24+L24+M24+N24+P24-R24-S24+T24-U24&gt;Grunddata!$C$1,H24+L24+M24+N24+P24-R24-S24+T24-U24-Grunddata!$C$1,"")),IF(H24+K24+L24+M24+N24+O24+P24-R24-S24+T24+U24=Grunddata!$C$1,"",IF(H24+K24+L24+M24+N24+P24-R24-S24+T24-U24&gt;Grunddata!$C$1,H24+K24+L24+M24+N24+P24-R24-S24+T24-U24-Grunddata!$C$1,"")))))</f>
        <v/>
      </c>
      <c r="W24" s="449" t="str">
        <f>IF(OR(AA24="!",O24&gt;0,H24="",V24&lt;&gt;"",WEEKDAY(A24,2)&gt;5,Z24="X",COUNTIF(Grunddata!$A$15:$A$31,A24)&gt;0),"",IF(K24="",IF(H24+L24+M24+N24+P24-R24-S24+T24+U24=Grunddata!$C$1,"",H24+L24+M24+N24+P24-R24-S24+T24+U24-Grunddata!$C$1),IF(H24+K24+L24+M24+N24+P24-R24-S24+T24+U24=Grunddata!$C$1,"",H24+K24+L24+M24+N24+O24+P24-R24-S24+T24+U24-Grunddata!$C$1)))</f>
        <v/>
      </c>
      <c r="X24" s="202" t="str">
        <f>IF(AND(WEEKDAY(A24,2)&lt;6,COUNTIF(Grunddata!$A$15:$A$31,A24)&gt;0,Z24=""),$D$6,IF(OR(H24="",Z24="X"),"",IF(V24="",IF(W24="",H24-R24-S24,H24-R24-S24-W24),H24-R24-S24-V24)))</f>
        <v/>
      </c>
      <c r="Y24" s="166"/>
      <c r="Z24" s="357" t="str">
        <f>IF(OR(WEEKDAY(A24,2)=VLOOKUP($C$2,Grunddata!$L$2:$W$174,9,FALSE),WEEKDAY(A24,2)=VLOOKUP($C$2,Grunddata!$L$2:$W$174,10,FALSE),WEEKDAY(A24,2)=VLOOKUP($C$2,Grunddata!$L$2:$W$174,11,FALSE),WEEKDAY(A24,2)=VLOOKUP($C$2,Grunddata!$L$2:$W$174,12,FALSE)),"X","")</f>
        <v/>
      </c>
      <c r="AA24" s="200" t="str">
        <f t="shared" si="5"/>
        <v/>
      </c>
      <c r="AB24" s="97" t="str">
        <f>IF(WEEKDAY(A24,2)=7,SUM(X16:X24)+SUM(K18:K24)+SUM(L18:L24)+SUM(N18:N24)+COUNT(O18:O24)*Grunddata!$C$1+SUM(P18:P24)+SUM(R18:R24)+SUM(S18:S24)+SUM(T18:T24)+SUM(U18:U24)+SUM(V18:V24)+SUM(W18:W24),"")</f>
        <v/>
      </c>
      <c r="AC24" s="113" t="str">
        <f>IF(AND(WEEKDAY(A24,2)=7,SUM(R18:S24)&gt;0),IF(AB24-SUM(R18:S24)&lt;Grunddata!$C$2,"! G",""),"")</f>
        <v/>
      </c>
      <c r="AE24" s="349" t="str">
        <f>IF(AB24="","",IF(AB24&gt;Grunddata!$J$1,"Över",""))</f>
        <v/>
      </c>
      <c r="AF24" s="3" t="str">
        <f t="shared" si="7"/>
        <v/>
      </c>
      <c r="AG24" s="353" t="str">
        <f>IF(AND(OR(COUNTA(H24,L24:P24,T24)&gt;1,AND(COUNTA(H24,L24:P24,T24)&gt;=1,K24&lt;&gt;"")),SUM(H24,K24,L24:N24,P24,T24:U24)&gt;Grunddata!$C$1),"X","")</f>
        <v/>
      </c>
      <c r="AH24" s="353" t="str">
        <f t="shared" si="10"/>
        <v/>
      </c>
      <c r="AI24" s="353" t="str">
        <f t="shared" si="11"/>
        <v/>
      </c>
      <c r="AJ24" s="353" t="str">
        <f>IF(AND(WEEKDAY(A24,2)&lt;6,H24="",O24="",SUM(K24:N24,P24,T24:U24)&gt;0,SUM(K24:N24,P24,T24:U24)&lt;Grunddata!$C$1),"X","")</f>
        <v/>
      </c>
    </row>
    <row r="25" spans="1:36" s="113" customFormat="1" ht="30" customHeight="1" x14ac:dyDescent="0.25">
      <c r="A25" s="266">
        <v>42883</v>
      </c>
      <c r="B25" s="267">
        <f t="shared" si="0"/>
        <v>42883</v>
      </c>
      <c r="C25" s="151"/>
      <c r="D25" s="151"/>
      <c r="E25" s="152"/>
      <c r="F25" s="151"/>
      <c r="G25" s="153"/>
      <c r="H25" s="154" t="str">
        <f t="shared" si="9"/>
        <v/>
      </c>
      <c r="I25" s="381" t="str">
        <f>IF($J$1="Ja",IF(F25&gt;0,IF(AND(WEEKDAY(A25,2)&lt;6,COUNTIF(Grunddata!$A$14:$A$17,A25)=0,C25&gt;0),1,""),""),"")</f>
        <v/>
      </c>
      <c r="J25" s="156"/>
      <c r="K25" s="206" t="str">
        <f t="shared" si="12"/>
        <v/>
      </c>
      <c r="L25" s="152"/>
      <c r="M25" s="152"/>
      <c r="N25" s="152"/>
      <c r="O25" s="287"/>
      <c r="P25" s="159"/>
      <c r="Q25" s="160"/>
      <c r="R25" s="155"/>
      <c r="S25" s="159"/>
      <c r="T25" s="159"/>
      <c r="U25" s="159"/>
      <c r="V25" s="448" t="str">
        <f>IF(H25="","",IF(OR(WEEKDAY(A25,2)&gt;5,Z25="X",COUNTIF(Grunddata!$A$15:$A$31,A25)&gt;0),IF(H25-R25-S25=0,"",H25-R25-S25),IF(K25="",IF(H25+L25+M25+N25+P25-R25-S25+T25+U25=Grunddata!$C$1,"",IF(H25+L25+M25+N25+P25-R25-S25+T25-U25&gt;Grunddata!$C$1,H25+L25+M25+N25+P25-R25-S25+T25-U25-Grunddata!$C$1,"")),IF(H25+K25+L25+M25+N25+O25+P25-R25-S25+T25+U25=Grunddata!$C$1,"",IF(H25+K25+L25+M25+N25+P25-R25-S25+T25-U25&gt;Grunddata!$C$1,H25+K25+L25+M25+N25+P25-R25-S25+T25-U25-Grunddata!$C$1,"")))))</f>
        <v/>
      </c>
      <c r="W25" s="449" t="str">
        <f>IF(OR(AA25="!",O25&gt;0,H25="",V25&lt;&gt;"",WEEKDAY(A25,2)&gt;5,Z25="X",COUNTIF(Grunddata!$A$15:$A$31,A25)&gt;0),"",IF(K25="",IF(H25+L25+M25+N25+P25-R25-S25+T25+U25=Grunddata!$C$1,"",H25+L25+M25+N25+P25-R25-S25+T25+U25-Grunddata!$C$1),IF(H25+K25+L25+M25+N25+P25-R25-S25+T25+U25=Grunddata!$C$1,"",H25+K25+L25+M25+N25+O25+P25-R25-S25+T25+U25-Grunddata!$C$1)))</f>
        <v/>
      </c>
      <c r="X25" s="202" t="str">
        <f>IF(AND(WEEKDAY(A25,2)&lt;6,COUNTIF(Grunddata!$A$15:$A$31,A25)&gt;0,Z25=""),$D$6,IF(OR(H25="",Z25="X"),"",IF(V25="",IF(W25="",H25-R25-S25,H25-R25-S25-W25),H25-R25-S25-V25)))</f>
        <v/>
      </c>
      <c r="Y25" s="175"/>
      <c r="Z25" s="357" t="str">
        <f>IF(OR(WEEKDAY(A25,2)=VLOOKUP($C$2,Grunddata!$L$2:$W$174,9,FALSE),WEEKDAY(A25,2)=VLOOKUP($C$2,Grunddata!$L$2:$W$174,10,FALSE),WEEKDAY(A25,2)=VLOOKUP($C$2,Grunddata!$L$2:$W$174,11,FALSE),WEEKDAY(A25,2)=VLOOKUP($C$2,Grunddata!$L$2:$W$174,12,FALSE)),"X","")</f>
        <v/>
      </c>
      <c r="AA25" s="200" t="str">
        <f t="shared" si="5"/>
        <v/>
      </c>
      <c r="AB25" s="97" t="str">
        <f>IF(WEEKDAY(A25,2)=7,SUM(X17:X25)+SUM(K19:K25)+SUM(L19:L25)+SUM(N19:N25)+COUNT(O19:O25)*Grunddata!$C$1+SUM(P19:P25)+SUM(R19:R25)+SUM(S19:S25)+SUM(T19:T25)+SUM(U19:U25)+SUM(V19:V25)+SUM(W19:W25),"")</f>
        <v/>
      </c>
      <c r="AC25" s="113" t="str">
        <f>IF(AND(WEEKDAY(A25,2)=7,SUM(R19:S25)&gt;0),IF(AB25-SUM(R19:S25)&lt;Grunddata!$C$2,"! G",""),"")</f>
        <v/>
      </c>
      <c r="AE25" s="349" t="str">
        <f>IF(AB25="","",IF(AB25&gt;Grunddata!$J$1,"Över",""))</f>
        <v/>
      </c>
      <c r="AF25" s="3" t="str">
        <f t="shared" si="7"/>
        <v/>
      </c>
      <c r="AG25" s="353" t="str">
        <f>IF(AND(OR(COUNTA(H25,L25:P25,T25)&gt;1,AND(COUNTA(H25,L25:P25,T25)&gt;=1,K25&lt;&gt;"")),SUM(H25,K25,L25:N25,P25,T25:U25)&gt;Grunddata!$C$1),"X","")</f>
        <v/>
      </c>
      <c r="AH25" s="353" t="str">
        <f t="shared" si="10"/>
        <v/>
      </c>
      <c r="AI25" s="353" t="str">
        <f t="shared" si="11"/>
        <v/>
      </c>
      <c r="AJ25" s="353" t="str">
        <f>IF(AND(WEEKDAY(A25,2)&lt;6,H25="",O25="",SUM(K25:N25,P25,T25:U25)&gt;0,SUM(K25:N25,P25,T25:U25)&lt;Grunddata!$C$1),"X","")</f>
        <v/>
      </c>
    </row>
    <row r="26" spans="1:36" s="113" customFormat="1" ht="30" customHeight="1" x14ac:dyDescent="0.25">
      <c r="A26" s="266">
        <v>42884</v>
      </c>
      <c r="B26" s="267">
        <f t="shared" si="0"/>
        <v>42884</v>
      </c>
      <c r="C26" s="151"/>
      <c r="D26" s="151"/>
      <c r="E26" s="152"/>
      <c r="F26" s="151"/>
      <c r="G26" s="153"/>
      <c r="H26" s="154" t="str">
        <f t="shared" si="9"/>
        <v/>
      </c>
      <c r="I26" s="381" t="str">
        <f>IF($J$1="Ja",IF(F26&gt;0,IF(AND(WEEKDAY(A26,2)&lt;6,COUNTIF(Grunddata!$A$14:$A$17,A26)=0,C26&gt;0),1,""),""),"")</f>
        <v/>
      </c>
      <c r="J26" s="156"/>
      <c r="K26" s="206" t="str">
        <f t="shared" si="12"/>
        <v/>
      </c>
      <c r="L26" s="152"/>
      <c r="M26" s="152"/>
      <c r="N26" s="152"/>
      <c r="O26" s="287"/>
      <c r="P26" s="159"/>
      <c r="Q26" s="160"/>
      <c r="R26" s="155"/>
      <c r="S26" s="170"/>
      <c r="T26" s="170"/>
      <c r="U26" s="159"/>
      <c r="V26" s="448" t="str">
        <f>IF(H26="","",IF(OR(WEEKDAY(A26,2)&gt;5,Z26="X",COUNTIF(Grunddata!$A$15:$A$31,A26)&gt;0),IF(H26-R26-S26=0,"",H26-R26-S26),IF(K26="",IF(H26+L26+M26+N26+P26-R26-S26+T26+U26=Grunddata!$C$1,"",IF(H26+L26+M26+N26+P26-R26-S26+T26-U26&gt;Grunddata!$C$1,H26+L26+M26+N26+P26-R26-S26+T26-U26-Grunddata!$C$1,"")),IF(H26+K26+L26+M26+N26+O26+P26-R26-S26+T26+U26=Grunddata!$C$1,"",IF(H26+K26+L26+M26+N26+P26-R26-S26+T26-U26&gt;Grunddata!$C$1,H26+K26+L26+M26+N26+P26-R26-S26+T26-U26-Grunddata!$C$1,"")))))</f>
        <v/>
      </c>
      <c r="W26" s="449" t="str">
        <f>IF(OR(AA26="!",O26&gt;0,H26="",V26&lt;&gt;"",WEEKDAY(A26,2)&gt;5,Z26="X",COUNTIF(Grunddata!$A$15:$A$31,A26)&gt;0),"",IF(K26="",IF(H26+L26+M26+N26+P26-R26-S26+T26+U26=Grunddata!$C$1,"",H26+L26+M26+N26+P26-R26-S26+T26+U26-Grunddata!$C$1),IF(H26+K26+L26+M26+N26+P26-R26-S26+T26+U26=Grunddata!$C$1,"",H26+K26+L26+M26+N26+O26+P26-R26-S26+T26+U26-Grunddata!$C$1)))</f>
        <v/>
      </c>
      <c r="X26" s="202" t="str">
        <f>IF(AND(WEEKDAY(A26,2)&lt;6,COUNTIF(Grunddata!$A$15:$A$31,A26)&gt;0,Z26=""),$D$6,IF(OR(H26="",Z26="X"),"",IF(V26="",IF(W26="",H26-R26-S26,H26-R26-S26-W26),H26-R26-S26-V26)))</f>
        <v/>
      </c>
      <c r="Y26" s="166"/>
      <c r="Z26" s="357" t="str">
        <f>IF(OR(WEEKDAY(A26,2)=VLOOKUP($C$2,Grunddata!$L$2:$W$174,9,FALSE),WEEKDAY(A26,2)=VLOOKUP($C$2,Grunddata!$L$2:$W$174,10,FALSE),WEEKDAY(A26,2)=VLOOKUP($C$2,Grunddata!$L$2:$W$174,11,FALSE),WEEKDAY(A26,2)=VLOOKUP($C$2,Grunddata!$L$2:$W$174,12,FALSE)),"X","")</f>
        <v/>
      </c>
      <c r="AA26" s="200" t="str">
        <f t="shared" si="5"/>
        <v/>
      </c>
      <c r="AB26" s="97">
        <f>IF(WEEKDAY(A26,2)=7,SUM(X18:X26)+SUM(K20:K26)+SUM(L20:L26)+SUM(N20:N26)+COUNT(O20:O26)*Grunddata!$C$1+SUM(P20:P26)+SUM(R20:R26)+SUM(S20:S26)+SUM(T20:T26)+SUM(U20:U26)+SUM(V20:V26)+SUM(W20:W26),"")</f>
        <v>0</v>
      </c>
      <c r="AC26" s="113" t="str">
        <f>IF(AND(WEEKDAY(A26,2)=7,SUM(R20:S26)&gt;0),IF(AB26-SUM(R20:S26)&lt;Grunddata!$C$2,"! G",""),"")</f>
        <v/>
      </c>
      <c r="AE26" s="349" t="str">
        <f>IF(AB26="","",IF(AB26&gt;Grunddata!$J$1,"Över",""))</f>
        <v/>
      </c>
      <c r="AF26" s="3" t="str">
        <f t="shared" si="7"/>
        <v/>
      </c>
      <c r="AG26" s="353" t="str">
        <f>IF(AND(OR(COUNTA(H26,L26:P26,T26)&gt;1,AND(COUNTA(H26,L26:P26,T26)&gt;=1,K26&lt;&gt;"")),SUM(H26,K26,L26:N26,P26,T26:U26)&gt;Grunddata!$C$1),"X","")</f>
        <v/>
      </c>
      <c r="AH26" s="353" t="str">
        <f t="shared" si="10"/>
        <v/>
      </c>
      <c r="AI26" s="353" t="str">
        <f t="shared" si="11"/>
        <v/>
      </c>
      <c r="AJ26" s="353" t="str">
        <f>IF(AND(WEEKDAY(A26,2)&lt;6,H26="",O26="",SUM(K26:N26,P26,T26:U26)&gt;0,SUM(K26:N26,P26,T26:U26)&lt;Grunddata!$C$1),"X","")</f>
        <v/>
      </c>
    </row>
    <row r="27" spans="1:36" s="113" customFormat="1" ht="30" customHeight="1" x14ac:dyDescent="0.25">
      <c r="A27" s="266">
        <v>42885</v>
      </c>
      <c r="B27" s="267">
        <f t="shared" si="0"/>
        <v>42885</v>
      </c>
      <c r="C27" s="151"/>
      <c r="D27" s="151"/>
      <c r="E27" s="151"/>
      <c r="F27" s="151"/>
      <c r="G27" s="153"/>
      <c r="H27" s="154" t="str">
        <f t="shared" si="9"/>
        <v/>
      </c>
      <c r="I27" s="381" t="str">
        <f>IF($J$1="Ja",IF(F27&gt;0,IF(AND(WEEKDAY(A27,2)&lt;6,COUNTIF(Grunddata!$A$14:$A$17,A27)=0,C27&gt;0),1,""),""),"")</f>
        <v/>
      </c>
      <c r="J27" s="156"/>
      <c r="K27" s="206" t="str">
        <f t="shared" si="12"/>
        <v/>
      </c>
      <c r="L27" s="152"/>
      <c r="M27" s="152"/>
      <c r="N27" s="152"/>
      <c r="O27" s="287"/>
      <c r="P27" s="159"/>
      <c r="Q27" s="160"/>
      <c r="R27" s="155"/>
      <c r="S27" s="159"/>
      <c r="T27" s="159"/>
      <c r="U27" s="159"/>
      <c r="V27" s="448" t="str">
        <f>IF(H27="","",IF(OR(WEEKDAY(A27,2)&gt;5,Z27="X",COUNTIF(Grunddata!$A$15:$A$31,A27)&gt;0),IF(H27-R27-S27=0,"",H27-R27-S27),IF(K27="",IF(H27+L27+M27+N27+P27-R27-S27+T27+U27=Grunddata!$C$1,"",IF(H27+L27+M27+N27+P27-R27-S27+T27-U27&gt;Grunddata!$C$1,H27+L27+M27+N27+P27-R27-S27+T27-U27-Grunddata!$C$1,"")),IF(H27+K27+L27+M27+N27+O27+P27-R27-S27+T27+U27=Grunddata!$C$1,"",IF(H27+K27+L27+M27+N27+P27-R27-S27+T27-U27&gt;Grunddata!$C$1,H27+K27+L27+M27+N27+P27-R27-S27+T27-U27-Grunddata!$C$1,"")))))</f>
        <v/>
      </c>
      <c r="W27" s="449" t="str">
        <f>IF(OR(AA27="!",O27&gt;0,H27="",V27&lt;&gt;"",WEEKDAY(A27,2)&gt;5,Z27="X",COUNTIF(Grunddata!$A$15:$A$31,A27)&gt;0),"",IF(K27="",IF(H27+L27+M27+N27+P27-R27-S27+T27+U27=Grunddata!$C$1,"",H27+L27+M27+N27+P27-R27-S27+T27+U27-Grunddata!$C$1),IF(H27+K27+L27+M27+N27+P27-R27-S27+T27+U27=Grunddata!$C$1,"",H27+K27+L27+M27+N27+O27+P27-R27-S27+T27+U27-Grunddata!$C$1)))</f>
        <v/>
      </c>
      <c r="X27" s="202" t="str">
        <f>IF(AND(WEEKDAY(A27,2)&lt;6,COUNTIF(Grunddata!$A$15:$A$31,A27)&gt;0,Z27=""),$D$6,IF(OR(H27="",Z27="X"),"",IF(V27="",IF(W27="",H27-R27-S27,H27-R27-S27-W27),H27-R27-S27-V27)))</f>
        <v/>
      </c>
      <c r="Y27" s="166"/>
      <c r="Z27" s="357" t="str">
        <f>IF(OR(WEEKDAY(A27,2)=VLOOKUP($C$2,Grunddata!$L$2:$W$174,9,FALSE),WEEKDAY(A27,2)=VLOOKUP($C$2,Grunddata!$L$2:$W$174,10,FALSE),WEEKDAY(A27,2)=VLOOKUP($C$2,Grunddata!$L$2:$W$174,11,FALSE),WEEKDAY(A27,2)=VLOOKUP($C$2,Grunddata!$L$2:$W$174,12,FALSE)),"X","")</f>
        <v/>
      </c>
      <c r="AA27" s="200" t="str">
        <f t="shared" si="5"/>
        <v/>
      </c>
      <c r="AB27" s="97" t="str">
        <f>IF(WEEKDAY(A27,2)=7,SUM(X19:X27)+SUM(K21:K27)+SUM(L21:L27)+SUM(N21:N27)+COUNT(O21:O27)*Grunddata!$C$1+SUM(P21:P27)+SUM(R21:R27)+SUM(S21:S27)+SUM(T21:T27)+SUM(U21:U27)+SUM(V21:V27)+SUM(W21:W27),"")</f>
        <v/>
      </c>
      <c r="AC27" s="113" t="str">
        <f>IF(AND(WEEKDAY(A27,2)=7,SUM(R21:S27)&gt;0),IF(AB27-SUM(R21:S27)&lt;Grunddata!$C$2,"! G",""),"")</f>
        <v/>
      </c>
      <c r="AE27" s="349" t="str">
        <f>IF(AB27="","",IF(AB27&gt;Grunddata!$J$1,"Över",""))</f>
        <v/>
      </c>
      <c r="AF27" s="3" t="str">
        <f t="shared" si="7"/>
        <v/>
      </c>
      <c r="AG27" s="353" t="str">
        <f>IF(AND(OR(COUNTA(H27,L27:P27,T27)&gt;1,AND(COUNTA(H27,L27:P27,T27)&gt;=1,K27&lt;&gt;"")),SUM(H27,K27,L27:N27,P27,T27:U27)&gt;Grunddata!$C$1),"X","")</f>
        <v/>
      </c>
      <c r="AH27" s="353" t="str">
        <f t="shared" si="10"/>
        <v/>
      </c>
      <c r="AI27" s="353" t="str">
        <f t="shared" si="11"/>
        <v/>
      </c>
      <c r="AJ27" s="353" t="str">
        <f>IF(AND(WEEKDAY(A27,2)&lt;6,H27="",O27="",SUM(K27:N27,P27,T27:U27)&gt;0,SUM(K27:N27,P27,T27:U27)&lt;Grunddata!$C$1),"X","")</f>
        <v/>
      </c>
    </row>
    <row r="28" spans="1:36" s="113" customFormat="1" ht="30" customHeight="1" x14ac:dyDescent="0.25">
      <c r="A28" s="266">
        <v>42886</v>
      </c>
      <c r="B28" s="267">
        <f t="shared" si="0"/>
        <v>42886</v>
      </c>
      <c r="C28" s="151"/>
      <c r="D28" s="151"/>
      <c r="E28" s="151"/>
      <c r="F28" s="151"/>
      <c r="G28" s="153"/>
      <c r="H28" s="154" t="str">
        <f t="shared" si="9"/>
        <v/>
      </c>
      <c r="I28" s="381" t="str">
        <f>IF($J$1="Ja",IF(F28&gt;0,IF(AND(WEEKDAY(A28,2)&lt;6,COUNTIF(Grunddata!$A$14:$A$17,A28)=0,C28&gt;0),1,""),""),"")</f>
        <v/>
      </c>
      <c r="J28" s="156"/>
      <c r="K28" s="206" t="str">
        <f t="shared" si="12"/>
        <v/>
      </c>
      <c r="L28" s="152"/>
      <c r="M28" s="152"/>
      <c r="N28" s="152"/>
      <c r="O28" s="287"/>
      <c r="P28" s="159"/>
      <c r="Q28" s="160"/>
      <c r="R28" s="155"/>
      <c r="S28" s="159"/>
      <c r="T28" s="159"/>
      <c r="U28" s="159"/>
      <c r="V28" s="448" t="str">
        <f>IF(H28="","",IF(OR(WEEKDAY(A28,2)&gt;5,Z28="X",COUNTIF(Grunddata!$A$15:$A$31,A28)&gt;0),IF(H28-R28-S28=0,"",H28-R28-S28),IF(K28="",IF(H28+L28+M28+N28+P28-R28-S28+T28+U28=Grunddata!$C$1,"",IF(H28+L28+M28+N28+P28-R28-S28+T28-U28&gt;Grunddata!$C$1,H28+L28+M28+N28+P28-R28-S28+T28-U28-Grunddata!$C$1,"")),IF(H28+K28+L28+M28+N28+O28+P28-R28-S28+T28+U28=Grunddata!$C$1,"",IF(H28+K28+L28+M28+N28+P28-R28-S28+T28-U28&gt;Grunddata!$C$1,H28+K28+L28+M28+N28+P28-R28-S28+T28-U28-Grunddata!$C$1,"")))))</f>
        <v/>
      </c>
      <c r="W28" s="449" t="str">
        <f>IF(OR(AA28="!",O28&gt;0,H28="",V28&lt;&gt;"",WEEKDAY(A28,2)&gt;5,Z28="X",COUNTIF(Grunddata!$A$15:$A$31,A28)&gt;0),"",IF(K28="",IF(H28+L28+M28+N28+P28-R28-S28+T28+U28=Grunddata!$C$1,"",H28+L28+M28+N28+P28-R28-S28+T28+U28-Grunddata!$C$1),IF(H28+K28+L28+M28+N28+P28-R28-S28+T28+U28=Grunddata!$C$1,"",H28+K28+L28+M28+N28+O28+P28-R28-S28+T28+U28-Grunddata!$C$1)))</f>
        <v/>
      </c>
      <c r="X28" s="202" t="str">
        <f>IF(AND(WEEKDAY(A28,2)&lt;6,COUNTIF(Grunddata!$A$15:$A$31,A28)&gt;0,Z28=""),$D$6,IF(OR(H28="",Z28="X"),"",IF(V28="",IF(W28="",H28-R28-S28,H28-R28-S28-W28),H28-R28-S28-V28)))</f>
        <v/>
      </c>
      <c r="Y28" s="166"/>
      <c r="Z28" s="357" t="str">
        <f>IF(OR(WEEKDAY(A28,2)=VLOOKUP($C$2,Grunddata!$L$2:$W$174,9,FALSE),WEEKDAY(A28,2)=VLOOKUP($C$2,Grunddata!$L$2:$W$174,10,FALSE),WEEKDAY(A28,2)=VLOOKUP($C$2,Grunddata!$L$2:$W$174,11,FALSE),WEEKDAY(A28,2)=VLOOKUP($C$2,Grunddata!$L$2:$W$174,12,FALSE)),"X","")</f>
        <v/>
      </c>
      <c r="AA28" s="200" t="str">
        <f t="shared" si="5"/>
        <v/>
      </c>
      <c r="AB28" s="97" t="str">
        <f>IF(WEEKDAY(A28,2)=7,SUM(X20:X28)+SUM(K22:K28)+SUM(L22:L28)+SUM(N22:N28)+COUNT(O22:O28)*Grunddata!$C$1+SUM(P22:P28)+SUM(R22:R28)+SUM(S22:S28)+SUM(T22:T28)+SUM(U22:U28)+SUM(V22:V28)+SUM(W22:W28),"")</f>
        <v/>
      </c>
      <c r="AC28" s="113" t="str">
        <f>IF(AND(WEEKDAY(A28,2)=7,SUM(R22:S28)&gt;0),IF(AB28-SUM(R22:S28)&lt;Grunddata!$C$2,"! G",""),"")</f>
        <v/>
      </c>
      <c r="AE28" s="349" t="str">
        <f>IF(AB28="","",IF(AB28&gt;Grunddata!$J$1,"Över",""))</f>
        <v/>
      </c>
      <c r="AF28" s="3" t="str">
        <f t="shared" si="7"/>
        <v/>
      </c>
      <c r="AG28" s="353" t="str">
        <f>IF(AND(OR(COUNTA(H28,L28:P28,T28)&gt;1,AND(COUNTA(H28,L28:P28,T28)&gt;=1,K28&lt;&gt;"")),SUM(H28,K28,L28:N28,P28,T28:U28)&gt;Grunddata!$C$1),"X","")</f>
        <v/>
      </c>
      <c r="AH28" s="353" t="str">
        <f t="shared" si="10"/>
        <v/>
      </c>
      <c r="AI28" s="353" t="str">
        <f t="shared" si="11"/>
        <v/>
      </c>
      <c r="AJ28" s="353" t="str">
        <f>IF(AND(WEEKDAY(A28,2)&lt;6,H28="",O28="",SUM(K28:N28,P28,T28:U28)&gt;0,SUM(K28:N28,P28,T28:U28)&lt;Grunddata!$C$1),"X","")</f>
        <v/>
      </c>
    </row>
    <row r="29" spans="1:36" s="113" customFormat="1" ht="30" customHeight="1" x14ac:dyDescent="0.25">
      <c r="A29" s="266">
        <v>42887</v>
      </c>
      <c r="B29" s="267">
        <f t="shared" si="0"/>
        <v>42887</v>
      </c>
      <c r="C29" s="151"/>
      <c r="D29" s="151"/>
      <c r="E29" s="151"/>
      <c r="F29" s="151"/>
      <c r="G29" s="153"/>
      <c r="H29" s="154" t="str">
        <f t="shared" si="9"/>
        <v/>
      </c>
      <c r="I29" s="381" t="str">
        <f>IF($J$1="Ja",IF(F29&gt;0,IF(AND(WEEKDAY(A29,2)&lt;6,COUNTIF(Grunddata!$A$14:$A$17,A29)=0,C29&gt;0),1,""),""),"")</f>
        <v/>
      </c>
      <c r="J29" s="156"/>
      <c r="K29" s="206" t="str">
        <f t="shared" si="12"/>
        <v/>
      </c>
      <c r="L29" s="152"/>
      <c r="M29" s="152"/>
      <c r="N29" s="152"/>
      <c r="O29" s="287"/>
      <c r="P29" s="159"/>
      <c r="Q29" s="160"/>
      <c r="R29" s="155"/>
      <c r="S29" s="159"/>
      <c r="T29" s="159"/>
      <c r="U29" s="159"/>
      <c r="V29" s="448" t="str">
        <f>IF(H29="","",IF(OR(WEEKDAY(A29,2)&gt;5,Z29="X",COUNTIF(Grunddata!$A$15:$A$31,A29)&gt;0),IF(H29-R29-S29=0,"",H29-R29-S29),IF(K29="",IF(H29+L29+M29+N29+P29-R29-S29+T29+U29=Grunddata!$C$1,"",IF(H29+L29+M29+N29+P29-R29-S29+T29-U29&gt;Grunddata!$C$1,H29+L29+M29+N29+P29-R29-S29+T29-U29-Grunddata!$C$1,"")),IF(H29+K29+L29+M29+N29+O29+P29-R29-S29+T29+U29=Grunddata!$C$1,"",IF(H29+K29+L29+M29+N29+P29-R29-S29+T29-U29&gt;Grunddata!$C$1,H29+K29+L29+M29+N29+P29-R29-S29+T29-U29-Grunddata!$C$1,"")))))</f>
        <v/>
      </c>
      <c r="W29" s="449" t="str">
        <f>IF(OR(AA29="!",O29&gt;0,H29="",V29&lt;&gt;"",WEEKDAY(A29,2)&gt;5,Z29="X",COUNTIF(Grunddata!$A$15:$A$31,A29)&gt;0),"",IF(K29="",IF(H29+L29+M29+N29+P29-R29-S29+T29+U29=Grunddata!$C$1,"",H29+L29+M29+N29+P29-R29-S29+T29+U29-Grunddata!$C$1),IF(H29+K29+L29+M29+N29+P29-R29-S29+T29+U29=Grunddata!$C$1,"",H29+K29+L29+M29+N29+O29+P29-R29-S29+T29+U29-Grunddata!$C$1)))</f>
        <v/>
      </c>
      <c r="X29" s="202" t="str">
        <f>IF(AND(WEEKDAY(A29,2)&lt;6,COUNTIF(Grunddata!$A$15:$A$31,A29)&gt;0,Z29=""),$D$6,IF(OR(H29="",Z29="X"),"",IF(V29="",IF(W29="",H29-R29-S29,H29-R29-S29-W29),H29-R29-S29-V29)))</f>
        <v/>
      </c>
      <c r="Y29" s="166"/>
      <c r="Z29" s="357" t="str">
        <f>IF(OR(WEEKDAY(A29,2)=VLOOKUP($C$2,Grunddata!$L$2:$W$174,9,FALSE),WEEKDAY(A29,2)=VLOOKUP($C$2,Grunddata!$L$2:$W$174,10,FALSE),WEEKDAY(A29,2)=VLOOKUP($C$2,Grunddata!$L$2:$W$174,11,FALSE),WEEKDAY(A29,2)=VLOOKUP($C$2,Grunddata!$L$2:$W$174,12,FALSE)),"X","")</f>
        <v/>
      </c>
      <c r="AA29" s="200" t="str">
        <f t="shared" si="5"/>
        <v/>
      </c>
      <c r="AB29" s="97" t="str">
        <f>IF(WEEKDAY(A29,2)=7,SUM(X21:X29)+SUM(K23:K29)+SUM(L23:L29)+SUM(N23:N29)+COUNT(O23:O29)*Grunddata!$C$1+SUM(P23:P29)+SUM(R23:R29)+SUM(S23:S29)+SUM(T23:T29)+SUM(U23:U29)+SUM(V23:V29)+SUM(W23:W29),"")</f>
        <v/>
      </c>
      <c r="AC29" s="113" t="str">
        <f>IF(AND(WEEKDAY(A29,2)=7,SUM(R23:S29)&gt;0),IF(AB29-SUM(R23:S29)&lt;Grunddata!$C$2,"! G",""),"")</f>
        <v/>
      </c>
      <c r="AE29" s="349" t="str">
        <f>IF(AB29="","",IF(AB29&gt;Grunddata!$J$1,"Över",""))</f>
        <v/>
      </c>
      <c r="AF29" s="3" t="str">
        <f t="shared" si="7"/>
        <v/>
      </c>
      <c r="AG29" s="353" t="str">
        <f>IF(AND(OR(COUNTA(H29,L29:P29,T29)&gt;1,AND(COUNTA(H29,L29:P29,T29)&gt;=1,K29&lt;&gt;"")),SUM(H29,K29,L29:N29,P29,T29:U29)&gt;Grunddata!$C$1),"X","")</f>
        <v/>
      </c>
      <c r="AH29" s="353" t="str">
        <f t="shared" si="10"/>
        <v/>
      </c>
      <c r="AI29" s="353" t="str">
        <f t="shared" si="11"/>
        <v/>
      </c>
      <c r="AJ29" s="353" t="str">
        <f>IF(AND(WEEKDAY(A29,2)&lt;6,H29="",O29="",SUM(K29:N29,P29,T29:U29)&gt;0,SUM(K29:N29,P29,T29:U29)&lt;Grunddata!$C$1),"X","")</f>
        <v/>
      </c>
    </row>
    <row r="30" spans="1:36" s="113" customFormat="1" ht="30" customHeight="1" x14ac:dyDescent="0.25">
      <c r="A30" s="266">
        <v>42888</v>
      </c>
      <c r="B30" s="267">
        <f t="shared" si="0"/>
        <v>42888</v>
      </c>
      <c r="C30" s="151"/>
      <c r="D30" s="151"/>
      <c r="E30" s="151"/>
      <c r="F30" s="151"/>
      <c r="G30" s="153"/>
      <c r="H30" s="154" t="str">
        <f t="shared" si="9"/>
        <v/>
      </c>
      <c r="I30" s="381" t="str">
        <f>IF($J$1="Ja",IF(F30&gt;0,IF(AND(WEEKDAY(A30,2)&lt;6,COUNTIF(Grunddata!$A$14:$A$17,A30)=0,C30&gt;0),1,""),""),"")</f>
        <v/>
      </c>
      <c r="J30" s="156"/>
      <c r="K30" s="206" t="str">
        <f t="shared" si="12"/>
        <v/>
      </c>
      <c r="L30" s="152"/>
      <c r="M30" s="152"/>
      <c r="N30" s="152"/>
      <c r="O30" s="287"/>
      <c r="P30" s="159"/>
      <c r="Q30" s="160"/>
      <c r="R30" s="155"/>
      <c r="S30" s="159"/>
      <c r="T30" s="159"/>
      <c r="U30" s="159"/>
      <c r="V30" s="448" t="str">
        <f>IF(H30="","",IF(OR(WEEKDAY(A30,2)&gt;5,Z30="X",COUNTIF(Grunddata!$A$15:$A$31,A30)&gt;0),IF(H30-R30-S30=0,"",H30-R30-S30),IF(K30="",IF(H30+L30+M30+N30+P30-R30-S30+T30+U30=Grunddata!$C$1,"",IF(H30+L30+M30+N30+P30-R30-S30+T30-U30&gt;Grunddata!$C$1,H30+L30+M30+N30+P30-R30-S30+T30-U30-Grunddata!$C$1,"")),IF(H30+K30+L30+M30+N30+O30+P30-R30-S30+T30+U30=Grunddata!$C$1,"",IF(H30+K30+L30+M30+N30+P30-R30-S30+T30-U30&gt;Grunddata!$C$1,H30+K30+L30+M30+N30+P30-R30-S30+T30-U30-Grunddata!$C$1,"")))))</f>
        <v/>
      </c>
      <c r="W30" s="449" t="str">
        <f>IF(OR(AA30="!",O30&gt;0,H30="",V30&lt;&gt;"",WEEKDAY(A30,2)&gt;5,Z30="X",COUNTIF(Grunddata!$A$15:$A$31,A30)&gt;0),"",IF(K30="",IF(H30+L30+M30+N30+P30-R30-S30+T30+U30=Grunddata!$C$1,"",H30+L30+M30+N30+P30-R30-S30+T30+U30-Grunddata!$C$1),IF(H30+K30+L30+M30+N30+P30-R30-S30+T30+U30=Grunddata!$C$1,"",H30+K30+L30+M30+N30+O30+P30-R30-S30+T30+U30-Grunddata!$C$1)))</f>
        <v/>
      </c>
      <c r="X30" s="202" t="str">
        <f>IF(AND(WEEKDAY(A30,2)&lt;6,COUNTIF(Grunddata!$A$15:$A$31,A30)&gt;0,Z30=""),$D$6,IF(OR(H30="",Z30="X"),"",IF(V30="",IF(W30="",H30-R30-S30,H30-R30-S30-W30),H30-R30-S30-V30)))</f>
        <v/>
      </c>
      <c r="Y30" s="166"/>
      <c r="Z30" s="357" t="str">
        <f>IF(OR(WEEKDAY(A30,2)=VLOOKUP($C$2,Grunddata!$L$2:$W$174,9,FALSE),WEEKDAY(A30,2)=VLOOKUP($C$2,Grunddata!$L$2:$W$174,10,FALSE),WEEKDAY(A30,2)=VLOOKUP($C$2,Grunddata!$L$2:$W$174,11,FALSE),WEEKDAY(A30,2)=VLOOKUP($C$2,Grunddata!$L$2:$W$174,12,FALSE)),"X","")</f>
        <v/>
      </c>
      <c r="AA30" s="200" t="str">
        <f t="shared" si="5"/>
        <v/>
      </c>
      <c r="AB30" s="97" t="str">
        <f>IF(WEEKDAY(A30,2)=7,SUM(X22:X30)+SUM(K24:K30)+SUM(L24:L30)+SUM(N24:N30)+COUNT(O24:O30)*Grunddata!$C$1+SUM(P24:P30)+SUM(R24:R30)+SUM(S24:S30)+SUM(T24:T30)+SUM(U24:U30)+SUM(V24:V30)+SUM(W24:W30),"")</f>
        <v/>
      </c>
      <c r="AC30" s="113" t="str">
        <f>IF(AND(WEEKDAY(A30,2)=7,SUM(R24:S30)&gt;0),IF(AB30-SUM(R24:S30)&lt;Grunddata!$C$2,"! G",""),"")</f>
        <v/>
      </c>
      <c r="AE30" s="349" t="str">
        <f>IF(AB30="","",IF(AB30&gt;Grunddata!$J$1,"Över",""))</f>
        <v/>
      </c>
      <c r="AF30" s="3" t="str">
        <f t="shared" si="7"/>
        <v/>
      </c>
      <c r="AG30" s="353" t="str">
        <f>IF(AND(OR(COUNTA(H30,L30:P30,T30)&gt;1,AND(COUNTA(H30,L30:P30,T30)&gt;=1,K30&lt;&gt;"")),SUM(H30,K30,L30:N30,P30,T30:U30)&gt;Grunddata!$C$1),"X","")</f>
        <v/>
      </c>
      <c r="AH30" s="353" t="str">
        <f t="shared" si="10"/>
        <v/>
      </c>
      <c r="AI30" s="353" t="str">
        <f t="shared" si="11"/>
        <v/>
      </c>
      <c r="AJ30" s="353" t="str">
        <f>IF(AND(WEEKDAY(A30,2)&lt;6,H30="",O30="",SUM(K30:N30,P30,T30:U30)&gt;0,SUM(K30:N30,P30,T30:U30)&lt;Grunddata!$C$1),"X","")</f>
        <v/>
      </c>
    </row>
    <row r="31" spans="1:36" s="113" customFormat="1" ht="30" customHeight="1" x14ac:dyDescent="0.25">
      <c r="A31" s="266">
        <v>42889</v>
      </c>
      <c r="B31" s="267">
        <f t="shared" si="0"/>
        <v>42889</v>
      </c>
      <c r="C31" s="151"/>
      <c r="D31" s="151"/>
      <c r="E31" s="151"/>
      <c r="F31" s="151"/>
      <c r="G31" s="153"/>
      <c r="H31" s="154" t="str">
        <f t="shared" si="9"/>
        <v/>
      </c>
      <c r="I31" s="381" t="str">
        <f>IF($J$1="Ja",IF(F31&gt;0,IF(AND(WEEKDAY(A31,2)&lt;6,COUNTIF(Grunddata!$A$14:$A$17,A31)=0,C31&gt;0),1,""),""),"")</f>
        <v/>
      </c>
      <c r="J31" s="156"/>
      <c r="K31" s="206" t="str">
        <f t="shared" si="12"/>
        <v/>
      </c>
      <c r="L31" s="152"/>
      <c r="M31" s="152"/>
      <c r="N31" s="152"/>
      <c r="O31" s="287"/>
      <c r="P31" s="159"/>
      <c r="Q31" s="160"/>
      <c r="R31" s="155"/>
      <c r="S31" s="159"/>
      <c r="T31" s="159"/>
      <c r="U31" s="159"/>
      <c r="V31" s="448" t="str">
        <f>IF(H31="","",IF(OR(WEEKDAY(A31,2)&gt;5,Z31="X",COUNTIF(Grunddata!$A$15:$A$31,A31)&gt;0),IF(H31-R31-S31=0,"",H31-R31-S31),IF(K31="",IF(H31+L31+M31+N31+P31-R31-S31+T31+U31=Grunddata!$C$1,"",IF(H31+L31+M31+N31+P31-R31-S31+T31-U31&gt;Grunddata!$C$1,H31+L31+M31+N31+P31-R31-S31+T31-U31-Grunddata!$C$1,"")),IF(H31+K31+L31+M31+N31+O31+P31-R31-S31+T31+U31=Grunddata!$C$1,"",IF(H31+K31+L31+M31+N31+P31-R31-S31+T31-U31&gt;Grunddata!$C$1,H31+K31+L31+M31+N31+P31-R31-S31+T31-U31-Grunddata!$C$1,"")))))</f>
        <v/>
      </c>
      <c r="W31" s="449" t="str">
        <f>IF(OR(AA31="!",O31&gt;0,H31="",V31&lt;&gt;"",WEEKDAY(A31,2)&gt;5,Z31="X",COUNTIF(Grunddata!$A$15:$A$31,A31)&gt;0),"",IF(K31="",IF(H31+L31+M31+N31+P31-R31-S31+T31+U31=Grunddata!$C$1,"",H31+L31+M31+N31+P31-R31-S31+T31+U31-Grunddata!$C$1),IF(H31+K31+L31+M31+N31+P31-R31-S31+T31+U31=Grunddata!$C$1,"",H31+K31+L31+M31+N31+O31+P31-R31-S31+T31+U31-Grunddata!$C$1)))</f>
        <v/>
      </c>
      <c r="X31" s="202" t="str">
        <f>IF(AND(WEEKDAY(A31,2)&lt;6,COUNTIF(Grunddata!$A$15:$A$31,A31)&gt;0,Z31=""),$D$6,IF(OR(H31="",Z31="X"),"",IF(V31="",IF(W31="",H31-R31-S31,H31-R31-S31-W31),H31-R31-S31-V31)))</f>
        <v/>
      </c>
      <c r="Y31" s="166"/>
      <c r="Z31" s="357" t="str">
        <f>IF(OR(WEEKDAY(A31,2)=VLOOKUP($C$2,Grunddata!$L$2:$W$174,9,FALSE),WEEKDAY(A31,2)=VLOOKUP($C$2,Grunddata!$L$2:$W$174,10,FALSE),WEEKDAY(A31,2)=VLOOKUP($C$2,Grunddata!$L$2:$W$174,11,FALSE),WEEKDAY(A31,2)=VLOOKUP($C$2,Grunddata!$L$2:$W$174,12,FALSE)),"X","")</f>
        <v/>
      </c>
      <c r="AA31" s="200" t="str">
        <f t="shared" si="5"/>
        <v/>
      </c>
      <c r="AB31" s="97" t="str">
        <f>IF(WEEKDAY(A31,2)=7,SUM(X23:X31)+SUM(K25:K31)+SUM(L25:L31)+SUM(N25:N31)+COUNT(O25:O31)*Grunddata!$C$1+SUM(P25:P31)+SUM(R25:R31)+SUM(S25:S31)+SUM(T25:T31)+SUM(U25:U31)+SUM(V25:V31)+SUM(W25:W31),"")</f>
        <v/>
      </c>
      <c r="AC31" s="113" t="str">
        <f>IF(AND(WEEKDAY(A31,2)=7,SUM(R25:S31)&gt;0),IF(AB31-SUM(R25:S31)&lt;Grunddata!$C$2,"! G",""),"")</f>
        <v/>
      </c>
      <c r="AE31" s="349" t="str">
        <f>IF(AB31="","",IF(AB31&gt;Grunddata!$J$1,"Över",""))</f>
        <v/>
      </c>
      <c r="AF31" s="3" t="str">
        <f t="shared" si="7"/>
        <v/>
      </c>
      <c r="AG31" s="353" t="str">
        <f>IF(AND(OR(COUNTA(H31,L31:P31,T31)&gt;1,AND(COUNTA(H31,L31:P31,T31)&gt;=1,K31&lt;&gt;"")),SUM(H31,K31,L31:N31,P31,T31:U31)&gt;Grunddata!$C$1),"X","")</f>
        <v/>
      </c>
      <c r="AH31" s="353" t="str">
        <f t="shared" si="10"/>
        <v/>
      </c>
      <c r="AI31" s="353" t="str">
        <f t="shared" si="11"/>
        <v/>
      </c>
      <c r="AJ31" s="353" t="str">
        <f>IF(AND(WEEKDAY(A31,2)&lt;6,H31="",O31="",SUM(K31:N31,P31,T31:U31)&gt;0,SUM(K31:N31,P31,T31:U31)&lt;Grunddata!$C$1),"X","")</f>
        <v/>
      </c>
    </row>
    <row r="32" spans="1:36" s="113" customFormat="1" ht="30" customHeight="1" x14ac:dyDescent="0.25">
      <c r="A32" s="266">
        <v>42890</v>
      </c>
      <c r="B32" s="267">
        <f t="shared" si="0"/>
        <v>42890</v>
      </c>
      <c r="C32" s="151"/>
      <c r="D32" s="151"/>
      <c r="E32" s="151"/>
      <c r="F32" s="151"/>
      <c r="G32" s="153"/>
      <c r="H32" s="154" t="str">
        <f t="shared" si="9"/>
        <v/>
      </c>
      <c r="I32" s="381" t="str">
        <f>IF($J$1="Ja",IF(F32&gt;0,IF(AND(WEEKDAY(A32,2)&lt;6,COUNTIF(Grunddata!$A$14:$A$17,A32)=0,C32&gt;0),1,""),""),"")</f>
        <v/>
      </c>
      <c r="J32" s="156"/>
      <c r="K32" s="206" t="str">
        <f t="shared" si="12"/>
        <v/>
      </c>
      <c r="L32" s="152"/>
      <c r="M32" s="152"/>
      <c r="N32" s="152"/>
      <c r="O32" s="287"/>
      <c r="P32" s="159"/>
      <c r="Q32" s="160"/>
      <c r="R32" s="155"/>
      <c r="S32" s="159"/>
      <c r="T32" s="159"/>
      <c r="U32" s="159"/>
      <c r="V32" s="448" t="str">
        <f>IF(H32="","",IF(OR(WEEKDAY(A32,2)&gt;5,Z32="X",COUNTIF(Grunddata!$A$15:$A$31,A32)&gt;0),IF(H32-R32-S32=0,"",H32-R32-S32),IF(K32="",IF(H32+L32+M32+N32+P32-R32-S32+T32+U32=Grunddata!$C$1,"",IF(H32+L32+M32+N32+P32-R32-S32+T32-U32&gt;Grunddata!$C$1,H32+L32+M32+N32+P32-R32-S32+T32-U32-Grunddata!$C$1,"")),IF(H32+K32+L32+M32+N32+O32+P32-R32-S32+T32+U32=Grunddata!$C$1,"",IF(H32+K32+L32+M32+N32+P32-R32-S32+T32-U32&gt;Grunddata!$C$1,H32+K32+L32+M32+N32+P32-R32-S32+T32-U32-Grunddata!$C$1,"")))))</f>
        <v/>
      </c>
      <c r="W32" s="449" t="str">
        <f>IF(OR(AA32="!",O32&gt;0,H32="",V32&lt;&gt;"",WEEKDAY(A32,2)&gt;5,Z32="X",COUNTIF(Grunddata!$A$15:$A$31,A32)&gt;0),"",IF(K32="",IF(H32+L32+M32+N32+P32-R32-S32+T32+U32=Grunddata!$C$1,"",H32+L32+M32+N32+P32-R32-S32+T32+U32-Grunddata!$C$1),IF(H32+K32+L32+M32+N32+P32-R32-S32+T32+U32=Grunddata!$C$1,"",H32+K32+L32+M32+N32+O32+P32-R32-S32+T32+U32-Grunddata!$C$1)))</f>
        <v/>
      </c>
      <c r="X32" s="202" t="str">
        <f>IF(AND(WEEKDAY(A32,2)&lt;6,COUNTIF(Grunddata!$A$15:$A$31,A32)&gt;0,Z32=""),$D$6,IF(OR(H32="",Z32="X"),"",IF(V32="",IF(W32="",H32-R32-S32,H32-R32-S32-W32),H32-R32-S32-V32)))</f>
        <v/>
      </c>
      <c r="Y32" s="166"/>
      <c r="Z32" s="357" t="str">
        <f>IF(OR(WEEKDAY(A32,2)=VLOOKUP($C$2,Grunddata!$L$2:$W$174,9,FALSE),WEEKDAY(A32,2)=VLOOKUP($C$2,Grunddata!$L$2:$W$174,10,FALSE),WEEKDAY(A32,2)=VLOOKUP($C$2,Grunddata!$L$2:$W$174,11,FALSE),WEEKDAY(A32,2)=VLOOKUP($C$2,Grunddata!$L$2:$W$174,12,FALSE)),"X","")</f>
        <v/>
      </c>
      <c r="AA32" s="200" t="str">
        <f t="shared" si="5"/>
        <v/>
      </c>
      <c r="AB32" s="97" t="str">
        <f>IF(WEEKDAY(A32,2)=7,SUM(X24:X32)+SUM(K26:K32)+SUM(L26:L32)+SUM(N26:N32)+COUNT(O26:O32)*Grunddata!$C$1+SUM(P26:P32)+SUM(R26:R32)+SUM(S26:S32)+SUM(T26:T32)+SUM(U26:U32)+SUM(V26:V32)+SUM(W26:W32),"")</f>
        <v/>
      </c>
      <c r="AC32" s="113" t="str">
        <f>IF(AND(WEEKDAY(A32,2)=7,SUM(R26:S32)&gt;0),IF(AB32-SUM(R26:S32)&lt;Grunddata!$C$2,"! G",""),"")</f>
        <v/>
      </c>
      <c r="AE32" s="349" t="str">
        <f>IF(AB32="","",IF(AB32&gt;Grunddata!$J$1,"Över",""))</f>
        <v/>
      </c>
      <c r="AF32" s="3" t="str">
        <f t="shared" si="7"/>
        <v/>
      </c>
      <c r="AG32" s="353" t="str">
        <f>IF(AND(OR(COUNTA(H32,L32:P32,T32)&gt;1,AND(COUNTA(H32,L32:P32,T32)&gt;=1,K32&lt;&gt;"")),SUM(H32,K32,L32:N32,P32,T32:U32)&gt;Grunddata!$C$1),"X","")</f>
        <v/>
      </c>
      <c r="AH32" s="353" t="str">
        <f t="shared" si="10"/>
        <v/>
      </c>
      <c r="AI32" s="353" t="str">
        <f t="shared" si="11"/>
        <v/>
      </c>
      <c r="AJ32" s="353" t="str">
        <f>IF(AND(WEEKDAY(A32,2)&lt;6,H32="",O32="",SUM(K32:N32,P32,T32:U32)&gt;0,SUM(K32:N32,P32,T32:U32)&lt;Grunddata!$C$1),"X","")</f>
        <v/>
      </c>
    </row>
    <row r="33" spans="1:36" s="113" customFormat="1" ht="30" customHeight="1" x14ac:dyDescent="0.25">
      <c r="A33" s="266">
        <v>42891</v>
      </c>
      <c r="B33" s="267">
        <f t="shared" si="0"/>
        <v>42891</v>
      </c>
      <c r="C33" s="151"/>
      <c r="D33" s="151"/>
      <c r="E33" s="151"/>
      <c r="F33" s="151"/>
      <c r="G33" s="153"/>
      <c r="H33" s="154" t="str">
        <f t="shared" si="9"/>
        <v/>
      </c>
      <c r="I33" s="381" t="str">
        <f>IF($J$1="Ja",IF(F33&gt;0,IF(AND(WEEKDAY(A33,2)&lt;6,COUNTIF(Grunddata!$A$14:$A$17,A33)=0,C33&gt;0),1,""),""),"")</f>
        <v/>
      </c>
      <c r="J33" s="156"/>
      <c r="K33" s="206" t="str">
        <f t="shared" si="12"/>
        <v/>
      </c>
      <c r="L33" s="152"/>
      <c r="M33" s="152"/>
      <c r="N33" s="152"/>
      <c r="O33" s="287"/>
      <c r="P33" s="159"/>
      <c r="Q33" s="160"/>
      <c r="R33" s="155"/>
      <c r="S33" s="159"/>
      <c r="T33" s="159"/>
      <c r="U33" s="159"/>
      <c r="V33" s="448" t="str">
        <f>IF(H33="","",IF(OR(WEEKDAY(A33,2)&gt;5,Z33="X",COUNTIF(Grunddata!$A$15:$A$31,A33)&gt;0),IF(H33-R33-S33=0,"",H33-R33-S33),IF(K33="",IF(H33+L33+M33+N33+P33-R33-S33+T33+U33=Grunddata!$C$1,"",IF(H33+L33+M33+N33+P33-R33-S33+T33-U33&gt;Grunddata!$C$1,H33+L33+M33+N33+P33-R33-S33+T33-U33-Grunddata!$C$1,"")),IF(H33+K33+L33+M33+N33+O33+P33-R33-S33+T33+U33=Grunddata!$C$1,"",IF(H33+K33+L33+M33+N33+P33-R33-S33+T33-U33&gt;Grunddata!$C$1,H33+K33+L33+M33+N33+P33-R33-S33+T33-U33-Grunddata!$C$1,"")))))</f>
        <v/>
      </c>
      <c r="W33" s="449" t="str">
        <f>IF(OR(AA33="!",O33&gt;0,H33="",V33&lt;&gt;"",WEEKDAY(A33,2)&gt;5,Z33="X",COUNTIF(Grunddata!$A$15:$A$31,A33)&gt;0),"",IF(K33="",IF(H33+L33+M33+N33+P33-R33-S33+T33+U33=Grunddata!$C$1,"",H33+L33+M33+N33+P33-R33-S33+T33+U33-Grunddata!$C$1),IF(H33+K33+L33+M33+N33+P33-R33-S33+T33+U33=Grunddata!$C$1,"",H33+K33+L33+M33+N33+O33+P33-R33-S33+T33+U33-Grunddata!$C$1)))</f>
        <v/>
      </c>
      <c r="X33" s="202" t="str">
        <f>IF(AND(WEEKDAY(A33,2)&lt;6,COUNTIF(Grunddata!$A$15:$A$31,A33)&gt;0,Z33=""),$D$6,IF(OR(H33="",Z33="X"),"",IF(V33="",IF(W33="",H33-R33-S33,H33-R33-S33-W33),H33-R33-S33-V33)))</f>
        <v/>
      </c>
      <c r="Y33" s="166"/>
      <c r="Z33" s="357" t="str">
        <f>IF(OR(WEEKDAY(A33,2)=VLOOKUP($C$2,Grunddata!$L$2:$W$174,9,FALSE),WEEKDAY(A33,2)=VLOOKUP($C$2,Grunddata!$L$2:$W$174,10,FALSE),WEEKDAY(A33,2)=VLOOKUP($C$2,Grunddata!$L$2:$W$174,11,FALSE),WEEKDAY(A33,2)=VLOOKUP($C$2,Grunddata!$L$2:$W$174,12,FALSE)),"X","")</f>
        <v/>
      </c>
      <c r="AA33" s="200" t="str">
        <f t="shared" si="5"/>
        <v/>
      </c>
      <c r="AB33" s="97">
        <f>IF(WEEKDAY(A33,2)=7,SUM(X25:X33)+SUM(K27:K33)+SUM(L27:L33)+SUM(N27:N33)+COUNT(O27:O33)*Grunddata!$C$1+SUM(P27:P33)+SUM(R27:R33)+SUM(S27:S33)+SUM(T27:T33)+SUM(U27:U33)+SUM(V27:V33)+SUM(W27:W33),"")</f>
        <v>0</v>
      </c>
      <c r="AC33" s="113" t="str">
        <f>IF(AND(WEEKDAY(A33,2)=7,SUM(R27:S33)&gt;0),IF(AB33-SUM(R27:S33)&lt;Grunddata!$C$2,"! G",""),"")</f>
        <v/>
      </c>
      <c r="AE33" s="349" t="str">
        <f>IF(AB33="","",IF(AB33&gt;Grunddata!$J$1,"Över",""))</f>
        <v/>
      </c>
      <c r="AF33" s="3" t="str">
        <f t="shared" si="7"/>
        <v/>
      </c>
      <c r="AG33" s="353" t="str">
        <f>IF(AND(OR(COUNTA(H33,L33:P33,T33)&gt;1,AND(COUNTA(H33,L33:P33,T33)&gt;=1,K33&lt;&gt;"")),SUM(H33,K33,L33:N33,P33,T33:U33)&gt;Grunddata!$C$1),"X","")</f>
        <v/>
      </c>
      <c r="AH33" s="353" t="str">
        <f t="shared" si="10"/>
        <v/>
      </c>
      <c r="AI33" s="353" t="str">
        <f t="shared" si="11"/>
        <v/>
      </c>
      <c r="AJ33" s="353" t="str">
        <f>IF(AND(WEEKDAY(A33,2)&lt;6,H33="",O33="",SUM(K33:N33,P33,T33:U33)&gt;0,SUM(K33:N33,P33,T33:U33)&lt;Grunddata!$C$1),"X","")</f>
        <v/>
      </c>
    </row>
    <row r="34" spans="1:36" s="113" customFormat="1" ht="30" customHeight="1" x14ac:dyDescent="0.25">
      <c r="A34" s="266">
        <v>42892</v>
      </c>
      <c r="B34" s="267">
        <f t="shared" si="0"/>
        <v>42892</v>
      </c>
      <c r="C34" s="151"/>
      <c r="D34" s="151"/>
      <c r="E34" s="151"/>
      <c r="F34" s="151"/>
      <c r="G34" s="153"/>
      <c r="H34" s="154" t="str">
        <f t="shared" si="9"/>
        <v/>
      </c>
      <c r="I34" s="381" t="str">
        <f>IF($J$1="Ja",IF(F34&gt;0,IF(AND(WEEKDAY(A34,2)&lt;6,COUNTIF(Grunddata!$A$14:$A$17,A34)=0,C34&gt;0),1,""),""),"")</f>
        <v/>
      </c>
      <c r="J34" s="156"/>
      <c r="K34" s="206" t="str">
        <f t="shared" si="12"/>
        <v/>
      </c>
      <c r="L34" s="152"/>
      <c r="M34" s="152"/>
      <c r="N34" s="152"/>
      <c r="O34" s="287"/>
      <c r="P34" s="159"/>
      <c r="Q34" s="160"/>
      <c r="R34" s="155"/>
      <c r="S34" s="159"/>
      <c r="T34" s="159"/>
      <c r="U34" s="159"/>
      <c r="V34" s="448" t="str">
        <f>IF(H34="","",IF(OR(WEEKDAY(A34,2)&gt;5,Z34="X",COUNTIF(Grunddata!$A$15:$A$31,A34)&gt;0),IF(H34-R34-S34=0,"",H34-R34-S34),IF(K34="",IF(H34+L34+M34+N34+P34-R34-S34+T34+U34=Grunddata!$C$1,"",IF(H34+L34+M34+N34+P34-R34-S34+T34-U34&gt;Grunddata!$C$1,H34+L34+M34+N34+P34-R34-S34+T34-U34-Grunddata!$C$1,"")),IF(H34+K34+L34+M34+N34+O34+P34-R34-S34+T34+U34=Grunddata!$C$1,"",IF(H34+K34+L34+M34+N34+P34-R34-S34+T34-U34&gt;Grunddata!$C$1,H34+K34+L34+M34+N34+P34-R34-S34+T34-U34-Grunddata!$C$1,"")))))</f>
        <v/>
      </c>
      <c r="W34" s="449" t="str">
        <f>IF(OR(AA34="!",O34&gt;0,H34="",V34&lt;&gt;"",WEEKDAY(A34,2)&gt;5,Z34="X",COUNTIF(Grunddata!$A$15:$A$31,A34)&gt;0),"",IF(K34="",IF(H34+L34+M34+N34+P34-R34-S34+T34+U34=Grunddata!$C$1,"",H34+L34+M34+N34+P34-R34-S34+T34+U34-Grunddata!$C$1),IF(H34+K34+L34+M34+N34+P34-R34-S34+T34+U34=Grunddata!$C$1,"",H34+K34+L34+M34+N34+O34+P34-R34-S34+T34+U34-Grunddata!$C$1)))</f>
        <v/>
      </c>
      <c r="X34" s="202" t="str">
        <f>IF(AND(WEEKDAY(A34,2)&lt;6,COUNTIF(Grunddata!$A$15:$A$31,A34)&gt;0,Z34=""),$D$6,IF(OR(H34="",Z34="X"),"",IF(V34="",IF(W34="",H34-R34-S34,H34-R34-S34-W34),H34-R34-S34-V34)))</f>
        <v/>
      </c>
      <c r="Y34" s="166"/>
      <c r="Z34" s="357" t="str">
        <f>IF(OR(WEEKDAY(A34,2)=VLOOKUP($C$2,Grunddata!$L$2:$W$174,9,FALSE),WEEKDAY(A34,2)=VLOOKUP($C$2,Grunddata!$L$2:$W$174,10,FALSE),WEEKDAY(A34,2)=VLOOKUP($C$2,Grunddata!$L$2:$W$174,11,FALSE),WEEKDAY(A34,2)=VLOOKUP($C$2,Grunddata!$L$2:$W$174,12,FALSE)),"X","")</f>
        <v/>
      </c>
      <c r="AA34" s="200" t="str">
        <f t="shared" si="5"/>
        <v/>
      </c>
      <c r="AB34" s="97" t="str">
        <f>IF(WEEKDAY(A34,2)=7,SUM(X26:X34)+SUM(K28:K34)+SUM(L28:L34)+SUM(N28:N34)+COUNT(O28:O34)*Grunddata!$C$1+SUM(P28:P34)+SUM(R28:R34)+SUM(S28:S34)+SUM(T28:T34)+SUM(U28:U34)+SUM(V28:V34)+SUM(W28:W34),"")</f>
        <v/>
      </c>
      <c r="AC34" s="113" t="str">
        <f>IF(AND(WEEKDAY(A34,2)=7,SUM(R28:S34)&gt;0),IF(AB34-SUM(R28:S34)&lt;Grunddata!$C$2,"! G",""),"")</f>
        <v/>
      </c>
      <c r="AE34" s="349" t="str">
        <f>IF(AB34="","",IF(AB34&gt;Grunddata!$J$1,"Över",""))</f>
        <v/>
      </c>
      <c r="AF34" s="3" t="str">
        <f t="shared" si="7"/>
        <v/>
      </c>
      <c r="AG34" s="353" t="str">
        <f>IF(AND(OR(COUNTA(H34,L34:P34,T34)&gt;1,AND(COUNTA(H34,L34:P34,T34)&gt;=1,K34&lt;&gt;"")),SUM(H34,K34,L34:N34,P34,T34:U34)&gt;Grunddata!$C$1),"X","")</f>
        <v/>
      </c>
      <c r="AH34" s="353" t="str">
        <f t="shared" si="10"/>
        <v/>
      </c>
      <c r="AI34" s="353" t="str">
        <f t="shared" si="11"/>
        <v/>
      </c>
      <c r="AJ34" s="353" t="str">
        <f>IF(AND(WEEKDAY(A34,2)&lt;6,H34="",O34="",SUM(K34:N34,P34,T34:U34)&gt;0,SUM(K34:N34,P34,T34:U34)&lt;Grunddata!$C$1),"X","")</f>
        <v/>
      </c>
    </row>
    <row r="35" spans="1:36" s="113" customFormat="1" ht="30" customHeight="1" x14ac:dyDescent="0.25">
      <c r="A35" s="266">
        <v>42893</v>
      </c>
      <c r="B35" s="267">
        <f t="shared" si="0"/>
        <v>42893</v>
      </c>
      <c r="C35" s="151"/>
      <c r="D35" s="151"/>
      <c r="E35" s="151"/>
      <c r="F35" s="151"/>
      <c r="G35" s="153"/>
      <c r="H35" s="154" t="str">
        <f t="shared" si="9"/>
        <v/>
      </c>
      <c r="I35" s="381" t="str">
        <f>IF($J$1="Ja",IF(F35&gt;0,IF(AND(WEEKDAY(A35,2)&lt;6,COUNTIF(Grunddata!$A$14:$A$17,A35)=0,C35&gt;0),1,""),""),"")</f>
        <v/>
      </c>
      <c r="J35" s="156"/>
      <c r="K35" s="206" t="str">
        <f t="shared" si="12"/>
        <v/>
      </c>
      <c r="L35" s="152"/>
      <c r="M35" s="152"/>
      <c r="N35" s="152"/>
      <c r="O35" s="287"/>
      <c r="P35" s="159"/>
      <c r="Q35" s="160"/>
      <c r="R35" s="155"/>
      <c r="S35" s="159"/>
      <c r="T35" s="159"/>
      <c r="U35" s="159"/>
      <c r="V35" s="448" t="str">
        <f>IF(H35="","",IF(OR(WEEKDAY(A35,2)&gt;5,Z35="X",COUNTIF(Grunddata!$A$15:$A$31,A35)&gt;0),IF(H35-R35-S35=0,"",H35-R35-S35),IF(K35="",IF(H35+L35+M35+N35+P35-R35-S35+T35+U35=Grunddata!$C$1,"",IF(H35+L35+M35+N35+P35-R35-S35+T35-U35&gt;Grunddata!$C$1,H35+L35+M35+N35+P35-R35-S35+T35-U35-Grunddata!$C$1,"")),IF(H35+K35+L35+M35+N35+O35+P35-R35-S35+T35+U35=Grunddata!$C$1,"",IF(H35+K35+L35+M35+N35+P35-R35-S35+T35-U35&gt;Grunddata!$C$1,H35+K35+L35+M35+N35+P35-R35-S35+T35-U35-Grunddata!$C$1,"")))))</f>
        <v/>
      </c>
      <c r="W35" s="449" t="str">
        <f>IF(OR(AA35="!",O35&gt;0,H35="",V35&lt;&gt;"",WEEKDAY(A35,2)&gt;5,Z35="X",COUNTIF(Grunddata!$A$15:$A$31,A35)&gt;0),"",IF(K35="",IF(H35+L35+M35+N35+P35-R35-S35+T35+U35=Grunddata!$C$1,"",H35+L35+M35+N35+P35-R35-S35+T35+U35-Grunddata!$C$1),IF(H35+K35+L35+M35+N35+P35-R35-S35+T35+U35=Grunddata!$C$1,"",H35+K35+L35+M35+N35+O35+P35-R35-S35+T35+U35-Grunddata!$C$1)))</f>
        <v/>
      </c>
      <c r="X35" s="202" t="str">
        <f>IF(AND(WEEKDAY(A35,2)&lt;6,COUNTIF(Grunddata!$A$15:$A$31,A35)&gt;0,Z35=""),$D$6,IF(OR(H35="",Z35="X"),"",IF(V35="",IF(W35="",H35-R35-S35,H35-R35-S35-W35),H35-R35-S35-V35)))</f>
        <v/>
      </c>
      <c r="Y35" s="166"/>
      <c r="Z35" s="357" t="str">
        <f>IF(OR(WEEKDAY(A35,2)=VLOOKUP($C$2,Grunddata!$L$2:$W$174,9,FALSE),WEEKDAY(A35,2)=VLOOKUP($C$2,Grunddata!$L$2:$W$174,10,FALSE),WEEKDAY(A35,2)=VLOOKUP($C$2,Grunddata!$L$2:$W$174,11,FALSE),WEEKDAY(A35,2)=VLOOKUP($C$2,Grunddata!$L$2:$W$174,12,FALSE)),"X","")</f>
        <v/>
      </c>
      <c r="AA35" s="200" t="str">
        <f t="shared" si="5"/>
        <v/>
      </c>
      <c r="AB35" s="97" t="str">
        <f>IF(WEEKDAY(A35,2)=7,SUM(X27:X35)+SUM(K29:K35)+SUM(L29:L35)+SUM(N29:N35)+COUNT(O29:O35)*Grunddata!$C$1+SUM(P29:P35)+SUM(R29:R35)+SUM(S29:S35)+SUM(T29:T35)+SUM(U29:U35)+SUM(V29:V35)+SUM(W29:W35),"")</f>
        <v/>
      </c>
      <c r="AC35" s="113" t="str">
        <f>IF(AND(WEEKDAY(A35,2)=7,SUM(R29:S35)&gt;0),IF(AB35-SUM(R29:S35)&lt;Grunddata!$C$2,"! G",""),"")</f>
        <v/>
      </c>
      <c r="AE35" s="349" t="str">
        <f>IF(AB35="","",IF(AB35&gt;Grunddata!$J$1,"Över",""))</f>
        <v/>
      </c>
      <c r="AF35" s="3" t="str">
        <f t="shared" si="7"/>
        <v/>
      </c>
      <c r="AG35" s="353" t="str">
        <f>IF(AND(OR(COUNTA(H35,L35:P35,T35)&gt;1,AND(COUNTA(H35,L35:P35,T35)&gt;=1,K35&lt;&gt;"")),SUM(H35,K35,L35:N35,P35,T35:U35)&gt;Grunddata!$C$1),"X","")</f>
        <v/>
      </c>
      <c r="AH35" s="353" t="str">
        <f t="shared" si="10"/>
        <v/>
      </c>
      <c r="AI35" s="353" t="str">
        <f t="shared" si="11"/>
        <v/>
      </c>
      <c r="AJ35" s="353" t="str">
        <f>IF(AND(WEEKDAY(A35,2)&lt;6,H35="",O35="",SUM(K35:N35,P35,T35:U35)&gt;0,SUM(K35:N35,P35,T35:U35)&lt;Grunddata!$C$1),"X","")</f>
        <v/>
      </c>
    </row>
    <row r="36" spans="1:36" s="113" customFormat="1" ht="30" customHeight="1" x14ac:dyDescent="0.25">
      <c r="A36" s="266">
        <v>42894</v>
      </c>
      <c r="B36" s="267">
        <f t="shared" si="0"/>
        <v>42894</v>
      </c>
      <c r="C36" s="151"/>
      <c r="D36" s="151"/>
      <c r="E36" s="151"/>
      <c r="F36" s="151"/>
      <c r="G36" s="153"/>
      <c r="H36" s="154" t="str">
        <f t="shared" si="9"/>
        <v/>
      </c>
      <c r="I36" s="381" t="str">
        <f>IF($J$1="Ja",IF(F36&gt;0,IF(AND(WEEKDAY(A36,2)&lt;6,COUNTIF(Grunddata!$A$14:$A$17,A36)=0,C36&gt;0),1,""),""),"")</f>
        <v/>
      </c>
      <c r="J36" s="156"/>
      <c r="K36" s="206" t="str">
        <f t="shared" si="12"/>
        <v/>
      </c>
      <c r="L36" s="152"/>
      <c r="M36" s="152"/>
      <c r="N36" s="152"/>
      <c r="O36" s="287"/>
      <c r="P36" s="159"/>
      <c r="Q36" s="160"/>
      <c r="R36" s="155"/>
      <c r="S36" s="159"/>
      <c r="T36" s="159"/>
      <c r="U36" s="159"/>
      <c r="V36" s="448" t="str">
        <f>IF(H36="","",IF(OR(WEEKDAY(A36,2)&gt;5,Z36="X",COUNTIF(Grunddata!$A$15:$A$31,A36)&gt;0),IF(H36-R36-S36=0,"",H36-R36-S36),IF(K36="",IF(H36+L36+M36+N36+P36-R36-S36+T36+U36=Grunddata!$C$1,"",IF(H36+L36+M36+N36+P36-R36-S36+T36-U36&gt;Grunddata!$C$1,H36+L36+M36+N36+P36-R36-S36+T36-U36-Grunddata!$C$1,"")),IF(H36+K36+L36+M36+N36+O36+P36-R36-S36+T36+U36=Grunddata!$C$1,"",IF(H36+K36+L36+M36+N36+P36-R36-S36+T36-U36&gt;Grunddata!$C$1,H36+K36+L36+M36+N36+P36-R36-S36+T36-U36-Grunddata!$C$1,"")))))</f>
        <v/>
      </c>
      <c r="W36" s="449" t="str">
        <f>IF(OR(AA36="!",O36&gt;0,H36="",V36&lt;&gt;"",WEEKDAY(A36,2)&gt;5,Z36="X",COUNTIF(Grunddata!$A$15:$A$31,A36)&gt;0),"",IF(K36="",IF(H36+L36+M36+N36+P36-R36-S36+T36+U36=Grunddata!$C$1,"",H36+L36+M36+N36+P36-R36-S36+T36+U36-Grunddata!$C$1),IF(H36+K36+L36+M36+N36+P36-R36-S36+T36+U36=Grunddata!$C$1,"",H36+K36+L36+M36+N36+O36+P36-R36-S36+T36+U36-Grunddata!$C$1)))</f>
        <v/>
      </c>
      <c r="X36" s="202" t="str">
        <f>IF(AND(WEEKDAY(A36,2)&lt;6,COUNTIF(Grunddata!$A$15:$A$31,A36)&gt;0,Z36=""),$D$6,IF(OR(H36="",Z36="X"),"",IF(V36="",IF(W36="",H36-R36-S36,H36-R36-S36-W36),H36-R36-S36-V36)))</f>
        <v/>
      </c>
      <c r="Y36" s="166"/>
      <c r="Z36" s="357" t="str">
        <f>IF(OR(WEEKDAY(A36,2)=VLOOKUP($C$2,Grunddata!$L$2:$W$174,9,FALSE),WEEKDAY(A36,2)=VLOOKUP($C$2,Grunddata!$L$2:$W$174,10,FALSE),WEEKDAY(A36,2)=VLOOKUP($C$2,Grunddata!$L$2:$W$174,11,FALSE),WEEKDAY(A36,2)=VLOOKUP($C$2,Grunddata!$L$2:$W$174,12,FALSE)),"X","")</f>
        <v/>
      </c>
      <c r="AA36" s="200" t="str">
        <f t="shared" si="5"/>
        <v/>
      </c>
      <c r="AB36" s="97" t="str">
        <f>IF(WEEKDAY(A36,2)=7,SUM(X28:X36)+SUM(K30:K36)+SUM(L30:L36)+SUM(N30:N36)+COUNT(O30:O36)*Grunddata!$C$1+SUM(P30:P36)+SUM(R30:R36)+SUM(S30:S36)+SUM(T30:T36)+SUM(U30:U36)+SUM(V30:V36)+SUM(W30:W36),"")</f>
        <v/>
      </c>
      <c r="AC36" s="113" t="str">
        <f>IF(AND(WEEKDAY(A36,2)=7,SUM(R30:S36)&gt;0),IF(AB36-SUM(R30:S36)&lt;Grunddata!$C$2,"! G",""),"")</f>
        <v/>
      </c>
      <c r="AE36" s="349" t="str">
        <f>IF(AB36="","",IF(AB36&gt;Grunddata!$J$1,"Över",""))</f>
        <v/>
      </c>
      <c r="AF36" s="3" t="str">
        <f t="shared" si="7"/>
        <v/>
      </c>
      <c r="AG36" s="353" t="str">
        <f>IF(AND(OR(COUNTA(H36,L36:P36,T36)&gt;1,AND(COUNTA(H36,L36:P36,T36)&gt;=1,K36&lt;&gt;"")),SUM(H36,K36,L36:N36,P36,T36:U36)&gt;Grunddata!$C$1),"X","")</f>
        <v/>
      </c>
      <c r="AH36" s="353" t="str">
        <f t="shared" si="10"/>
        <v/>
      </c>
      <c r="AI36" s="353" t="str">
        <f t="shared" si="11"/>
        <v/>
      </c>
      <c r="AJ36" s="353" t="str">
        <f>IF(AND(WEEKDAY(A36,2)&lt;6,H36="",O36="",SUM(K36:N36,P36,T36:U36)&gt;0,SUM(K36:N36,P36,T36:U36)&lt;Grunddata!$C$1),"X","")</f>
        <v/>
      </c>
    </row>
    <row r="37" spans="1:36" s="113" customFormat="1" ht="30" customHeight="1" x14ac:dyDescent="0.25">
      <c r="A37" s="266">
        <v>42895</v>
      </c>
      <c r="B37" s="267">
        <f t="shared" si="0"/>
        <v>42895</v>
      </c>
      <c r="C37" s="151"/>
      <c r="D37" s="151"/>
      <c r="E37" s="151"/>
      <c r="F37" s="151"/>
      <c r="G37" s="153"/>
      <c r="H37" s="154" t="str">
        <f t="shared" si="9"/>
        <v/>
      </c>
      <c r="I37" s="381" t="str">
        <f>IF($J$1="Ja",IF(F37&gt;0,IF(AND(WEEKDAY(A37,2)&lt;6,COUNTIF(Grunddata!$A$14:$A$17,A37)=0,C37&gt;0),1,""),""),"")</f>
        <v/>
      </c>
      <c r="J37" s="156"/>
      <c r="K37" s="206" t="str">
        <f t="shared" si="12"/>
        <v/>
      </c>
      <c r="L37" s="152"/>
      <c r="M37" s="152"/>
      <c r="N37" s="152"/>
      <c r="O37" s="287"/>
      <c r="P37" s="159"/>
      <c r="Q37" s="160"/>
      <c r="R37" s="155"/>
      <c r="S37" s="159"/>
      <c r="T37" s="159"/>
      <c r="U37" s="159"/>
      <c r="V37" s="448" t="str">
        <f>IF(H37="","",IF(OR(WEEKDAY(A37,2)&gt;5,Z37="X",COUNTIF(Grunddata!$A$15:$A$31,A37)&gt;0),IF(H37-R37-S37=0,"",H37-R37-S37),IF(K37="",IF(H37+L37+M37+N37+P37-R37-S37+T37+U37=Grunddata!$C$1,"",IF(H37+L37+M37+N37+P37-R37-S37+T37-U37&gt;Grunddata!$C$1,H37+L37+M37+N37+P37-R37-S37+T37-U37-Grunddata!$C$1,"")),IF(H37+K37+L37+M37+N37+O37+P37-R37-S37+T37+U37=Grunddata!$C$1,"",IF(H37+K37+L37+M37+N37+P37-R37-S37+T37-U37&gt;Grunddata!$C$1,H37+K37+L37+M37+N37+P37-R37-S37+T37-U37-Grunddata!$C$1,"")))))</f>
        <v/>
      </c>
      <c r="W37" s="449" t="str">
        <f>IF(OR(AA37="!",O37&gt;0,H37="",V37&lt;&gt;"",WEEKDAY(A37,2)&gt;5,Z37="X",COUNTIF(Grunddata!$A$15:$A$31,A37)&gt;0),"",IF(K37="",IF(H37+L37+M37+N37+P37-R37-S37+T37+U37=Grunddata!$C$1,"",H37+L37+M37+N37+P37-R37-S37+T37+U37-Grunddata!$C$1),IF(H37+K37+L37+M37+N37+P37-R37-S37+T37+U37=Grunddata!$C$1,"",H37+K37+L37+M37+N37+O37+P37-R37-S37+T37+U37-Grunddata!$C$1)))</f>
        <v/>
      </c>
      <c r="X37" s="202" t="str">
        <f>IF(AND(WEEKDAY(A37,2)&lt;6,COUNTIF(Grunddata!$A$15:$A$31,A37)&gt;0,Z37=""),$D$6,IF(OR(H37="",Z37="X"),"",IF(V37="",IF(W37="",H37-R37-S37,H37-R37-S37-W37),H37-R37-S37-V37)))</f>
        <v/>
      </c>
      <c r="Y37" s="166"/>
      <c r="Z37" s="357" t="str">
        <f>IF(OR(WEEKDAY(A37,2)=VLOOKUP($C$2,Grunddata!$L$2:$W$174,9,FALSE),WEEKDAY(A37,2)=VLOOKUP($C$2,Grunddata!$L$2:$W$174,10,FALSE),WEEKDAY(A37,2)=VLOOKUP($C$2,Grunddata!$L$2:$W$174,11,FALSE),WEEKDAY(A37,2)=VLOOKUP($C$2,Grunddata!$L$2:$W$174,12,FALSE)),"X","")</f>
        <v/>
      </c>
      <c r="AA37" s="200" t="str">
        <f t="shared" si="5"/>
        <v/>
      </c>
      <c r="AB37" s="97" t="str">
        <f>IF(WEEKDAY(A37,2)=7,SUM(X29:X37)+SUM(K31:K37)+SUM(L31:L37)+SUM(N31:N37)+COUNT(O31:O37)*Grunddata!$C$1+SUM(P31:P37)+SUM(R31:R37)+SUM(S31:S37)+SUM(T31:T37)+SUM(U31:U37)+SUM(V31:V37)+SUM(W31:W37),"")</f>
        <v/>
      </c>
      <c r="AC37" s="113" t="str">
        <f>IF(AND(WEEKDAY(A37,2)=7,SUM(R31:S37)&gt;0),IF(AB37-SUM(R31:S37)&lt;Grunddata!$C$2,"! G",""),"")</f>
        <v/>
      </c>
      <c r="AE37" s="349" t="str">
        <f>IF(AB37="","",IF(AB37&gt;Grunddata!$J$1,"Över",""))</f>
        <v/>
      </c>
      <c r="AF37" s="3" t="str">
        <f t="shared" si="7"/>
        <v/>
      </c>
      <c r="AG37" s="353" t="str">
        <f>IF(AND(OR(COUNTA(H37,L37:P37,T37)&gt;1,AND(COUNTA(H37,L37:P37,T37)&gt;=1,K37&lt;&gt;"")),SUM(H37,K37,L37:N37,P37,T37:U37)&gt;Grunddata!$C$1),"X","")</f>
        <v/>
      </c>
      <c r="AH37" s="353" t="str">
        <f t="shared" si="10"/>
        <v/>
      </c>
      <c r="AI37" s="353" t="str">
        <f t="shared" si="11"/>
        <v/>
      </c>
      <c r="AJ37" s="353" t="str">
        <f>IF(AND(WEEKDAY(A37,2)&lt;6,H37="",O37="",SUM(K37:N37,P37,T37:U37)&gt;0,SUM(K37:N37,P37,T37:U37)&lt;Grunddata!$C$1),"X","")</f>
        <v/>
      </c>
    </row>
    <row r="38" spans="1:36" s="113" customFormat="1" ht="30" customHeight="1" x14ac:dyDescent="0.25">
      <c r="A38" s="266">
        <v>42896</v>
      </c>
      <c r="B38" s="267">
        <f t="shared" si="0"/>
        <v>42896</v>
      </c>
      <c r="C38" s="151"/>
      <c r="D38" s="151"/>
      <c r="E38" s="151"/>
      <c r="F38" s="151"/>
      <c r="G38" s="153"/>
      <c r="H38" s="154" t="str">
        <f t="shared" si="9"/>
        <v/>
      </c>
      <c r="I38" s="381" t="str">
        <f>IF($J$1="Ja",IF(F38&gt;0,IF(AND(WEEKDAY(A38,2)&lt;6,COUNTIF(Grunddata!$A$14:$A$17,A38)=0,C38&gt;0),1,""),""),"")</f>
        <v/>
      </c>
      <c r="J38" s="156"/>
      <c r="K38" s="206" t="str">
        <f t="shared" si="12"/>
        <v/>
      </c>
      <c r="L38" s="152"/>
      <c r="M38" s="152"/>
      <c r="N38" s="152"/>
      <c r="O38" s="287"/>
      <c r="P38" s="159"/>
      <c r="Q38" s="160"/>
      <c r="R38" s="155"/>
      <c r="S38" s="159"/>
      <c r="T38" s="159"/>
      <c r="U38" s="159"/>
      <c r="V38" s="448" t="str">
        <f>IF(H38="","",IF(OR(WEEKDAY(A38,2)&gt;5,Z38="X",COUNTIF(Grunddata!$A$15:$A$31,A38)&gt;0),IF(H38-R38-S38=0,"",H38-R38-S38),IF(K38="",IF(H38+L38+M38+N38+P38-R38-S38+T38+U38=Grunddata!$C$1,"",IF(H38+L38+M38+N38+P38-R38-S38+T38-U38&gt;Grunddata!$C$1,H38+L38+M38+N38+P38-R38-S38+T38-U38-Grunddata!$C$1,"")),IF(H38+K38+L38+M38+N38+O38+P38-R38-S38+T38+U38=Grunddata!$C$1,"",IF(H38+K38+L38+M38+N38+P38-R38-S38+T38-U38&gt;Grunddata!$C$1,H38+K38+L38+M38+N38+P38-R38-S38+T38-U38-Grunddata!$C$1,"")))))</f>
        <v/>
      </c>
      <c r="W38" s="449" t="str">
        <f>IF(OR(AA38="!",O38&gt;0,H38="",V38&lt;&gt;"",WEEKDAY(A38,2)&gt;5,Z38="X",COUNTIF(Grunddata!$A$15:$A$31,A38)&gt;0),"",IF(K38="",IF(H38+L38+M38+N38+P38-R38-S38+T38+U38=Grunddata!$C$1,"",H38+L38+M38+N38+P38-R38-S38+T38+U38-Grunddata!$C$1),IF(H38+K38+L38+M38+N38+P38-R38-S38+T38+U38=Grunddata!$C$1,"",H38+K38+L38+M38+N38+O38+P38-R38-S38+T38+U38-Grunddata!$C$1)))</f>
        <v/>
      </c>
      <c r="X38" s="202" t="str">
        <f>IF(AND(WEEKDAY(A38,2)&lt;6,COUNTIF(Grunddata!$A$15:$A$31,A38)&gt;0,Z38=""),$D$6,IF(OR(H38="",Z38="X"),"",IF(V38="",IF(W38="",H38-R38-S38,H38-R38-S38-W38),H38-R38-S38-V38)))</f>
        <v/>
      </c>
      <c r="Y38" s="166"/>
      <c r="Z38" s="357" t="str">
        <f>IF(OR(WEEKDAY(A38,2)=VLOOKUP($C$2,Grunddata!$L$2:$W$174,9,FALSE),WEEKDAY(A38,2)=VLOOKUP($C$2,Grunddata!$L$2:$W$174,10,FALSE),WEEKDAY(A38,2)=VLOOKUP($C$2,Grunddata!$L$2:$W$174,11,FALSE),WEEKDAY(A38,2)=VLOOKUP($C$2,Grunddata!$L$2:$W$174,12,FALSE)),"X","")</f>
        <v/>
      </c>
      <c r="AA38" s="200" t="str">
        <f t="shared" si="5"/>
        <v/>
      </c>
      <c r="AB38" s="97" t="str">
        <f>IF(WEEKDAY(A38,2)=7,SUM(X30:X38)+SUM(K32:K38)+SUM(L32:L38)+SUM(N32:N38)+COUNT(O32:O38)*Grunddata!$C$1+SUM(P32:P38)+SUM(R32:R38)+SUM(S32:S38)+SUM(T32:T38)+SUM(U32:U38)+SUM(V32:V38)+SUM(W32:W38),"")</f>
        <v/>
      </c>
      <c r="AC38" s="113" t="str">
        <f>IF(AND(WEEKDAY(A38,2)=7,SUM(R32:S38)&gt;0),IF(AB38-SUM(R32:S38)&lt;Grunddata!$C$2,"! G",""),"")</f>
        <v/>
      </c>
      <c r="AE38" s="349" t="str">
        <f>IF(AB38="","",IF(AB38&gt;Grunddata!$J$1,"Över",""))</f>
        <v/>
      </c>
      <c r="AF38" s="3" t="str">
        <f t="shared" si="7"/>
        <v/>
      </c>
      <c r="AG38" s="353" t="str">
        <f>IF(AND(OR(COUNTA(H38,L38:P38,T38)&gt;1,AND(COUNTA(H38,L38:P38,T38)&gt;=1,K38&lt;&gt;"")),SUM(H38,K38,L38:N38,P38,T38:U38)&gt;Grunddata!$C$1),"X","")</f>
        <v/>
      </c>
      <c r="AH38" s="353" t="str">
        <f t="shared" si="10"/>
        <v/>
      </c>
      <c r="AI38" s="353" t="str">
        <f t="shared" si="11"/>
        <v/>
      </c>
      <c r="AJ38" s="353" t="str">
        <f>IF(AND(WEEKDAY(A38,2)&lt;6,H38="",O38="",SUM(K38:N38,P38,T38:U38)&gt;0,SUM(K38:N38,P38,T38:U38)&lt;Grunddata!$C$1),"X","")</f>
        <v/>
      </c>
    </row>
    <row r="39" spans="1:36" s="113" customFormat="1" ht="30" customHeight="1" x14ac:dyDescent="0.25">
      <c r="A39" s="266">
        <v>42897</v>
      </c>
      <c r="B39" s="267">
        <f t="shared" si="0"/>
        <v>42897</v>
      </c>
      <c r="C39" s="151"/>
      <c r="D39" s="151"/>
      <c r="E39" s="151"/>
      <c r="F39" s="151"/>
      <c r="G39" s="153"/>
      <c r="H39" s="154" t="str">
        <f t="shared" si="9"/>
        <v/>
      </c>
      <c r="I39" s="381" t="str">
        <f>IF($J$1="Ja",IF(F39&gt;0,IF(AND(WEEKDAY(A39,2)&lt;6,COUNTIF(Grunddata!$A$14:$A$17,A39)=0,C39&gt;0),1,""),""),"")</f>
        <v/>
      </c>
      <c r="J39" s="156"/>
      <c r="K39" s="206" t="str">
        <f t="shared" si="12"/>
        <v/>
      </c>
      <c r="L39" s="152"/>
      <c r="M39" s="152"/>
      <c r="N39" s="152"/>
      <c r="O39" s="287"/>
      <c r="P39" s="159"/>
      <c r="Q39" s="160"/>
      <c r="R39" s="155"/>
      <c r="S39" s="159"/>
      <c r="T39" s="159"/>
      <c r="U39" s="159"/>
      <c r="V39" s="448" t="str">
        <f>IF(H39="","",IF(OR(WEEKDAY(A39,2)&gt;5,Z39="X",COUNTIF(Grunddata!$A$15:$A$31,A39)&gt;0),IF(H39-R39-S39=0,"",H39-R39-S39),IF(K39="",IF(H39+L39+M39+N39+P39-R39-S39+T39+U39=Grunddata!$C$1,"",IF(H39+L39+M39+N39+P39-R39-S39+T39-U39&gt;Grunddata!$C$1,H39+L39+M39+N39+P39-R39-S39+T39-U39-Grunddata!$C$1,"")),IF(H39+K39+L39+M39+N39+O39+P39-R39-S39+T39+U39=Grunddata!$C$1,"",IF(H39+K39+L39+M39+N39+P39-R39-S39+T39-U39&gt;Grunddata!$C$1,H39+K39+L39+M39+N39+P39-R39-S39+T39-U39-Grunddata!$C$1,"")))))</f>
        <v/>
      </c>
      <c r="W39" s="449" t="str">
        <f>IF(OR(AA39="!",O39&gt;0,H39="",V39&lt;&gt;"",WEEKDAY(A39,2)&gt;5,Z39="X",COUNTIF(Grunddata!$A$15:$A$31,A39)&gt;0),"",IF(K39="",IF(H39+L39+M39+N39+P39-R39-S39+T39+U39=Grunddata!$C$1,"",H39+L39+M39+N39+P39-R39-S39+T39+U39-Grunddata!$C$1),IF(H39+K39+L39+M39+N39+P39-R39-S39+T39+U39=Grunddata!$C$1,"",H39+K39+L39+M39+N39+O39+P39-R39-S39+T39+U39-Grunddata!$C$1)))</f>
        <v/>
      </c>
      <c r="X39" s="202" t="str">
        <f>IF(AND(WEEKDAY(A39,2)&lt;6,COUNTIF(Grunddata!$A$15:$A$31,A39)&gt;0,Z39=""),$D$6,IF(OR(H39="",Z39="X"),"",IF(V39="",IF(W39="",H39-R39-S39,H39-R39-S39-W39),H39-R39-S39-V39)))</f>
        <v/>
      </c>
      <c r="Y39" s="166"/>
      <c r="Z39" s="357" t="str">
        <f>IF(OR(WEEKDAY(A39,2)=VLOOKUP($C$2,Grunddata!$L$2:$W$174,9,FALSE),WEEKDAY(A39,2)=VLOOKUP($C$2,Grunddata!$L$2:$W$174,10,FALSE),WEEKDAY(A39,2)=VLOOKUP($C$2,Grunddata!$L$2:$W$174,11,FALSE),WEEKDAY(A39,2)=VLOOKUP($C$2,Grunddata!$L$2:$W$174,12,FALSE)),"X","")</f>
        <v/>
      </c>
      <c r="AA39" s="200" t="str">
        <f t="shared" si="5"/>
        <v/>
      </c>
      <c r="AB39" s="97" t="str">
        <f>IF(WEEKDAY(A39,2)=7,SUM(X31:X39)+SUM(K33:K39)+SUM(L33:L39)+SUM(N33:N39)+COUNT(O33:O39)*Grunddata!$C$1+SUM(P33:P39)+SUM(R33:R39)+SUM(S33:S39)+SUM(T33:T39)+SUM(U33:U39)+SUM(V33:V39)+SUM(W33:W39),"")</f>
        <v/>
      </c>
      <c r="AC39" s="113" t="str">
        <f>IF(AND(WEEKDAY(A39,2)=7,SUM(R33:S39)&gt;0),IF(AB39-SUM(R33:S39)&lt;Grunddata!$C$2,"! G",""),"")</f>
        <v/>
      </c>
      <c r="AD39" s="174"/>
      <c r="AE39" s="349" t="str">
        <f>IF(AB39="","",IF(AB39&gt;Grunddata!$J$1,"Över",""))</f>
        <v/>
      </c>
      <c r="AF39" s="3" t="str">
        <f t="shared" si="7"/>
        <v/>
      </c>
      <c r="AG39" s="353" t="str">
        <f>IF(AND(OR(COUNTA(H39,L39:P39,T39)&gt;1,AND(COUNTA(H39,L39:P39,T39)&gt;=1,K39&lt;&gt;"")),SUM(H39,K39,L39:N39,P39,T39:U39)&gt;Grunddata!$C$1),"X","")</f>
        <v/>
      </c>
      <c r="AH39" s="353" t="str">
        <f t="shared" si="10"/>
        <v/>
      </c>
      <c r="AI39" s="353" t="str">
        <f t="shared" si="11"/>
        <v/>
      </c>
      <c r="AJ39" s="353" t="str">
        <f>IF(AND(WEEKDAY(A39,2)&lt;6,H39="",O39="",SUM(K39:N39,P39,T39:U39)&gt;0,SUM(K39:N39,P39,T39:U39)&lt;Grunddata!$C$1),"X","")</f>
        <v/>
      </c>
    </row>
    <row r="40" spans="1:36" s="113" customFormat="1" ht="30" customHeight="1" x14ac:dyDescent="0.25">
      <c r="A40" s="266">
        <v>42898</v>
      </c>
      <c r="B40" s="267">
        <f t="shared" si="0"/>
        <v>42898</v>
      </c>
      <c r="C40" s="151"/>
      <c r="D40" s="151"/>
      <c r="E40" s="151"/>
      <c r="F40" s="151"/>
      <c r="G40" s="153"/>
      <c r="H40" s="154" t="str">
        <f t="shared" si="9"/>
        <v/>
      </c>
      <c r="I40" s="381" t="str">
        <f>IF($J$1="Ja",IF(F40&gt;0,IF(AND(WEEKDAY(A40,2)&lt;6,COUNTIF(Grunddata!$A$14:$A$17,A40)=0,C40&gt;0),1,""),""),"")</f>
        <v/>
      </c>
      <c r="J40" s="156"/>
      <c r="K40" s="206" t="str">
        <f t="shared" si="12"/>
        <v/>
      </c>
      <c r="L40" s="152"/>
      <c r="M40" s="152"/>
      <c r="N40" s="152"/>
      <c r="O40" s="287"/>
      <c r="P40" s="159"/>
      <c r="Q40" s="160"/>
      <c r="R40" s="155"/>
      <c r="S40" s="159"/>
      <c r="T40" s="159"/>
      <c r="U40" s="159"/>
      <c r="V40" s="448" t="str">
        <f>IF(H40="","",IF(OR(WEEKDAY(A40,2)&gt;5,Z40="X",COUNTIF(Grunddata!$A$15:$A$31,A40)&gt;0),IF(H40-R40-S40=0,"",H40-R40-S40),IF(K40="",IF(H40+L40+M40+N40+P40-R40-S40+T40+U40=Grunddata!$C$1,"",IF(H40+L40+M40+N40+P40-R40-S40+T40-U40&gt;Grunddata!$C$1,H40+L40+M40+N40+P40-R40-S40+T40-U40-Grunddata!$C$1,"")),IF(H40+K40+L40+M40+N40+O40+P40-R40-S40+T40+U40=Grunddata!$C$1,"",IF(H40+K40+L40+M40+N40+P40-R40-S40+T40-U40&gt;Grunddata!$C$1,H40+K40+L40+M40+N40+P40-R40-S40+T40-U40-Grunddata!$C$1,"")))))</f>
        <v/>
      </c>
      <c r="W40" s="449" t="str">
        <f>IF(OR(AA40="!",O40&gt;0,H40="",V40&lt;&gt;"",WEEKDAY(A40,2)&gt;5,Z40="X",COUNTIF(Grunddata!$A$15:$A$31,A40)&gt;0),"",IF(K40="",IF(H40+L40+M40+N40+P40-R40-S40+T40+U40=Grunddata!$C$1,"",H40+L40+M40+N40+P40-R40-S40+T40+U40-Grunddata!$C$1),IF(H40+K40+L40+M40+N40+P40-R40-S40+T40+U40=Grunddata!$C$1,"",H40+K40+L40+M40+N40+O40+P40-R40-S40+T40+U40-Grunddata!$C$1)))</f>
        <v/>
      </c>
      <c r="X40" s="202" t="str">
        <f>IF(AND(WEEKDAY(A40,2)&lt;6,COUNTIF(Grunddata!$A$15:$A$31,A40)&gt;0,Z40=""),$D$6,IF(OR(H40="",Z40="X"),"",IF(V40="",IF(W40="",H40-R40-S40,H40-R40-S40-W40),H40-R40-S40-V40)))</f>
        <v/>
      </c>
      <c r="Y40" s="166"/>
      <c r="Z40" s="357" t="str">
        <f>IF(OR(WEEKDAY(A40,2)=VLOOKUP($C$2,Grunddata!$L$2:$W$174,9,FALSE),WEEKDAY(A40,2)=VLOOKUP($C$2,Grunddata!$L$2:$W$174,10,FALSE),WEEKDAY(A40,2)=VLOOKUP($C$2,Grunddata!$L$2:$W$174,11,FALSE),WEEKDAY(A40,2)=VLOOKUP($C$2,Grunddata!$L$2:$W$174,12,FALSE)),"X","")</f>
        <v/>
      </c>
      <c r="AA40" s="200" t="str">
        <f t="shared" si="5"/>
        <v/>
      </c>
      <c r="AB40" s="97">
        <f>IF(WEEKDAY(A40,2)=7,SUM(X32:X40)+SUM(K34:K40)+SUM(L34:L40)+SUM(N34:N40)+COUNT(O34:O40)*Grunddata!$C$1+SUM(P34:P40)+SUM(R34:R40)+SUM(S34:S40)+SUM(T34:T40)+SUM(U34:U40)+SUM(V34:V40)+SUM(W34:W40),"")</f>
        <v>0</v>
      </c>
      <c r="AC40" s="113" t="str">
        <f>IF(AND(WEEKDAY(A40,2)=7,SUM(R34:S40)&gt;0),IF(AB40-SUM(R34:S40)&lt;Grunddata!$C$2,"! G",""),"")</f>
        <v/>
      </c>
      <c r="AD40" s="265" t="str">
        <f>IF(DAY(A40)&gt;15,"SANT","FALSKT")</f>
        <v>FALSKT</v>
      </c>
      <c r="AE40" s="349" t="str">
        <f>IF(AB40="","",IF(AB40&gt;Grunddata!$J$1,"Över",""))</f>
        <v/>
      </c>
      <c r="AF40" s="3" t="str">
        <f t="shared" si="7"/>
        <v/>
      </c>
      <c r="AG40" s="353" t="str">
        <f>IF(AND(OR(COUNTA(H40,L40:P40,T40)&gt;1,AND(COUNTA(H40,L40:P40,T40)&gt;=1,K40&lt;&gt;"")),SUM(H40,K40,L40:N40,P40,T40:U40)&gt;Grunddata!$C$1),"X","")</f>
        <v/>
      </c>
      <c r="AH40" s="353" t="str">
        <f t="shared" si="10"/>
        <v/>
      </c>
      <c r="AI40" s="353" t="str">
        <f t="shared" si="11"/>
        <v/>
      </c>
      <c r="AJ40" s="353" t="str">
        <f>IF(AND(WEEKDAY(A40,2)&lt;6,H40="",O40="",SUM(K40:N40,P40,T40:U40)&gt;0,SUM(K40:N40,P40,T40:U40)&lt;Grunddata!$C$1),"X","")</f>
        <v/>
      </c>
    </row>
    <row r="41" spans="1:36" s="113" customFormat="1" ht="30" customHeight="1" x14ac:dyDescent="0.25">
      <c r="A41" s="266">
        <v>42899</v>
      </c>
      <c r="B41" s="267">
        <f t="shared" si="0"/>
        <v>42899</v>
      </c>
      <c r="C41" s="151"/>
      <c r="D41" s="151"/>
      <c r="E41" s="151"/>
      <c r="F41" s="151"/>
      <c r="G41" s="153"/>
      <c r="H41" s="154" t="str">
        <f t="shared" si="9"/>
        <v/>
      </c>
      <c r="I41" s="381" t="str">
        <f>IF($J$1="Ja",IF(F41&gt;0,IF(AND(WEEKDAY(A41,2)&lt;6,COUNTIF(Grunddata!$A$14:$A$17,A41)=0,C41&gt;0),1,""),""),"")</f>
        <v/>
      </c>
      <c r="J41" s="156"/>
      <c r="K41" s="206"/>
      <c r="L41" s="152"/>
      <c r="M41" s="152"/>
      <c r="N41" s="152"/>
      <c r="O41" s="287"/>
      <c r="P41" s="159"/>
      <c r="Q41" s="160"/>
      <c r="R41" s="155"/>
      <c r="S41" s="159"/>
      <c r="T41" s="161"/>
      <c r="U41" s="176"/>
      <c r="V41" s="448" t="str">
        <f>IF(H41="","",IF(OR(WEEKDAY(A41,2)&gt;5,Z41="X",COUNTIF(Grunddata!$A$15:$A$31,A41)&gt;0),IF(H41-R41-S41=0,"",H41-R41-S41),IF(K41="",IF(H41+L41+M41+N41+P41-R41-S41+T41+U41=Grunddata!$C$1,"",IF(H41+L41+M41+N41+P41-R41-S41+T41-U41&gt;Grunddata!$C$1,H41+L41+M41+N41+P41-R41-S41+T41-U41-Grunddata!$C$1,"")),IF(H41+K41+L41+M41+N41+O41+P41-R41-S41+T41+U41=Grunddata!$C$1,"",IF(H41+K41+L41+M41+N41+P41-R41-S41+T41-U41&gt;Grunddata!$C$1,H41+K41+L41+M41+N41+P41-R41-S41+T41-U41-Grunddata!$C$1,"")))))</f>
        <v/>
      </c>
      <c r="W41" s="449" t="str">
        <f>IF(OR(AA41="!",O41&gt;0,H41="",V41&lt;&gt;"",WEEKDAY(A41,2)&gt;5,Z41="X",COUNTIF(Grunddata!$A$15:$A$31,A41)&gt;0),"",IF(K41="",IF(H41+L41+M41+N41+P41-R41-S41+T41+U41=Grunddata!$C$1,"",H41+L41+M41+N41+P41-R41-S41+T41+U41-Grunddata!$C$1),IF(H41+K41+L41+M41+N41+P41-R41-S41+T41+U41=Grunddata!$C$1,"",H41+K41+L41+M41+N41+O41+P41-R41-S41+T41+U41-Grunddata!$C$1)))</f>
        <v/>
      </c>
      <c r="X41" s="202" t="str">
        <f>IF(AND(WEEKDAY(A41,2)&lt;6,COUNTIF(Grunddata!$A$15:$A$31,A41)&gt;0,Z41=""),$D$6,IF(OR(H41="",Z41="X"),"",IF(V41="",IF(W41="",H41-R41-S41,H41-R41-S41-W41),H41-R41-S41-V41)))</f>
        <v/>
      </c>
      <c r="Y41" s="166"/>
      <c r="Z41" s="357" t="str">
        <f>IF(OR(WEEKDAY(A41,2)=VLOOKUP($C$2,Grunddata!$L$2:$W$174,9,FALSE),WEEKDAY(A41,2)=VLOOKUP($C$2,Grunddata!$L$2:$W$174,10,FALSE),WEEKDAY(A41,2)=VLOOKUP($C$2,Grunddata!$L$2:$W$174,11,FALSE),WEEKDAY(A41,2)=VLOOKUP($C$2,Grunddata!$L$2:$W$174,12,FALSE)),"X","")</f>
        <v/>
      </c>
      <c r="AA41" s="200" t="str">
        <f t="shared" si="5"/>
        <v/>
      </c>
      <c r="AB41" s="97" t="str">
        <f>IF(WEEKDAY(A41,2)=7,SUM(X33:X41)+SUM(K35:K41)+SUM(L35:L41)+SUM(N35:N41)+COUNT(O35:O41)*Grunddata!$C$1+SUM(P35:P41)+SUM(R35:R41)+SUM(S35:S41)+SUM(T35:T41)+SUM(U35:U41)+SUM(V35:V41)+SUM(W35:W41),"")</f>
        <v/>
      </c>
      <c r="AC41" s="113" t="str">
        <f>IF(AND(WEEKDAY(A41,2)=7,SUM(R35:S41)&gt;0),IF(AB41-SUM(R35:S41)&lt;Grunddata!$C$2,"! G",""),"")</f>
        <v/>
      </c>
      <c r="AD41" s="265" t="str">
        <f>IF(DAY(A41)&gt;15,"SANT","FALSKT")</f>
        <v>FALSKT</v>
      </c>
      <c r="AE41" s="349" t="str">
        <f>IF(AB41="","",IF(AB41&gt;Grunddata!$J$1,"Över",""))</f>
        <v/>
      </c>
      <c r="AF41" s="3" t="str">
        <f t="shared" si="7"/>
        <v/>
      </c>
      <c r="AG41" s="353" t="str">
        <f>IF(AND(OR(COUNTA(H41,L41:P41,T41)&gt;1,AND(COUNTA(H41,L41:P41,T41)&gt;=1,K41&lt;&gt;"")),SUM(H41,K41,L41:N41,P41,T41:U41)&gt;Grunddata!$C$1),"X","")</f>
        <v/>
      </c>
      <c r="AH41" s="353" t="str">
        <f t="shared" si="10"/>
        <v/>
      </c>
      <c r="AI41" s="353" t="str">
        <f t="shared" si="11"/>
        <v/>
      </c>
      <c r="AJ41" s="353" t="str">
        <f>IF(AND(WEEKDAY(A41,2)&lt;6,H41="",O41="",SUM(K41:N41,P41,T41:U41)&gt;0,SUM(K41:N41,P41,T41:U41)&lt;Grunddata!$C$1),"X","")</f>
        <v/>
      </c>
    </row>
    <row r="42" spans="1:36" s="113" customFormat="1" ht="25.95" customHeight="1" thickBot="1" x14ac:dyDescent="0.3">
      <c r="A42" s="266">
        <v>42900</v>
      </c>
      <c r="B42" s="267">
        <f t="shared" si="0"/>
        <v>42900</v>
      </c>
      <c r="C42" s="178"/>
      <c r="D42" s="178"/>
      <c r="E42" s="178"/>
      <c r="F42" s="178"/>
      <c r="G42" s="179"/>
      <c r="H42" s="180" t="str">
        <f t="shared" si="9"/>
        <v/>
      </c>
      <c r="I42" s="381" t="str">
        <f>IF($J$1="Ja",IF(F42&gt;0,IF(AND(WEEKDAY(A42,2)&lt;6,COUNTIF(Grunddata!$A$14:$A$17,A42)=0,C42&gt;0),1,""),""),"")</f>
        <v/>
      </c>
      <c r="J42" s="181"/>
      <c r="K42" s="206"/>
      <c r="L42" s="183"/>
      <c r="M42" s="183"/>
      <c r="N42" s="183"/>
      <c r="O42" s="287"/>
      <c r="P42" s="184"/>
      <c r="Q42" s="185"/>
      <c r="R42" s="186"/>
      <c r="S42" s="184"/>
      <c r="T42" s="187"/>
      <c r="U42" s="188"/>
      <c r="V42" s="448" t="str">
        <f>IF(H42="","",IF(OR(WEEKDAY(A42,2)&gt;5,Z42="X",COUNTIF(Grunddata!$A$15:$A$31,A42)&gt;0),IF(H42-R42-S42=0,"",H42-R42-S42),IF(K42="",IF(H42+L42+M42+N42+P42-R42-S42+T42+U42=Grunddata!$C$1,"",IF(H42+L42+M42+N42+P42-R42-S42+T42-U42&gt;Grunddata!$C$1,H42+L42+M42+N42+P42-R42-S42+T42-U42-Grunddata!$C$1,"")),IF(H42+K42+L42+M42+N42+O42+P42-R42-S42+T42+U42=Grunddata!$C$1,"",IF(H42+K42+L42+M42+N42+P42-R42-S42+T42-U42&gt;Grunddata!$C$1,H42+K42+L42+M42+N42+P42-R42-S42+T42-U42-Grunddata!$C$1,"")))))</f>
        <v/>
      </c>
      <c r="W42" s="449" t="str">
        <f>IF(OR(AA42="!",O42&gt;0,H42="",V42&lt;&gt;"",WEEKDAY(A42,2)&gt;5,Z42="X",COUNTIF(Grunddata!$A$15:$A$31,A42)&gt;0),"",IF(K42="",IF(H42+L42+M42+N42+P42-R42-S42+T42+U42=Grunddata!$C$1,"",H42+L42+M42+N42+P42-R42-S42+T42+U42-Grunddata!$C$1),IF(H42+K42+L42+M42+N42+P42-R42-S42+T42+U42=Grunddata!$C$1,"",H42+K42+L42+M42+N42+O42+P42-R42-S42+T42+U42-Grunddata!$C$1)))</f>
        <v/>
      </c>
      <c r="X42" s="202" t="str">
        <f>IF(AND(WEEKDAY(A42,2)&lt;6,COUNTIF(Grunddata!$A$15:$A$31,A42)&gt;0,Z42=""),$D$6,IF(OR(H42="",Z42="X"),"",IF(V42="",IF(W42="",H42-R42-S42,H42-R42-S42-W42),H42-R42-S42-V42)))</f>
        <v/>
      </c>
      <c r="Y42" s="166"/>
      <c r="Z42" s="357" t="str">
        <f>IF(OR(WEEKDAY(A42,2)=VLOOKUP($C$2,Grunddata!$L$2:$W$174,9,FALSE),WEEKDAY(A42,2)=VLOOKUP($C$2,Grunddata!$L$2:$W$174,10,FALSE),WEEKDAY(A42,2)=VLOOKUP($C$2,Grunddata!$L$2:$W$174,11,FALSE),WEEKDAY(A42,2)=VLOOKUP($C$2,Grunddata!$L$2:$W$174,12,FALSE)),"X","")</f>
        <v/>
      </c>
      <c r="AA42" s="200" t="str">
        <f t="shared" si="5"/>
        <v/>
      </c>
      <c r="AB42" s="97" t="str">
        <f>IF(WEEKDAY(A42,2)=7,SUM(X34:X42)+SUM(K36:K42)+SUM(L36:L42)+SUM(N36:N42)+COUNT(O36:O42)*Grunddata!$C$1+SUM(P36:P42)+SUM(R36:R42)+SUM(S36:S42)+SUM(T36:T42)+SUM(U36:U42)+SUM(V36:V42)+SUM(W36:W42),"")</f>
        <v/>
      </c>
      <c r="AC42" s="113" t="str">
        <f>IF(AND(WEEKDAY(A42,2)=7,SUM(R36:S42)&gt;0),IF(AB42-SUM(R36:S42)&lt;Grunddata!$C$2,"! G",""),"")</f>
        <v/>
      </c>
      <c r="AD42" s="265" t="str">
        <f>IF(DAY(A42)&gt;15,"SANT","FALSKT")</f>
        <v>FALSKT</v>
      </c>
      <c r="AE42" s="349" t="str">
        <f>IF(AB42="","",IF(AB42&gt;Grunddata!$J$1,"Över",""))</f>
        <v/>
      </c>
      <c r="AF42" s="3" t="str">
        <f t="shared" si="7"/>
        <v/>
      </c>
      <c r="AG42" s="353" t="str">
        <f>IF(AND(COUNTA(H42,K42:P42,T42)&gt;1,SUM(H42,K42:N42,P42,T42:U42)&gt;Grunddata!$C$1),"X","")</f>
        <v/>
      </c>
      <c r="AH42" s="353" t="str">
        <f t="shared" si="10"/>
        <v/>
      </c>
      <c r="AI42" s="353" t="str">
        <f t="shared" si="11"/>
        <v/>
      </c>
      <c r="AJ42" s="353" t="str">
        <f>IF(AND(WEEKDAY(A42,2)&lt;6,H42="",O42="",SUM(K42:N42,P42,T42:U42)&gt;0,SUM(K42:N42,P42,T42:U42)&lt;Grunddata!$C$1),"X","")</f>
        <v/>
      </c>
    </row>
    <row r="43" spans="1:36" ht="30" customHeight="1" thickBot="1" x14ac:dyDescent="0.3">
      <c r="A43" s="285" t="s">
        <v>64</v>
      </c>
      <c r="B43" s="284" t="s">
        <v>65</v>
      </c>
      <c r="C43" s="283"/>
      <c r="D43" s="283"/>
      <c r="E43" s="283">
        <f t="shared" ref="E43:U43" si="13">SUM(E12:E42)</f>
        <v>0</v>
      </c>
      <c r="F43" s="90">
        <f t="shared" si="13"/>
        <v>0</v>
      </c>
      <c r="G43" s="90">
        <f t="shared" si="13"/>
        <v>0</v>
      </c>
      <c r="H43" s="90">
        <f t="shared" si="13"/>
        <v>0</v>
      </c>
      <c r="I43" s="382">
        <f>SUM(I12:I42)</f>
        <v>0</v>
      </c>
      <c r="J43" s="90">
        <f t="shared" si="13"/>
        <v>0</v>
      </c>
      <c r="K43" s="90">
        <f t="shared" si="13"/>
        <v>0</v>
      </c>
      <c r="L43" s="90">
        <f t="shared" si="13"/>
        <v>0</v>
      </c>
      <c r="M43" s="90">
        <f t="shared" si="13"/>
        <v>0</v>
      </c>
      <c r="N43" s="90">
        <f t="shared" si="13"/>
        <v>0</v>
      </c>
      <c r="O43" s="145">
        <f>COUNTA(O12:O42)</f>
        <v>0</v>
      </c>
      <c r="P43" s="456">
        <f t="shared" si="13"/>
        <v>0</v>
      </c>
      <c r="Q43" s="456">
        <f t="shared" si="13"/>
        <v>0</v>
      </c>
      <c r="R43" s="345">
        <f t="shared" si="13"/>
        <v>0</v>
      </c>
      <c r="S43" s="90">
        <f t="shared" si="13"/>
        <v>0</v>
      </c>
      <c r="T43" s="95">
        <f t="shared" si="13"/>
        <v>0</v>
      </c>
      <c r="U43" s="95">
        <f t="shared" si="13"/>
        <v>0</v>
      </c>
      <c r="V43" s="491">
        <f>SUM(W12:W42)+SUM(V12:V42)</f>
        <v>0</v>
      </c>
      <c r="W43" s="492"/>
      <c r="X43" s="95">
        <f>SUM(X12:X42)</f>
        <v>0</v>
      </c>
      <c r="Y43" s="149"/>
      <c r="Z43" s="341"/>
      <c r="AA43" s="74"/>
      <c r="AB43" s="98"/>
      <c r="AC43" s="261"/>
      <c r="AE43" s="349"/>
    </row>
    <row r="44" spans="1:36" ht="30" customHeight="1" x14ac:dyDescent="0.3">
      <c r="A44" s="15"/>
      <c r="B44" s="15"/>
      <c r="C44" s="5"/>
      <c r="D44" s="5"/>
      <c r="E44" s="454"/>
      <c r="F44" s="5"/>
      <c r="G44" s="8"/>
      <c r="H44" s="8"/>
      <c r="I44" s="344"/>
      <c r="J44" s="344"/>
      <c r="K44" s="344"/>
      <c r="L44" s="344"/>
      <c r="M44" s="344"/>
      <c r="N44" s="344"/>
      <c r="O44" s="146"/>
      <c r="P44" s="344"/>
      <c r="Q44" s="344"/>
      <c r="R44" s="350" t="str">
        <f>IF(AND(R43&gt;0,Grunddata!$C$2&lt;Grunddata!$J$1,COUNTIF(Tidrapport!$AE$12:$AE$42,"Över")&gt;0),"♦",IF(AND(R43&gt;0,Grunddata!$C$2&lt;Grunddata!$J$1),"▲",""))</f>
        <v/>
      </c>
      <c r="S44" s="350"/>
      <c r="T44" s="454"/>
      <c r="U44" s="514" t="s">
        <v>66</v>
      </c>
      <c r="V44" s="514"/>
      <c r="W44" s="514"/>
      <c r="X44" s="88">
        <f>Q43+R43+T43+U43+X43</f>
        <v>0</v>
      </c>
      <c r="Y44" s="81"/>
      <c r="Z44" s="342"/>
      <c r="AA44" s="6"/>
      <c r="AB44" s="99"/>
      <c r="AC44" s="6"/>
      <c r="AE44" s="351">
        <f>COUNTIF(Tidrapport!AE13:AE43,"Över")</f>
        <v>0</v>
      </c>
    </row>
    <row r="45" spans="1:36" ht="31.5" customHeight="1" x14ac:dyDescent="0.3">
      <c r="A45" s="453"/>
      <c r="E45" s="454"/>
      <c r="I45" s="454"/>
      <c r="J45" s="454"/>
      <c r="K45" s="454"/>
      <c r="L45" s="454"/>
      <c r="M45" s="454"/>
      <c r="N45" s="454"/>
      <c r="O45" s="146"/>
      <c r="P45" s="344"/>
      <c r="Q45" s="344"/>
      <c r="R45" s="476"/>
      <c r="S45" s="476"/>
      <c r="T45" s="454"/>
      <c r="U45" s="454"/>
      <c r="V45" s="454"/>
      <c r="W45" s="66"/>
      <c r="X45" s="88"/>
      <c r="Y45" s="352"/>
      <c r="Z45" s="342"/>
      <c r="AA45" s="6"/>
      <c r="AB45" s="99"/>
      <c r="AC45" s="6"/>
    </row>
    <row r="46" spans="1:36" ht="21.75" customHeight="1" x14ac:dyDescent="0.3">
      <c r="A46" s="85"/>
      <c r="B46" s="15"/>
      <c r="C46" s="5"/>
      <c r="D46" s="5"/>
      <c r="E46" s="72"/>
      <c r="F46" s="5"/>
      <c r="G46" s="8"/>
      <c r="H46" s="8"/>
      <c r="I46" s="344"/>
      <c r="J46" s="344"/>
      <c r="K46" s="344"/>
      <c r="L46" s="344"/>
      <c r="M46" s="344"/>
      <c r="N46" s="344"/>
      <c r="O46" s="344"/>
      <c r="P46" s="344"/>
      <c r="Q46" s="344"/>
      <c r="R46" s="344"/>
      <c r="S46" s="344"/>
      <c r="T46" s="344"/>
      <c r="U46" s="344"/>
      <c r="V46" s="344"/>
      <c r="W46" s="344"/>
      <c r="X46" s="88"/>
      <c r="Y46" s="453"/>
    </row>
    <row r="47" spans="1:36" ht="18.75" customHeight="1" x14ac:dyDescent="0.3">
      <c r="A47" s="453"/>
      <c r="E47" s="454"/>
      <c r="I47" s="454"/>
      <c r="J47" s="454"/>
      <c r="K47" s="454"/>
      <c r="L47" s="454"/>
      <c r="M47" s="454"/>
      <c r="N47" s="454"/>
      <c r="O47" s="344"/>
      <c r="P47" s="344"/>
      <c r="Q47" s="344"/>
      <c r="R47" s="344"/>
      <c r="S47" s="344"/>
      <c r="T47" s="344"/>
      <c r="U47" s="344"/>
      <c r="V47" s="344"/>
      <c r="W47" s="344"/>
      <c r="X47" s="88"/>
      <c r="Y47" s="81"/>
      <c r="Z47" s="342"/>
      <c r="AA47" s="6"/>
      <c r="AB47" s="99"/>
      <c r="AC47" s="6"/>
    </row>
    <row r="48" spans="1:36" ht="15.6" x14ac:dyDescent="0.3">
      <c r="A48" s="453"/>
      <c r="D48" s="5"/>
      <c r="E48" s="72"/>
      <c r="F48" s="5"/>
      <c r="G48" s="8"/>
      <c r="H48" s="8"/>
      <c r="I48" s="344"/>
      <c r="J48" s="344"/>
      <c r="K48" s="344"/>
      <c r="L48" s="344"/>
      <c r="M48" s="344"/>
      <c r="N48" s="344"/>
      <c r="O48" s="146"/>
      <c r="P48" s="344"/>
      <c r="Q48" s="344"/>
      <c r="R48" s="344"/>
      <c r="S48" s="344"/>
      <c r="T48" s="344"/>
      <c r="U48" s="344"/>
      <c r="V48" s="344"/>
      <c r="W48" s="344"/>
      <c r="X48" s="88"/>
      <c r="Y48" s="81"/>
      <c r="Z48" s="342"/>
      <c r="AA48" s="6"/>
      <c r="AB48" s="99"/>
      <c r="AC48" s="6"/>
    </row>
    <row r="49" spans="1:29" ht="15.6" x14ac:dyDescent="0.3">
      <c r="A49" s="453"/>
      <c r="D49" s="5"/>
      <c r="E49" s="72"/>
      <c r="F49" s="5"/>
      <c r="G49" s="8"/>
      <c r="H49" s="8"/>
      <c r="I49" s="344"/>
      <c r="J49" s="344"/>
      <c r="K49" s="344"/>
      <c r="L49" s="344"/>
      <c r="M49" s="344"/>
      <c r="N49" s="344"/>
      <c r="O49" s="146"/>
      <c r="P49" s="344"/>
      <c r="Q49" s="344"/>
      <c r="R49" s="344"/>
      <c r="S49" s="344"/>
      <c r="T49" s="344"/>
      <c r="U49" s="344"/>
      <c r="V49" s="344"/>
      <c r="W49" s="344"/>
      <c r="X49" s="88"/>
      <c r="Y49" s="81"/>
      <c r="Z49" s="342"/>
      <c r="AA49" s="6"/>
      <c r="AB49" s="99"/>
      <c r="AC49" s="6"/>
    </row>
    <row r="50" spans="1:29" ht="15.6" x14ac:dyDescent="0.3">
      <c r="A50" s="453"/>
      <c r="D50" s="5"/>
      <c r="E50" s="72"/>
      <c r="F50" s="5"/>
      <c r="G50" s="8"/>
      <c r="H50" s="8"/>
      <c r="I50" s="344"/>
      <c r="J50" s="344"/>
      <c r="K50" s="344"/>
      <c r="L50" s="344"/>
      <c r="M50" s="344"/>
      <c r="N50" s="344"/>
      <c r="O50" s="146"/>
      <c r="P50" s="344"/>
      <c r="Q50" s="344"/>
      <c r="R50" s="344"/>
      <c r="S50" s="344"/>
      <c r="T50" s="344"/>
      <c r="U50" s="344"/>
      <c r="V50" s="344"/>
      <c r="W50" s="344"/>
      <c r="X50" s="88"/>
      <c r="Y50" s="81"/>
      <c r="Z50" s="342"/>
      <c r="AA50" s="6"/>
      <c r="AB50" s="99"/>
      <c r="AC50" s="6"/>
    </row>
    <row r="51" spans="1:29" ht="15.6" x14ac:dyDescent="0.3">
      <c r="A51" s="453"/>
      <c r="D51" s="5"/>
      <c r="E51" s="72"/>
      <c r="F51" s="5"/>
      <c r="G51" s="8"/>
      <c r="H51" s="8"/>
      <c r="I51" s="344"/>
      <c r="J51" s="344"/>
      <c r="K51" s="344"/>
      <c r="L51" s="344"/>
      <c r="M51" s="344"/>
      <c r="N51" s="344"/>
      <c r="O51" s="146"/>
      <c r="P51" s="344"/>
      <c r="Q51" s="344"/>
      <c r="R51" s="344"/>
      <c r="S51" s="344"/>
      <c r="T51" s="344"/>
      <c r="U51" s="344"/>
      <c r="V51" s="344"/>
      <c r="W51" s="344"/>
      <c r="X51" s="88"/>
      <c r="Y51" s="81"/>
      <c r="Z51" s="342"/>
      <c r="AA51" s="6"/>
      <c r="AB51" s="99"/>
      <c r="AC51" s="6"/>
    </row>
    <row r="52" spans="1:29" ht="15.6" x14ac:dyDescent="0.3">
      <c r="A52" s="453"/>
      <c r="D52" s="5"/>
      <c r="E52" s="72"/>
      <c r="F52" s="5"/>
      <c r="G52" s="8"/>
      <c r="H52" s="8"/>
      <c r="I52" s="344"/>
      <c r="J52" s="344"/>
      <c r="K52" s="344"/>
      <c r="L52" s="344"/>
      <c r="M52" s="344"/>
      <c r="N52" s="344"/>
      <c r="O52" s="146"/>
      <c r="P52" s="344"/>
      <c r="Q52" s="344"/>
      <c r="R52" s="344"/>
      <c r="S52" s="344"/>
      <c r="T52" s="344"/>
      <c r="U52" s="344"/>
      <c r="V52" s="344"/>
      <c r="W52" s="344"/>
      <c r="X52" s="88"/>
      <c r="Y52" s="81"/>
      <c r="Z52" s="342"/>
      <c r="AA52" s="6"/>
      <c r="AB52" s="99"/>
      <c r="AC52" s="6"/>
    </row>
    <row r="53" spans="1:29" ht="15.6" x14ac:dyDescent="0.3">
      <c r="A53" s="453"/>
      <c r="D53" s="5"/>
      <c r="E53" s="72"/>
      <c r="F53" s="5"/>
      <c r="G53" s="8"/>
      <c r="H53" s="8"/>
      <c r="I53" s="344"/>
      <c r="J53" s="344"/>
      <c r="K53" s="344"/>
      <c r="L53" s="344"/>
      <c r="M53" s="344"/>
      <c r="N53" s="344"/>
      <c r="O53" s="146"/>
      <c r="P53" s="344"/>
      <c r="Q53" s="344"/>
      <c r="R53" s="344"/>
      <c r="S53" s="344"/>
      <c r="T53" s="344"/>
      <c r="U53" s="344"/>
      <c r="V53" s="344"/>
      <c r="W53" s="344"/>
      <c r="X53" s="88"/>
      <c r="Y53" s="81"/>
      <c r="Z53" s="342"/>
      <c r="AA53" s="6"/>
      <c r="AB53" s="99"/>
      <c r="AC53" s="6"/>
    </row>
    <row r="54" spans="1:29" ht="15.6" x14ac:dyDescent="0.3">
      <c r="A54" s="453"/>
      <c r="D54" s="5"/>
      <c r="E54" s="72"/>
      <c r="F54" s="5"/>
      <c r="G54" s="8"/>
      <c r="H54" s="8"/>
      <c r="I54" s="344"/>
      <c r="J54" s="344"/>
      <c r="K54" s="344"/>
      <c r="L54" s="344"/>
      <c r="M54" s="344"/>
      <c r="N54" s="344"/>
      <c r="O54" s="146"/>
      <c r="P54" s="344"/>
      <c r="Q54" s="344"/>
      <c r="R54" s="344"/>
      <c r="S54" s="344"/>
      <c r="T54" s="344"/>
      <c r="U54" s="344"/>
      <c r="V54" s="344"/>
      <c r="W54" s="344"/>
      <c r="X54" s="88"/>
      <c r="Y54" s="81"/>
      <c r="Z54" s="342"/>
      <c r="AA54" s="6"/>
      <c r="AB54" s="99"/>
      <c r="AC54" s="6"/>
    </row>
    <row r="55" spans="1:29" ht="15.6" x14ac:dyDescent="0.3">
      <c r="A55" s="453"/>
      <c r="D55" s="5"/>
      <c r="E55" s="72"/>
      <c r="F55" s="5"/>
      <c r="G55" s="8"/>
      <c r="H55" s="8"/>
      <c r="I55" s="344"/>
      <c r="J55" s="344"/>
      <c r="K55" s="344"/>
      <c r="L55" s="344"/>
      <c r="M55" s="344"/>
      <c r="N55" s="344"/>
      <c r="O55" s="146"/>
      <c r="P55" s="344"/>
      <c r="Q55" s="344"/>
      <c r="R55" s="344"/>
      <c r="S55" s="344"/>
      <c r="T55" s="344"/>
      <c r="U55" s="344"/>
      <c r="V55" s="344"/>
      <c r="W55" s="344"/>
      <c r="X55" s="88"/>
      <c r="Y55" s="81"/>
      <c r="Z55" s="342"/>
      <c r="AA55" s="6"/>
      <c r="AB55" s="99"/>
      <c r="AC55" s="6"/>
    </row>
    <row r="56" spans="1:29" ht="15" x14ac:dyDescent="0.25">
      <c r="A56" s="453"/>
      <c r="D56" s="2"/>
      <c r="E56" s="72"/>
      <c r="F56" s="2"/>
      <c r="G56" s="1"/>
      <c r="H56" s="1"/>
      <c r="I56" s="71"/>
      <c r="J56" s="71"/>
      <c r="K56" s="71"/>
      <c r="L56" s="71"/>
      <c r="M56" s="71"/>
      <c r="N56" s="71"/>
      <c r="O56" s="147"/>
      <c r="P56" s="71"/>
      <c r="Q56" s="71"/>
      <c r="R56" s="71"/>
      <c r="S56" s="71"/>
      <c r="T56" s="71"/>
      <c r="U56" s="71"/>
      <c r="V56" s="71"/>
      <c r="W56" s="71"/>
      <c r="X56" s="71"/>
      <c r="Y56" s="82"/>
      <c r="Z56" s="340"/>
      <c r="AA56" s="1"/>
      <c r="AB56" s="100"/>
      <c r="AC56" s="1"/>
    </row>
    <row r="57" spans="1:29" ht="15" x14ac:dyDescent="0.25">
      <c r="A57" s="453"/>
      <c r="D57" s="453"/>
      <c r="E57" s="454"/>
      <c r="F57" s="453"/>
      <c r="G57" s="453"/>
      <c r="H57" s="453"/>
      <c r="I57" s="454"/>
      <c r="J57" s="454"/>
      <c r="K57" s="454"/>
      <c r="L57" s="454"/>
      <c r="M57" s="454"/>
      <c r="N57" s="454"/>
      <c r="P57" s="454"/>
      <c r="Q57" s="454"/>
      <c r="R57" s="454"/>
      <c r="S57" s="454"/>
      <c r="T57" s="454"/>
      <c r="U57" s="454"/>
      <c r="V57" s="454"/>
      <c r="W57" s="454"/>
      <c r="X57" s="454"/>
      <c r="Y57" s="453"/>
      <c r="AA57" s="453"/>
      <c r="AB57" s="100"/>
      <c r="AC57" s="1"/>
    </row>
    <row r="58" spans="1:29" ht="15" x14ac:dyDescent="0.25">
      <c r="A58" s="453"/>
      <c r="D58" s="2"/>
      <c r="E58" s="72"/>
      <c r="F58" s="2"/>
      <c r="G58" s="1"/>
      <c r="H58" s="1"/>
      <c r="I58" s="71"/>
      <c r="J58" s="71"/>
      <c r="K58" s="71"/>
      <c r="L58" s="71"/>
      <c r="M58" s="71"/>
      <c r="N58" s="71"/>
      <c r="O58" s="147"/>
      <c r="P58" s="71"/>
      <c r="Q58" s="71"/>
      <c r="R58" s="71"/>
      <c r="S58" s="71"/>
      <c r="T58" s="71"/>
      <c r="U58" s="71"/>
      <c r="V58" s="71"/>
      <c r="W58" s="71"/>
      <c r="X58" s="71"/>
      <c r="Y58" s="82"/>
      <c r="Z58" s="340"/>
      <c r="AA58" s="1"/>
      <c r="AB58" s="100"/>
      <c r="AC58" s="1"/>
    </row>
    <row r="59" spans="1:29" ht="15" x14ac:dyDescent="0.25">
      <c r="A59" s="453"/>
      <c r="D59" s="453"/>
      <c r="E59" s="454"/>
      <c r="F59" s="453"/>
      <c r="G59" s="453"/>
      <c r="H59" s="453"/>
      <c r="I59" s="454"/>
      <c r="J59" s="454"/>
      <c r="K59" s="454"/>
      <c r="L59" s="454"/>
      <c r="M59" s="454"/>
      <c r="N59" s="454"/>
      <c r="P59" s="454"/>
      <c r="Q59" s="454"/>
      <c r="R59" s="454"/>
      <c r="S59" s="454"/>
      <c r="T59" s="454"/>
      <c r="U59" s="454"/>
      <c r="V59" s="454"/>
      <c r="W59" s="454"/>
      <c r="X59" s="454"/>
      <c r="Y59" s="453"/>
      <c r="AA59" s="453"/>
      <c r="AB59" s="100"/>
      <c r="AC59" s="1"/>
    </row>
    <row r="60" spans="1:29" ht="15" x14ac:dyDescent="0.25">
      <c r="A60" s="453"/>
      <c r="D60" s="1"/>
      <c r="E60" s="71"/>
      <c r="F60" s="1"/>
      <c r="G60" s="1"/>
      <c r="H60" s="1"/>
      <c r="I60" s="71"/>
      <c r="J60" s="71"/>
      <c r="K60" s="71"/>
      <c r="L60" s="71"/>
      <c r="M60" s="71"/>
      <c r="N60" s="71"/>
      <c r="O60" s="147"/>
      <c r="P60" s="71"/>
      <c r="Q60" s="71"/>
      <c r="R60" s="71"/>
      <c r="S60" s="71"/>
      <c r="T60" s="71"/>
      <c r="U60" s="71"/>
      <c r="V60" s="71"/>
      <c r="W60" s="71"/>
      <c r="X60" s="71"/>
      <c r="Y60" s="82"/>
      <c r="Z60" s="340"/>
      <c r="AA60" s="1"/>
      <c r="AB60" s="100"/>
      <c r="AC60" s="1"/>
    </row>
    <row r="61" spans="1:29" ht="15" x14ac:dyDescent="0.25">
      <c r="A61" s="453"/>
      <c r="D61" s="1"/>
      <c r="E61" s="71"/>
      <c r="F61" s="1"/>
      <c r="G61" s="1"/>
      <c r="H61" s="1"/>
      <c r="I61" s="71"/>
      <c r="J61" s="71"/>
      <c r="K61" s="71"/>
      <c r="L61" s="71"/>
      <c r="M61" s="71"/>
      <c r="N61" s="71"/>
      <c r="O61" s="147"/>
      <c r="P61" s="71"/>
      <c r="Q61" s="71"/>
      <c r="R61" s="71"/>
      <c r="S61" s="71"/>
      <c r="T61" s="71"/>
      <c r="U61" s="71"/>
      <c r="V61" s="71"/>
      <c r="W61" s="71"/>
      <c r="X61" s="71"/>
      <c r="Y61" s="82"/>
      <c r="Z61" s="340"/>
      <c r="AA61" s="1"/>
      <c r="AB61" s="100"/>
      <c r="AC61" s="1"/>
    </row>
    <row r="62" spans="1:29" ht="15" x14ac:dyDescent="0.25">
      <c r="A62" s="87"/>
      <c r="B62" s="87"/>
      <c r="C62" s="1"/>
      <c r="D62" s="1"/>
      <c r="E62" s="71"/>
      <c r="F62" s="1"/>
      <c r="G62" s="1"/>
      <c r="H62" s="1"/>
      <c r="I62" s="71"/>
      <c r="J62" s="71"/>
      <c r="K62" s="71"/>
      <c r="L62" s="71"/>
      <c r="M62" s="71"/>
      <c r="N62" s="71"/>
      <c r="O62" s="147"/>
      <c r="P62" s="71"/>
      <c r="Q62" s="71"/>
      <c r="R62" s="71"/>
      <c r="S62" s="71"/>
      <c r="T62" s="71"/>
      <c r="U62" s="71"/>
      <c r="V62" s="71"/>
      <c r="W62" s="71"/>
      <c r="X62" s="71"/>
      <c r="Y62" s="82"/>
      <c r="Z62" s="340"/>
      <c r="AA62" s="1"/>
      <c r="AB62" s="100"/>
      <c r="AC62" s="1"/>
    </row>
    <row r="63" spans="1:29" ht="15" x14ac:dyDescent="0.25">
      <c r="A63" s="1"/>
      <c r="B63" s="1"/>
      <c r="C63" s="1"/>
      <c r="D63" s="1"/>
      <c r="E63" s="71"/>
      <c r="F63" s="1"/>
      <c r="G63" s="1"/>
      <c r="H63" s="1"/>
      <c r="I63" s="71"/>
      <c r="J63" s="71"/>
      <c r="K63" s="71"/>
      <c r="L63" s="71"/>
      <c r="M63" s="71"/>
      <c r="N63" s="71"/>
      <c r="O63" s="147"/>
      <c r="P63" s="71"/>
      <c r="Q63" s="71"/>
      <c r="R63" s="71"/>
      <c r="S63" s="71"/>
      <c r="T63" s="71"/>
      <c r="U63" s="71"/>
      <c r="V63" s="71"/>
      <c r="W63" s="71"/>
      <c r="X63" s="71"/>
      <c r="Y63" s="82"/>
      <c r="Z63" s="340"/>
      <c r="AA63" s="1"/>
      <c r="AB63" s="100"/>
      <c r="AC63" s="1"/>
    </row>
    <row r="64" spans="1:29" ht="15" x14ac:dyDescent="0.25">
      <c r="A64" s="1"/>
      <c r="B64" s="1"/>
      <c r="C64" s="1"/>
      <c r="D64" s="1"/>
      <c r="E64" s="71"/>
      <c r="F64" s="1"/>
      <c r="G64" s="1"/>
      <c r="H64" s="1"/>
      <c r="I64" s="71"/>
      <c r="J64" s="71"/>
      <c r="K64" s="71"/>
      <c r="L64" s="71"/>
      <c r="M64" s="71"/>
      <c r="N64" s="71"/>
      <c r="O64" s="147"/>
      <c r="P64" s="71"/>
      <c r="Q64" s="71"/>
      <c r="R64" s="71"/>
      <c r="S64" s="71"/>
      <c r="T64" s="71"/>
      <c r="U64" s="71"/>
      <c r="V64" s="71"/>
      <c r="W64" s="71"/>
      <c r="X64" s="71"/>
      <c r="Y64" s="82"/>
      <c r="Z64" s="340"/>
      <c r="AA64" s="1"/>
      <c r="AB64" s="100"/>
      <c r="AC64" s="1"/>
    </row>
    <row r="65" spans="2:29" ht="15" x14ac:dyDescent="0.25">
      <c r="B65" s="16"/>
      <c r="C65" s="1"/>
      <c r="D65" s="1"/>
      <c r="E65" s="71"/>
      <c r="F65" s="1"/>
      <c r="G65" s="1"/>
      <c r="H65" s="1"/>
      <c r="I65" s="71"/>
      <c r="J65" s="71"/>
      <c r="K65" s="71"/>
      <c r="L65" s="71"/>
      <c r="M65" s="71"/>
      <c r="N65" s="71"/>
      <c r="O65" s="147"/>
      <c r="P65" s="71"/>
      <c r="Q65" s="71"/>
      <c r="R65" s="71"/>
      <c r="S65" s="71"/>
      <c r="T65" s="71"/>
      <c r="U65" s="71"/>
      <c r="V65" s="71"/>
      <c r="W65" s="71"/>
      <c r="X65" s="71"/>
      <c r="Y65" s="82"/>
      <c r="Z65" s="340"/>
      <c r="AA65" s="1"/>
      <c r="AB65" s="100"/>
      <c r="AC65" s="1"/>
    </row>
    <row r="66" spans="2:29" ht="15" x14ac:dyDescent="0.25">
      <c r="B66" s="16"/>
      <c r="C66" s="1"/>
      <c r="D66" s="1"/>
      <c r="E66" s="71"/>
      <c r="F66" s="1"/>
      <c r="G66" s="1"/>
      <c r="H66" s="1"/>
      <c r="I66" s="71"/>
      <c r="J66" s="71"/>
      <c r="K66" s="71"/>
      <c r="L66" s="71"/>
      <c r="M66" s="71"/>
      <c r="N66" s="71"/>
      <c r="O66" s="147"/>
      <c r="P66" s="71"/>
      <c r="Q66" s="71"/>
      <c r="R66" s="71"/>
      <c r="S66" s="71"/>
      <c r="T66" s="71"/>
      <c r="U66" s="71"/>
      <c r="V66" s="71"/>
      <c r="W66" s="71"/>
      <c r="X66" s="71"/>
      <c r="Y66" s="82"/>
      <c r="Z66" s="340"/>
      <c r="AA66" s="1"/>
      <c r="AB66" s="100"/>
      <c r="AC66" s="1"/>
    </row>
    <row r="67" spans="2:29" x14ac:dyDescent="0.25">
      <c r="C67" s="2"/>
      <c r="D67" s="2"/>
      <c r="E67" s="72"/>
      <c r="F67" s="2"/>
      <c r="G67" s="2"/>
      <c r="H67" s="2"/>
      <c r="I67" s="72"/>
      <c r="J67" s="72"/>
      <c r="K67" s="72"/>
      <c r="L67" s="72"/>
      <c r="M67" s="72"/>
      <c r="N67" s="72"/>
      <c r="O67" s="148"/>
      <c r="P67" s="72"/>
      <c r="Q67" s="72"/>
      <c r="R67" s="72"/>
      <c r="S67" s="72"/>
      <c r="T67" s="72"/>
      <c r="U67" s="72"/>
      <c r="V67" s="72"/>
      <c r="W67" s="72"/>
      <c r="X67" s="72"/>
      <c r="Y67" s="11"/>
      <c r="Z67" s="340"/>
      <c r="AA67" s="2"/>
      <c r="AB67" s="101"/>
      <c r="AC67" s="2"/>
    </row>
    <row r="68" spans="2:29" x14ac:dyDescent="0.25">
      <c r="C68" s="2"/>
      <c r="D68" s="2"/>
      <c r="E68" s="72"/>
      <c r="F68" s="2"/>
      <c r="G68" s="2"/>
      <c r="H68" s="2"/>
      <c r="I68" s="72"/>
      <c r="J68" s="72"/>
      <c r="K68" s="72"/>
      <c r="L68" s="72"/>
      <c r="M68" s="72"/>
      <c r="N68" s="72"/>
      <c r="O68" s="148"/>
      <c r="P68" s="72"/>
      <c r="Q68" s="72"/>
      <c r="R68" s="72"/>
      <c r="S68" s="72"/>
      <c r="T68" s="72"/>
      <c r="U68" s="72"/>
      <c r="V68" s="72"/>
      <c r="W68" s="72"/>
      <c r="X68" s="72"/>
      <c r="Y68" s="11"/>
      <c r="Z68" s="340"/>
      <c r="AA68" s="2"/>
      <c r="AB68" s="101"/>
      <c r="AC68" s="2"/>
    </row>
    <row r="69" spans="2:29" x14ac:dyDescent="0.25">
      <c r="C69" s="2"/>
      <c r="D69" s="2"/>
      <c r="E69" s="72"/>
      <c r="F69" s="2"/>
      <c r="G69" s="2"/>
      <c r="H69" s="2"/>
      <c r="I69" s="72"/>
      <c r="J69" s="72"/>
      <c r="K69" s="72"/>
      <c r="L69" s="72"/>
      <c r="M69" s="72"/>
      <c r="N69" s="72"/>
      <c r="O69" s="148"/>
      <c r="P69" s="72"/>
      <c r="Q69" s="72"/>
      <c r="R69" s="72"/>
      <c r="S69" s="72"/>
      <c r="T69" s="72"/>
      <c r="U69" s="72"/>
      <c r="V69" s="72"/>
      <c r="W69" s="72"/>
      <c r="X69" s="72"/>
      <c r="Y69" s="11"/>
      <c r="Z69" s="340"/>
      <c r="AA69" s="2"/>
      <c r="AB69" s="101"/>
      <c r="AC69" s="2"/>
    </row>
    <row r="70" spans="2:29" x14ac:dyDescent="0.25">
      <c r="C70" s="2"/>
      <c r="D70" s="2"/>
      <c r="E70" s="72"/>
      <c r="F70" s="2"/>
      <c r="G70" s="2"/>
      <c r="H70" s="2"/>
      <c r="I70" s="72"/>
      <c r="J70" s="72"/>
      <c r="K70" s="72"/>
      <c r="L70" s="72"/>
      <c r="M70" s="72"/>
      <c r="N70" s="72"/>
      <c r="O70" s="148"/>
      <c r="P70" s="72"/>
      <c r="Q70" s="72"/>
      <c r="R70" s="72"/>
      <c r="S70" s="72"/>
      <c r="T70" s="72"/>
      <c r="U70" s="72"/>
      <c r="V70" s="72"/>
      <c r="W70" s="72"/>
      <c r="X70" s="72"/>
      <c r="Y70" s="11"/>
      <c r="Z70" s="340"/>
      <c r="AA70" s="2"/>
      <c r="AB70" s="101"/>
      <c r="AC70" s="2"/>
    </row>
    <row r="71" spans="2:29" x14ac:dyDescent="0.25">
      <c r="C71" s="2"/>
      <c r="D71" s="2"/>
      <c r="E71" s="72"/>
      <c r="F71" s="2"/>
      <c r="G71" s="2"/>
      <c r="H71" s="2"/>
      <c r="I71" s="72"/>
      <c r="J71" s="72"/>
      <c r="K71" s="72"/>
      <c r="L71" s="72"/>
      <c r="M71" s="72"/>
      <c r="N71" s="72"/>
      <c r="O71" s="148"/>
      <c r="P71" s="72"/>
      <c r="Q71" s="72"/>
      <c r="R71" s="72"/>
      <c r="S71" s="72"/>
      <c r="T71" s="72"/>
      <c r="U71" s="72"/>
      <c r="V71" s="72"/>
      <c r="W71" s="72"/>
      <c r="X71" s="72"/>
      <c r="Y71" s="11"/>
      <c r="Z71" s="340"/>
      <c r="AA71" s="2"/>
      <c r="AB71" s="101"/>
      <c r="AC71" s="2"/>
    </row>
    <row r="72" spans="2:29" x14ac:dyDescent="0.25">
      <c r="C72" s="2"/>
      <c r="D72" s="2"/>
      <c r="E72" s="72"/>
      <c r="F72" s="2"/>
      <c r="G72" s="2"/>
      <c r="H72" s="2"/>
      <c r="I72" s="72"/>
      <c r="J72" s="72"/>
      <c r="K72" s="72"/>
      <c r="L72" s="72"/>
      <c r="M72" s="72"/>
      <c r="N72" s="72"/>
      <c r="O72" s="148"/>
      <c r="P72" s="72"/>
      <c r="Q72" s="72"/>
      <c r="R72" s="72"/>
      <c r="S72" s="72"/>
      <c r="T72" s="72"/>
      <c r="U72" s="72"/>
      <c r="V72" s="72"/>
      <c r="W72" s="72"/>
      <c r="X72" s="72"/>
      <c r="Y72" s="11"/>
      <c r="Z72" s="340"/>
      <c r="AA72" s="2"/>
      <c r="AB72" s="101"/>
      <c r="AC72" s="2"/>
    </row>
    <row r="73" spans="2:29" x14ac:dyDescent="0.25">
      <c r="C73" s="2"/>
      <c r="D73" s="2"/>
      <c r="E73" s="72"/>
      <c r="F73" s="2"/>
      <c r="G73" s="2"/>
      <c r="H73" s="2"/>
      <c r="I73" s="72"/>
      <c r="J73" s="72"/>
      <c r="K73" s="72"/>
      <c r="L73" s="72"/>
      <c r="M73" s="72"/>
      <c r="N73" s="72"/>
      <c r="O73" s="148"/>
      <c r="P73" s="72"/>
      <c r="Q73" s="72"/>
      <c r="R73" s="72"/>
      <c r="S73" s="72"/>
      <c r="T73" s="72"/>
      <c r="U73" s="72"/>
      <c r="V73" s="72"/>
      <c r="W73" s="72"/>
      <c r="X73" s="72"/>
      <c r="Y73" s="11"/>
      <c r="Z73" s="340"/>
      <c r="AA73" s="2"/>
      <c r="AB73" s="101"/>
      <c r="AC73" s="2"/>
    </row>
    <row r="74" spans="2:29" x14ac:dyDescent="0.25">
      <c r="C74" s="2"/>
      <c r="D74" s="2"/>
      <c r="E74" s="72"/>
      <c r="F74" s="2"/>
      <c r="G74" s="2"/>
      <c r="H74" s="2"/>
      <c r="I74" s="72"/>
      <c r="J74" s="72"/>
      <c r="K74" s="72"/>
      <c r="L74" s="72"/>
      <c r="M74" s="72"/>
      <c r="N74" s="72"/>
      <c r="O74" s="148"/>
      <c r="P74" s="72"/>
      <c r="Q74" s="72"/>
      <c r="R74" s="72"/>
      <c r="S74" s="72"/>
      <c r="T74" s="72"/>
      <c r="U74" s="72"/>
      <c r="V74" s="72"/>
      <c r="W74" s="72"/>
      <c r="X74" s="72"/>
      <c r="Y74" s="11"/>
      <c r="Z74" s="340"/>
      <c r="AA74" s="2"/>
      <c r="AB74" s="101"/>
      <c r="AC74" s="2"/>
    </row>
    <row r="75" spans="2:29" x14ac:dyDescent="0.25">
      <c r="C75" s="2"/>
      <c r="D75" s="2"/>
      <c r="E75" s="72"/>
      <c r="F75" s="2"/>
      <c r="G75" s="2"/>
      <c r="H75" s="2"/>
      <c r="I75" s="72"/>
      <c r="J75" s="72"/>
      <c r="K75" s="72"/>
      <c r="L75" s="72"/>
      <c r="M75" s="72"/>
      <c r="N75" s="72"/>
      <c r="O75" s="148"/>
      <c r="P75" s="72"/>
      <c r="Q75" s="72"/>
      <c r="R75" s="72"/>
      <c r="S75" s="72"/>
      <c r="T75" s="72"/>
      <c r="U75" s="72"/>
      <c r="V75" s="72"/>
      <c r="W75" s="72"/>
      <c r="X75" s="72"/>
      <c r="Y75" s="11"/>
      <c r="Z75" s="340"/>
      <c r="AA75" s="2"/>
      <c r="AB75" s="101"/>
      <c r="AC75" s="2"/>
    </row>
    <row r="76" spans="2:29" x14ac:dyDescent="0.25">
      <c r="C76" s="2"/>
      <c r="D76" s="2"/>
      <c r="E76" s="72"/>
      <c r="F76" s="2"/>
      <c r="G76" s="2"/>
      <c r="H76" s="2"/>
      <c r="I76" s="72"/>
      <c r="J76" s="72"/>
      <c r="K76" s="72"/>
      <c r="L76" s="72"/>
      <c r="M76" s="72"/>
      <c r="N76" s="72"/>
      <c r="O76" s="148"/>
      <c r="P76" s="72"/>
      <c r="Q76" s="72"/>
      <c r="R76" s="72"/>
      <c r="S76" s="72"/>
      <c r="T76" s="72"/>
      <c r="U76" s="72"/>
      <c r="V76" s="72"/>
      <c r="W76" s="72"/>
      <c r="X76" s="72"/>
      <c r="Y76" s="11"/>
      <c r="Z76" s="340"/>
      <c r="AA76" s="2"/>
      <c r="AB76" s="101"/>
      <c r="AC76" s="2"/>
    </row>
    <row r="77" spans="2:29" x14ac:dyDescent="0.25">
      <c r="C77" s="2"/>
      <c r="D77" s="2"/>
      <c r="E77" s="72"/>
      <c r="F77" s="2"/>
      <c r="G77" s="2"/>
      <c r="H77" s="2"/>
      <c r="I77" s="72"/>
      <c r="J77" s="72"/>
      <c r="K77" s="72"/>
      <c r="L77" s="72"/>
      <c r="M77" s="72"/>
      <c r="N77" s="72"/>
      <c r="O77" s="148"/>
      <c r="P77" s="72"/>
      <c r="Q77" s="72"/>
      <c r="R77" s="72"/>
      <c r="S77" s="72"/>
      <c r="T77" s="72"/>
      <c r="U77" s="72"/>
      <c r="V77" s="72"/>
      <c r="W77" s="72"/>
      <c r="X77" s="72"/>
      <c r="Y77" s="11"/>
      <c r="Z77" s="340"/>
      <c r="AA77" s="2"/>
      <c r="AB77" s="101"/>
      <c r="AC77" s="2"/>
    </row>
    <row r="78" spans="2:29" x14ac:dyDescent="0.25">
      <c r="C78" s="2"/>
      <c r="D78" s="2"/>
      <c r="E78" s="72"/>
      <c r="F78" s="2"/>
      <c r="G78" s="2"/>
      <c r="H78" s="2"/>
      <c r="I78" s="72"/>
      <c r="J78" s="72"/>
      <c r="K78" s="72"/>
      <c r="L78" s="72"/>
      <c r="M78" s="72"/>
      <c r="N78" s="72"/>
      <c r="O78" s="148"/>
      <c r="P78" s="72"/>
      <c r="Q78" s="72"/>
      <c r="R78" s="72"/>
      <c r="S78" s="72"/>
      <c r="T78" s="72"/>
      <c r="U78" s="72"/>
      <c r="V78" s="72"/>
      <c r="W78" s="72"/>
      <c r="X78" s="72"/>
      <c r="Y78" s="11"/>
      <c r="Z78" s="340"/>
      <c r="AA78" s="2"/>
      <c r="AB78" s="101"/>
      <c r="AC78" s="2"/>
    </row>
    <row r="79" spans="2:29" x14ac:dyDescent="0.25">
      <c r="C79" s="2"/>
      <c r="D79" s="2"/>
      <c r="E79" s="72"/>
      <c r="F79" s="2"/>
      <c r="G79" s="2"/>
      <c r="H79" s="2"/>
      <c r="I79" s="72"/>
      <c r="J79" s="72"/>
      <c r="K79" s="72"/>
      <c r="L79" s="72"/>
      <c r="M79" s="72"/>
      <c r="N79" s="72"/>
      <c r="O79" s="148"/>
      <c r="P79" s="72"/>
      <c r="Q79" s="72"/>
      <c r="R79" s="72"/>
      <c r="S79" s="72"/>
      <c r="T79" s="72"/>
      <c r="U79" s="72"/>
      <c r="V79" s="72"/>
      <c r="W79" s="72"/>
      <c r="X79" s="72"/>
      <c r="Y79" s="11"/>
      <c r="Z79" s="340"/>
      <c r="AA79" s="2"/>
      <c r="AB79" s="101"/>
      <c r="AC79" s="2"/>
    </row>
    <row r="80" spans="2:29" x14ac:dyDescent="0.25">
      <c r="C80" s="2"/>
      <c r="D80" s="2"/>
      <c r="E80" s="72"/>
      <c r="F80" s="2"/>
      <c r="G80" s="2"/>
      <c r="H80" s="2"/>
      <c r="I80" s="72"/>
      <c r="J80" s="72"/>
      <c r="K80" s="72"/>
      <c r="L80" s="72"/>
      <c r="M80" s="72"/>
      <c r="N80" s="72"/>
      <c r="O80" s="148"/>
      <c r="P80" s="72"/>
      <c r="Q80" s="72"/>
      <c r="R80" s="72"/>
      <c r="S80" s="72"/>
      <c r="T80" s="72"/>
      <c r="U80" s="72"/>
      <c r="V80" s="72"/>
      <c r="W80" s="72"/>
      <c r="X80" s="72"/>
      <c r="Y80" s="11"/>
      <c r="Z80" s="340"/>
      <c r="AA80" s="2"/>
      <c r="AB80" s="101"/>
      <c r="AC80" s="2"/>
    </row>
    <row r="81" spans="3:29" x14ac:dyDescent="0.25">
      <c r="C81" s="2"/>
      <c r="D81" s="2"/>
      <c r="E81" s="72"/>
      <c r="F81" s="2"/>
      <c r="G81" s="2"/>
      <c r="H81" s="2"/>
      <c r="I81" s="72"/>
      <c r="J81" s="72"/>
      <c r="K81" s="72"/>
      <c r="L81" s="72"/>
      <c r="M81" s="72"/>
      <c r="N81" s="72"/>
      <c r="O81" s="148"/>
      <c r="P81" s="72"/>
      <c r="Q81" s="72"/>
      <c r="R81" s="72"/>
      <c r="S81" s="72"/>
      <c r="T81" s="72"/>
      <c r="U81" s="72"/>
      <c r="V81" s="72"/>
      <c r="W81" s="72"/>
      <c r="X81" s="72"/>
      <c r="Y81" s="11"/>
      <c r="Z81" s="340"/>
      <c r="AA81" s="2"/>
      <c r="AB81" s="101"/>
      <c r="AC81" s="2"/>
    </row>
    <row r="82" spans="3:29" x14ac:dyDescent="0.25">
      <c r="C82" s="2"/>
      <c r="D82" s="2"/>
      <c r="E82" s="72"/>
      <c r="F82" s="2"/>
      <c r="G82" s="2"/>
      <c r="H82" s="2"/>
      <c r="I82" s="72"/>
      <c r="J82" s="72"/>
      <c r="K82" s="72"/>
      <c r="L82" s="72"/>
      <c r="M82" s="72"/>
      <c r="N82" s="72"/>
      <c r="O82" s="148"/>
      <c r="P82" s="72"/>
      <c r="Q82" s="72"/>
      <c r="R82" s="72"/>
      <c r="S82" s="72"/>
      <c r="T82" s="72"/>
      <c r="U82" s="72"/>
      <c r="V82" s="72"/>
      <c r="W82" s="72"/>
      <c r="X82" s="72"/>
      <c r="Y82" s="11"/>
      <c r="Z82" s="340"/>
      <c r="AA82" s="2"/>
      <c r="AB82" s="101"/>
      <c r="AC82" s="2"/>
    </row>
    <row r="83" spans="3:29" x14ac:dyDescent="0.25">
      <c r="C83" s="2"/>
      <c r="D83" s="2"/>
      <c r="E83" s="72"/>
      <c r="F83" s="2"/>
      <c r="G83" s="2"/>
      <c r="H83" s="2"/>
      <c r="I83" s="72"/>
      <c r="J83" s="72"/>
      <c r="K83" s="72"/>
      <c r="L83" s="72"/>
      <c r="M83" s="72"/>
      <c r="N83" s="72"/>
      <c r="O83" s="148"/>
      <c r="P83" s="72"/>
      <c r="Q83" s="72"/>
      <c r="R83" s="72"/>
      <c r="S83" s="72"/>
      <c r="T83" s="72"/>
      <c r="U83" s="72"/>
      <c r="V83" s="72"/>
      <c r="W83" s="72"/>
      <c r="X83" s="72"/>
      <c r="Y83" s="11"/>
      <c r="Z83" s="340"/>
      <c r="AA83" s="2"/>
      <c r="AB83" s="101"/>
      <c r="AC83" s="2"/>
    </row>
  </sheetData>
  <sheetProtection algorithmName="SHA-512" hashValue="QIraPKFdC/QHwOo/Jl0W+sX++jLNIMs2oT4Dk9B78ON9aO9MEtzB2zggIgHRt01k6qoz49EpIKJWy+BqvfkEtA==" saltValue="6fLPxO/ZlNtPnaRVUKrkcg==" spinCount="100000" sheet="1" objects="1" scenarios="1"/>
  <protectedRanges>
    <protectedRange sqref="C12:G42 Y12:Z43 J12:V42" name="Område1_4"/>
  </protectedRanges>
  <mergeCells count="42">
    <mergeCell ref="C1:F1"/>
    <mergeCell ref="Y6:AD6"/>
    <mergeCell ref="G1:I1"/>
    <mergeCell ref="A6:C6"/>
    <mergeCell ref="U44:W44"/>
    <mergeCell ref="C10:D10"/>
    <mergeCell ref="F10:F11"/>
    <mergeCell ref="G10:G11"/>
    <mergeCell ref="T2:T3"/>
    <mergeCell ref="A3:B3"/>
    <mergeCell ref="A4:B4"/>
    <mergeCell ref="H3:I3"/>
    <mergeCell ref="G4:H4"/>
    <mergeCell ref="A2:B2"/>
    <mergeCell ref="R10:T10"/>
    <mergeCell ref="A10:A11"/>
    <mergeCell ref="R45:S45"/>
    <mergeCell ref="C2:F2"/>
    <mergeCell ref="Q9:W9"/>
    <mergeCell ref="J10:J11"/>
    <mergeCell ref="C9:J9"/>
    <mergeCell ref="K9:P9"/>
    <mergeCell ref="I10:I11"/>
    <mergeCell ref="G7:P8"/>
    <mergeCell ref="V10:W10"/>
    <mergeCell ref="V43:W43"/>
    <mergeCell ref="H10:H11"/>
    <mergeCell ref="C3:F3"/>
    <mergeCell ref="L2:P5"/>
    <mergeCell ref="C4:D4"/>
    <mergeCell ref="E4:F4"/>
    <mergeCell ref="C5:D5"/>
    <mergeCell ref="B10:B11"/>
    <mergeCell ref="AF10:AJ10"/>
    <mergeCell ref="Y3:AB3"/>
    <mergeCell ref="Y4:Z4"/>
    <mergeCell ref="Y5:Z5"/>
    <mergeCell ref="Y2:AA2"/>
    <mergeCell ref="AC1:AL2"/>
    <mergeCell ref="Y1:Z1"/>
    <mergeCell ref="AB8:AB9"/>
    <mergeCell ref="AB1:AB2"/>
  </mergeCells>
  <conditionalFormatting sqref="W45:X45">
    <cfRule type="cellIs" dxfId="130" priority="81" operator="notBetween">
      <formula>-20</formula>
      <formula>20</formula>
    </cfRule>
  </conditionalFormatting>
  <conditionalFormatting sqref="AB12:AB42">
    <cfRule type="containsBlanks" dxfId="129" priority="88">
      <formula>LEN(TRIM(AB12))=0</formula>
    </cfRule>
    <cfRule type="notContainsBlanks" dxfId="128" priority="111">
      <formula>LEN(TRIM(AB12))&gt;0</formula>
    </cfRule>
  </conditionalFormatting>
  <conditionalFormatting sqref="AA11">
    <cfRule type="cellIs" dxfId="127" priority="74" operator="equal">
      <formula>"!"</formula>
    </cfRule>
  </conditionalFormatting>
  <conditionalFormatting sqref="Y6:Z6 AB1:AC1 X1:Y5">
    <cfRule type="notContainsBlanks" dxfId="126" priority="83">
      <formula>LEN(TRIM(X1))&gt;0</formula>
    </cfRule>
  </conditionalFormatting>
  <conditionalFormatting sqref="K6">
    <cfRule type="notContainsBlanks" dxfId="125" priority="73">
      <formula>LEN(TRIM(K6))&gt;0</formula>
    </cfRule>
  </conditionalFormatting>
  <conditionalFormatting sqref="S2:S3">
    <cfRule type="cellIs" dxfId="124" priority="72" operator="greaterThan">
      <formula>0.833333333333333</formula>
    </cfRule>
  </conditionalFormatting>
  <conditionalFormatting sqref="O43 Q43:R43 T43:U43 X43">
    <cfRule type="cellIs" dxfId="123" priority="71" operator="greaterThan">
      <formula>0</formula>
    </cfRule>
  </conditionalFormatting>
  <conditionalFormatting sqref="B35:J35 Y35 P35:U35 L35:N35 W12:W42">
    <cfRule type="expression" dxfId="122" priority="69">
      <formula>"ANTAL.OM(Grunddata!A7:A19;$A32)&gt;0)"</formula>
    </cfRule>
  </conditionalFormatting>
  <conditionalFormatting sqref="B15:G17 I15:J17 B24:D28 U24:U28 P24:R28 P29:U41 P15:U23 B18:J23 B12:B14 Y15:Y42 F24:J28 M15:N24 H12:I17 B29:J42 I12:I41 L42:U42 L25:N41 W12:X42">
    <cfRule type="expression" dxfId="121" priority="85">
      <formula>WEEKDAY($A12,2)&gt;5</formula>
    </cfRule>
  </conditionalFormatting>
  <conditionalFormatting sqref="A12:A43">
    <cfRule type="duplicateValues" dxfId="120" priority="56"/>
  </conditionalFormatting>
  <conditionalFormatting sqref="AA12:AA42 AC12:AC42">
    <cfRule type="notContainsBlanks" dxfId="119" priority="61">
      <formula>LEN(TRIM(AA12))&gt;0</formula>
    </cfRule>
  </conditionalFormatting>
  <conditionalFormatting sqref="A12:A43">
    <cfRule type="expression" dxfId="118" priority="55">
      <formula>"ANTAL.OM(Grunddata!$A$6:$A$18;A12)&gt;0"</formula>
    </cfRule>
  </conditionalFormatting>
  <conditionalFormatting sqref="A12:A43">
    <cfRule type="duplicateValues" dxfId="117" priority="54"/>
  </conditionalFormatting>
  <conditionalFormatting sqref="Y12:Y14 C12:G14 I13:K13 P13:U14 I14:J14 M13:N14 L13:M24 I12:U12 I12:I42 A12:A43 K12:K42">
    <cfRule type="expression" dxfId="116" priority="63">
      <formula>WEEKDAY($A12,2)&gt;5</formula>
    </cfRule>
  </conditionalFormatting>
  <conditionalFormatting sqref="V12:V42">
    <cfRule type="expression" dxfId="115" priority="50">
      <formula>"ANTAL.OM(Grunddata!A7:A19;$A32)&gt;0)"</formula>
    </cfRule>
  </conditionalFormatting>
  <conditionalFormatting sqref="V12:V42">
    <cfRule type="expression" dxfId="114" priority="52">
      <formula>WEEKDAY($A12,2)&gt;5</formula>
    </cfRule>
  </conditionalFormatting>
  <conditionalFormatting sqref="S2:S3">
    <cfRule type="expression" dxfId="113" priority="44">
      <formula>COUNT($S$3,$S$2)=2</formula>
    </cfRule>
  </conditionalFormatting>
  <conditionalFormatting sqref="L37:L38">
    <cfRule type="expression" dxfId="112" priority="43">
      <formula>"ANTAL.OM(Grunddata!A7:A19;$A32)&gt;0)"</formula>
    </cfRule>
  </conditionalFormatting>
  <conditionalFormatting sqref="AJ47">
    <cfRule type="expression" dxfId="111" priority="39">
      <formula>CELL("skydd",AJ47)=1</formula>
    </cfRule>
  </conditionalFormatting>
  <conditionalFormatting sqref="E24:E28">
    <cfRule type="expression" dxfId="110" priority="37">
      <formula>WEEKDAY($A24,2)&gt;5</formula>
    </cfRule>
  </conditionalFormatting>
  <conditionalFormatting sqref="S24:T28">
    <cfRule type="expression" dxfId="109" priority="35">
      <formula>WEEKDAY($A24,2)&gt;5</formula>
    </cfRule>
  </conditionalFormatting>
  <conditionalFormatting sqref="X6">
    <cfRule type="notContainsBlanks" dxfId="108" priority="34">
      <formula>LEN(TRIM(X6))&gt;0</formula>
    </cfRule>
  </conditionalFormatting>
  <conditionalFormatting sqref="Z12:Z42">
    <cfRule type="notContainsBlanks" dxfId="107" priority="166">
      <formula>LEN(TRIM(Z12))&gt;0</formula>
    </cfRule>
  </conditionalFormatting>
  <conditionalFormatting sqref="Z43">
    <cfRule type="notContainsBlanks" dxfId="106" priority="31">
      <formula>LEN(TRIM(Z43))&gt;0</formula>
    </cfRule>
  </conditionalFormatting>
  <conditionalFormatting sqref="AH48">
    <cfRule type="expression" dxfId="105" priority="28">
      <formula>WEEKDAY($A48,2)&gt;5</formula>
    </cfRule>
  </conditionalFormatting>
  <conditionalFormatting sqref="C1:F1">
    <cfRule type="notContainsBlanks" dxfId="104" priority="112">
      <formula>LEN(TRIM(C1))&gt;0</formula>
    </cfRule>
  </conditionalFormatting>
  <conditionalFormatting sqref="O13:O41">
    <cfRule type="expression" dxfId="103" priority="25">
      <formula>WEEKDAY($A13,2)&gt;5</formula>
    </cfRule>
  </conditionalFormatting>
  <conditionalFormatting sqref="I43:O43 U43 S43">
    <cfRule type="cellIs" dxfId="102" priority="21" operator="greaterThan">
      <formula>0</formula>
    </cfRule>
  </conditionalFormatting>
  <conditionalFormatting sqref="Y12:Y42">
    <cfRule type="expression" dxfId="101" priority="20">
      <formula>$P12&lt;&gt;""</formula>
    </cfRule>
  </conditionalFormatting>
  <conditionalFormatting sqref="P43">
    <cfRule type="cellIs" dxfId="100" priority="19" operator="greaterThan">
      <formula>0</formula>
    </cfRule>
  </conditionalFormatting>
  <conditionalFormatting sqref="V43">
    <cfRule type="cellIs" dxfId="99" priority="16" operator="notEqual">
      <formula>0</formula>
    </cfRule>
    <cfRule type="expression" dxfId="98" priority="46">
      <formula>"ANTAL.OM(Grunddata!A7:A19;$A32)&gt;0)"</formula>
    </cfRule>
    <cfRule type="expression" dxfId="97" priority="48">
      <formula>WEEKDAY($A43,2)&gt;5</formula>
    </cfRule>
  </conditionalFormatting>
  <conditionalFormatting sqref="R45:S45">
    <cfRule type="expression" dxfId="96" priority="11">
      <formula>"&lt;&gt;"""""</formula>
    </cfRule>
  </conditionalFormatting>
  <conditionalFormatting sqref="O42">
    <cfRule type="expression" dxfId="95" priority="9">
      <formula>WEEKDAY($A42,2)&gt;5</formula>
    </cfRule>
  </conditionalFormatting>
  <conditionalFormatting sqref="X14">
    <cfRule type="cellIs" dxfId="94" priority="8" operator="equal">
      <formula>0</formula>
    </cfRule>
  </conditionalFormatting>
  <conditionalFormatting sqref="T4:T5">
    <cfRule type="cellIs" dxfId="93" priority="6" operator="lessThan">
      <formula>0</formula>
    </cfRule>
  </conditionalFormatting>
  <conditionalFormatting sqref="A6:C6">
    <cfRule type="notContainsBlanks" dxfId="92" priority="168">
      <formula>LEN(TRIM(A6))&gt;0</formula>
    </cfRule>
  </conditionalFormatting>
  <conditionalFormatting sqref="C12:G39 I12:I42 I12:J39 L12:U39 I12:T16 K12:K42">
    <cfRule type="cellIs" dxfId="91" priority="4" operator="equal">
      <formula>" "</formula>
    </cfRule>
  </conditionalFormatting>
  <conditionalFormatting sqref="C2:F2">
    <cfRule type="expression" dxfId="90" priority="176">
      <formula>$G$2&lt;&gt;4</formula>
    </cfRule>
    <cfRule type="cellIs" dxfId="89" priority="177" operator="notBetween">
      <formula>1</formula>
      <formula>9999</formula>
    </cfRule>
  </conditionalFormatting>
  <conditionalFormatting sqref="J2:J5">
    <cfRule type="cellIs" dxfId="88" priority="2" operator="equal">
      <formula>"Ja*"</formula>
    </cfRule>
    <cfRule type="cellIs" dxfId="87" priority="3" operator="equal">
      <formula>"Ja"</formula>
    </cfRule>
  </conditionalFormatting>
  <conditionalFormatting sqref="D6">
    <cfRule type="notContainsBlanks" dxfId="86" priority="1">
      <formula>LEN(TRIM(D6))&gt;0</formula>
    </cfRule>
  </conditionalFormatting>
  <pageMargins left="0.62992125984251968" right="0.19685039370078741" top="0.47244094488188981" bottom="0.33645833333333336" header="0.23622047244094491" footer="7.874015748031496E-2"/>
  <pageSetup paperSize="9" scale="50" orientation="landscape" horizontalDpi="4294967292" r:id="rId1"/>
  <headerFooter alignWithMargins="0">
    <oddHeader>&amp;L&amp;"Arial,Fet"&amp;12TIDRAPPORT             &amp;C&amp;"Arial,Fet"&amp;12Björn Lundén Information AB</oddHeader>
    <oddFooter>&amp;L&amp;F</oddFooter>
  </headerFooter>
  <ignoredErrors>
    <ignoredError sqref="Z12:Z17 I12:I42 Z19:Z42 K15 K14 K23:K40 K17:K22" unlockedFormula="1"/>
    <ignoredError sqref="O43" formula="1"/>
  </ignoredErrors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10" operator="between" id="{12ACCDC8-46B9-41FB-8179-01851CB4C20F}">
            <xm:f>0</xm:f>
            <xm:f>Grunddata!$C$2</xm:f>
            <x14:dxf>
              <font>
                <color theme="3"/>
              </font>
              <fill>
                <patternFill>
                  <bgColor theme="8" tint="0.59996337778862885"/>
                </patternFill>
              </fill>
            </x14:dxf>
          </x14:cfRule>
          <xm:sqref>AB12:AB42</xm:sqref>
        </x14:conditionalFormatting>
        <x14:conditionalFormatting xmlns:xm="http://schemas.microsoft.com/office/excel/2006/main">
          <x14:cfRule type="cellIs" priority="109" operator="equal" id="{ECD11D4D-E85F-4B92-8CAD-B29525F0747B}">
            <xm:f>Grunddata!$C$2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AB12:AB42</xm:sqref>
        </x14:conditionalFormatting>
        <x14:conditionalFormatting xmlns:xm="http://schemas.microsoft.com/office/excel/2006/main">
          <x14:cfRule type="cellIs" priority="86" operator="greaterThan" id="{9557B074-94EF-4A15-91C9-E2356DB54BCF}">
            <xm:f>Grunddata!$C$3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7" operator="lessThan" id="{AAAE0D8A-63E5-4081-9812-46F124C5032A}">
            <xm:f>Grunddata!$C$4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T2</xm:sqref>
        </x14:conditionalFormatting>
        <x14:conditionalFormatting xmlns:xm="http://schemas.microsoft.com/office/excel/2006/main">
          <x14:cfRule type="cellIs" priority="68" operator="between" id="{ED145F3D-8136-4BE6-BF58-8300E591524B}">
            <xm:f>Grunddata!$C$4</xm:f>
            <xm:f>Grunddata!$C$3</xm:f>
            <x14:dxf>
              <fill>
                <patternFill>
                  <bgColor theme="6" tint="0.59996337778862885"/>
                </patternFill>
              </fill>
            </x14:dxf>
          </x14:cfRule>
          <xm:sqref>T2</xm:sqref>
        </x14:conditionalFormatting>
        <x14:conditionalFormatting xmlns:xm="http://schemas.microsoft.com/office/excel/2006/main">
          <x14:cfRule type="cellIs" priority="103" operator="lessThan" id="{C6BA7539-E743-49AC-B1F6-491A0AF2842D}">
            <xm:f>Grunddata!$C$1</xm:f>
            <x14:dxf>
              <font>
                <color rgb="FF0070C0"/>
              </font>
            </x14:dxf>
          </x14:cfRule>
          <xm:sqref>H12:H42</xm:sqref>
        </x14:conditionalFormatting>
        <x14:conditionalFormatting xmlns:xm="http://schemas.microsoft.com/office/excel/2006/main">
          <x14:cfRule type="cellIs" priority="104" operator="greaterThan" id="{F8F37FE8-FD37-4101-AA9E-E34F0674F90C}">
            <xm:f>Grunddata!$C$1</xm:f>
            <x14:dxf>
              <font>
                <color rgb="FF9C0006"/>
              </font>
            </x14:dxf>
          </x14:cfRule>
          <xm:sqref>H12:H42</xm:sqref>
        </x14:conditionalFormatting>
        <x14:conditionalFormatting xmlns:xm="http://schemas.microsoft.com/office/excel/2006/main">
          <x14:cfRule type="expression" priority="22" id="{82D096AE-33FD-4A9C-BA1B-AEE152C7BCAA}">
            <xm:f>VLOOKUP($C$2,Grunddata!$L$2:$Q$150,6,FALSE)="Utesäljare"</xm:f>
            <x14:dxf>
              <font>
                <color theme="0" tint="-0.499984740745262"/>
              </font>
              <fill>
                <patternFill>
                  <bgColor theme="0" tint="-0.14996795556505021"/>
                </patternFill>
              </fill>
            </x14:dxf>
          </x14:cfRule>
          <xm:sqref>Q10:T43</xm:sqref>
        </x14:conditionalFormatting>
        <x14:conditionalFormatting xmlns:xm="http://schemas.microsoft.com/office/excel/2006/main">
          <x14:cfRule type="expression" priority="165" id="{F9E9E691-DE20-4314-97E3-D93BB7AFBD33}">
            <xm:f>OR(Grunddata!$A$20=$A12,Grunddata!$A$21=$A12,Grunddata!$A$22=$A12,Grunddata!$A$23=$A12,Grunddata!$A$24=$A12,Grunddata!$A$25=$A12,Grunddata!$A$26=$A12,Grunddata!$A$27=$A12,Grunddata!$A$28=$A12,Grunddata!$A$29=$A12,Grunddata!$A$30=$A12,Grunddata!$A$31=$A12,Grunddata!$A$16=$A12,Grunddata!$A$17=$A12,Grunddata!$A$18=$A12,Grunddata!$A$19=$A12)</xm:f>
            <x14:dxf>
              <fill>
                <patternFill>
                  <bgColor rgb="FFD0E0F4"/>
                </patternFill>
              </fill>
            </x14:dxf>
          </x14:cfRule>
          <xm:sqref>AH48 X12:Y39 H13:K13 B12:G17 A42:H42 Y39:Y42 H14:J17 B18:J39 H12:U12 B40:H41 J40:J42 I12:I42 L13:U42 V12:X42 A12:A42 K12:K42</xm:sqref>
        </x14:conditionalFormatting>
        <x14:conditionalFormatting xmlns:xm="http://schemas.microsoft.com/office/excel/2006/main">
          <x14:cfRule type="containsText" priority="7" operator="containsText" id="{00842C56-9601-4DD5-881E-9E407119AAF2}">
            <xm:f>NOT(ISERROR(SEARCH("VECKODAG",Z15)))</xm:f>
            <xm:f>"VECKODAG"</xm:f>
            <x14:dxf>
              <font>
                <color theme="5" tint="-0.24994659260841701"/>
              </font>
              <fill>
                <patternFill>
                  <bgColor rgb="FFFFFF00"/>
                </patternFill>
              </fill>
            </x14:dxf>
          </x14:cfRule>
          <xm:sqref>Z15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5703451C-72BA-4B38-8E95-25D42F389B53}">
          <x14:formula1>
            <xm:f>Grunddata!$E$1:$E$2</xm:f>
          </x14:formula1>
          <xm:sqref>J1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AD2E-19BC-43D7-82B4-07C5A937872B}">
  <sheetPr codeName="Blad2"/>
  <dimension ref="A1:E39"/>
  <sheetViews>
    <sheetView workbookViewId="0">
      <pane ySplit="7" topLeftCell="A8" activePane="bottomLeft" state="frozen"/>
      <selection pane="bottomLeft" activeCell="A8" sqref="A8"/>
    </sheetView>
  </sheetViews>
  <sheetFormatPr defaultColWidth="9.109375" defaultRowHeight="13.2" x14ac:dyDescent="0.25"/>
  <cols>
    <col min="1" max="2" width="15.6640625" style="64" customWidth="1"/>
    <col min="3" max="3" width="18.6640625" style="4" customWidth="1"/>
    <col min="4" max="4" width="30.44140625" style="4" customWidth="1"/>
    <col min="5" max="5" width="11.33203125" style="4" customWidth="1"/>
    <col min="6" max="16384" width="9.109375" style="4"/>
  </cols>
  <sheetData>
    <row r="1" spans="1:5" ht="18" x14ac:dyDescent="0.35">
      <c r="A1" s="63" t="s">
        <v>0</v>
      </c>
      <c r="B1" s="63"/>
    </row>
    <row r="2" spans="1:5" ht="14.4" x14ac:dyDescent="0.3">
      <c r="A2" s="291" t="s">
        <v>7</v>
      </c>
      <c r="B2" s="529">
        <f>Tidrapport!$C$2</f>
        <v>0</v>
      </c>
      <c r="C2" s="529"/>
    </row>
    <row r="3" spans="1:5" ht="14.4" x14ac:dyDescent="0.3">
      <c r="A3" s="292" t="s">
        <v>11</v>
      </c>
      <c r="B3" s="530" t="str">
        <f>Tidrapport!$C$3</f>
        <v/>
      </c>
      <c r="C3" s="530"/>
    </row>
    <row r="4" spans="1:5" ht="14.4" x14ac:dyDescent="0.3">
      <c r="A4" s="292" t="s">
        <v>14</v>
      </c>
      <c r="B4" s="314">
        <f>Tidrapport!C4</f>
        <v>42870</v>
      </c>
      <c r="C4" s="315">
        <f>Tidrapport!E4</f>
        <v>42900</v>
      </c>
    </row>
    <row r="6" spans="1:5" ht="18.600000000000001" thickBot="1" x14ac:dyDescent="0.4">
      <c r="A6" s="19" t="s">
        <v>8</v>
      </c>
      <c r="B6" s="19"/>
    </row>
    <row r="7" spans="1:5" ht="19.5" customHeight="1" thickBot="1" x14ac:dyDescent="0.3">
      <c r="A7" s="268" t="s">
        <v>27</v>
      </c>
      <c r="B7" s="533" t="s">
        <v>67</v>
      </c>
      <c r="C7" s="534"/>
      <c r="D7" s="462" t="s">
        <v>68</v>
      </c>
      <c r="E7" s="269" t="s">
        <v>69</v>
      </c>
    </row>
    <row r="8" spans="1:5" ht="19.5" customHeight="1" x14ac:dyDescent="0.3">
      <c r="A8" s="293"/>
      <c r="B8" s="535"/>
      <c r="C8" s="536"/>
      <c r="D8" s="294"/>
      <c r="E8" s="295"/>
    </row>
    <row r="9" spans="1:5" ht="19.5" customHeight="1" x14ac:dyDescent="0.3">
      <c r="A9" s="296"/>
      <c r="B9" s="531"/>
      <c r="C9" s="532"/>
      <c r="D9" s="297"/>
      <c r="E9" s="298"/>
    </row>
    <row r="10" spans="1:5" ht="19.5" customHeight="1" x14ac:dyDescent="0.3">
      <c r="A10" s="296"/>
      <c r="B10" s="531"/>
      <c r="C10" s="532"/>
      <c r="D10" s="297"/>
      <c r="E10" s="299"/>
    </row>
    <row r="11" spans="1:5" ht="19.5" customHeight="1" x14ac:dyDescent="0.3">
      <c r="A11" s="296"/>
      <c r="B11" s="531"/>
      <c r="C11" s="532"/>
      <c r="D11" s="297"/>
      <c r="E11" s="300"/>
    </row>
    <row r="12" spans="1:5" ht="19.5" customHeight="1" x14ac:dyDescent="0.3">
      <c r="A12" s="296"/>
      <c r="B12" s="531"/>
      <c r="C12" s="532"/>
      <c r="D12" s="297"/>
      <c r="E12" s="300"/>
    </row>
    <row r="13" spans="1:5" ht="19.5" customHeight="1" x14ac:dyDescent="0.3">
      <c r="A13" s="296"/>
      <c r="B13" s="531"/>
      <c r="C13" s="532"/>
      <c r="D13" s="297"/>
      <c r="E13" s="300"/>
    </row>
    <row r="14" spans="1:5" ht="19.5" customHeight="1" x14ac:dyDescent="0.3">
      <c r="A14" s="301"/>
      <c r="B14" s="531"/>
      <c r="C14" s="532"/>
      <c r="D14" s="297"/>
      <c r="E14" s="299"/>
    </row>
    <row r="15" spans="1:5" ht="19.5" customHeight="1" x14ac:dyDescent="0.3">
      <c r="A15" s="301"/>
      <c r="B15" s="531"/>
      <c r="C15" s="532"/>
      <c r="D15" s="297"/>
      <c r="E15" s="299"/>
    </row>
    <row r="16" spans="1:5" ht="19.5" customHeight="1" x14ac:dyDescent="0.3">
      <c r="A16" s="301"/>
      <c r="B16" s="531"/>
      <c r="C16" s="532"/>
      <c r="D16" s="297"/>
      <c r="E16" s="299"/>
    </row>
    <row r="17" spans="1:5" ht="19.5" customHeight="1" x14ac:dyDescent="0.3">
      <c r="A17" s="301"/>
      <c r="B17" s="531"/>
      <c r="C17" s="532"/>
      <c r="D17" s="297"/>
      <c r="E17" s="299"/>
    </row>
    <row r="18" spans="1:5" ht="19.5" customHeight="1" x14ac:dyDescent="0.3">
      <c r="A18" s="301"/>
      <c r="B18" s="531"/>
      <c r="C18" s="532"/>
      <c r="D18" s="297"/>
      <c r="E18" s="299"/>
    </row>
    <row r="19" spans="1:5" ht="19.5" customHeight="1" x14ac:dyDescent="0.3">
      <c r="A19" s="301"/>
      <c r="B19" s="531"/>
      <c r="C19" s="532"/>
      <c r="D19" s="297"/>
      <c r="E19" s="299"/>
    </row>
    <row r="20" spans="1:5" ht="19.5" customHeight="1" x14ac:dyDescent="0.3">
      <c r="A20" s="301"/>
      <c r="B20" s="531"/>
      <c r="C20" s="532"/>
      <c r="D20" s="297"/>
      <c r="E20" s="299"/>
    </row>
    <row r="21" spans="1:5" ht="19.5" customHeight="1" x14ac:dyDescent="0.3">
      <c r="A21" s="301"/>
      <c r="B21" s="531"/>
      <c r="C21" s="532"/>
      <c r="D21" s="297"/>
      <c r="E21" s="299"/>
    </row>
    <row r="22" spans="1:5" ht="19.5" customHeight="1" x14ac:dyDescent="0.3">
      <c r="A22" s="301"/>
      <c r="B22" s="531"/>
      <c r="C22" s="532"/>
      <c r="D22" s="297"/>
      <c r="E22" s="299"/>
    </row>
    <row r="23" spans="1:5" ht="19.5" customHeight="1" x14ac:dyDescent="0.3">
      <c r="A23" s="301"/>
      <c r="B23" s="460"/>
      <c r="C23" s="461"/>
      <c r="D23" s="297"/>
      <c r="E23" s="299"/>
    </row>
    <row r="24" spans="1:5" ht="19.5" customHeight="1" x14ac:dyDescent="0.3">
      <c r="A24" s="301"/>
      <c r="B24" s="531"/>
      <c r="C24" s="532"/>
      <c r="D24" s="297"/>
      <c r="E24" s="299"/>
    </row>
    <row r="25" spans="1:5" ht="19.5" customHeight="1" x14ac:dyDescent="0.3">
      <c r="A25" s="301"/>
      <c r="B25" s="531"/>
      <c r="C25" s="532"/>
      <c r="D25" s="297"/>
      <c r="E25" s="299"/>
    </row>
    <row r="26" spans="1:5" ht="19.5" customHeight="1" x14ac:dyDescent="0.3">
      <c r="A26" s="301"/>
      <c r="B26" s="531"/>
      <c r="C26" s="532"/>
      <c r="D26" s="297"/>
      <c r="E26" s="299"/>
    </row>
    <row r="27" spans="1:5" ht="19.5" customHeight="1" x14ac:dyDescent="0.3">
      <c r="A27" s="301"/>
      <c r="B27" s="460"/>
      <c r="C27" s="461"/>
      <c r="D27" s="297"/>
      <c r="E27" s="299"/>
    </row>
    <row r="28" spans="1:5" ht="19.5" customHeight="1" x14ac:dyDescent="0.3">
      <c r="A28" s="301"/>
      <c r="B28" s="531"/>
      <c r="C28" s="532"/>
      <c r="D28" s="297"/>
      <c r="E28" s="299"/>
    </row>
    <row r="29" spans="1:5" ht="19.5" customHeight="1" x14ac:dyDescent="0.3">
      <c r="A29" s="301"/>
      <c r="B29" s="531"/>
      <c r="C29" s="532"/>
      <c r="D29" s="297"/>
      <c r="E29" s="299"/>
    </row>
    <row r="30" spans="1:5" ht="19.5" customHeight="1" x14ac:dyDescent="0.3">
      <c r="A30" s="301"/>
      <c r="B30" s="531"/>
      <c r="C30" s="532"/>
      <c r="D30" s="297"/>
      <c r="E30" s="299"/>
    </row>
    <row r="31" spans="1:5" ht="19.5" customHeight="1" x14ac:dyDescent="0.3">
      <c r="A31" s="301"/>
      <c r="B31" s="460"/>
      <c r="C31" s="461"/>
      <c r="D31" s="297"/>
      <c r="E31" s="299"/>
    </row>
    <row r="32" spans="1:5" ht="19.5" customHeight="1" x14ac:dyDescent="0.3">
      <c r="A32" s="301"/>
      <c r="B32" s="460"/>
      <c r="C32" s="461"/>
      <c r="D32" s="297"/>
      <c r="E32" s="299"/>
    </row>
    <row r="33" spans="1:5" ht="19.5" customHeight="1" x14ac:dyDescent="0.3">
      <c r="A33" s="301"/>
      <c r="B33" s="460"/>
      <c r="C33" s="461"/>
      <c r="D33" s="297"/>
      <c r="E33" s="299"/>
    </row>
    <row r="34" spans="1:5" ht="19.5" customHeight="1" x14ac:dyDescent="0.3">
      <c r="A34" s="301"/>
      <c r="B34" s="460"/>
      <c r="C34" s="461"/>
      <c r="D34" s="297"/>
      <c r="E34" s="299"/>
    </row>
    <row r="35" spans="1:5" ht="19.5" customHeight="1" x14ac:dyDescent="0.3">
      <c r="A35" s="301"/>
      <c r="B35" s="460"/>
      <c r="C35" s="461"/>
      <c r="D35" s="297"/>
      <c r="E35" s="299"/>
    </row>
    <row r="36" spans="1:5" ht="19.5" customHeight="1" x14ac:dyDescent="0.3">
      <c r="A36" s="301"/>
      <c r="B36" s="460"/>
      <c r="C36" s="461"/>
      <c r="D36" s="297"/>
      <c r="E36" s="299"/>
    </row>
    <row r="37" spans="1:5" ht="19.5" customHeight="1" x14ac:dyDescent="0.3">
      <c r="A37" s="301"/>
      <c r="B37" s="531"/>
      <c r="C37" s="532"/>
      <c r="D37" s="297"/>
      <c r="E37" s="299"/>
    </row>
    <row r="38" spans="1:5" ht="19.5" customHeight="1" thickBot="1" x14ac:dyDescent="0.35">
      <c r="A38" s="302"/>
      <c r="B38" s="537"/>
      <c r="C38" s="538"/>
      <c r="D38" s="303"/>
      <c r="E38" s="304"/>
    </row>
    <row r="39" spans="1:5" x14ac:dyDescent="0.25">
      <c r="D39" s="79" t="s">
        <v>64</v>
      </c>
      <c r="E39" s="4" t="str">
        <f>IF(SUM(E8:E38)&gt;0,SUM(E8:E38)," ")</f>
        <v xml:space="preserve"> </v>
      </c>
    </row>
  </sheetData>
  <sheetProtection sheet="1" objects="1" scenarios="1"/>
  <mergeCells count="26">
    <mergeCell ref="B12:C12"/>
    <mergeCell ref="B30:C30"/>
    <mergeCell ref="B37:C37"/>
    <mergeCell ref="B38:C38"/>
    <mergeCell ref="B19:C19"/>
    <mergeCell ref="B20:C20"/>
    <mergeCell ref="B21:C21"/>
    <mergeCell ref="B22:C22"/>
    <mergeCell ref="B24:C24"/>
    <mergeCell ref="B25:C25"/>
    <mergeCell ref="B2:C2"/>
    <mergeCell ref="B3:C3"/>
    <mergeCell ref="B26:C26"/>
    <mergeCell ref="B28:C28"/>
    <mergeCell ref="B29:C29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8226-7875-4B5C-9F2F-8C42D18FDDEA}">
  <sheetPr codeName="Blad3">
    <pageSetUpPr fitToPage="1"/>
  </sheetPr>
  <dimension ref="A1:J31"/>
  <sheetViews>
    <sheetView workbookViewId="0">
      <pane ySplit="8" topLeftCell="A9" activePane="bottomLeft" state="frozen"/>
      <selection pane="bottomLeft" activeCell="A9" sqref="A9:B9"/>
    </sheetView>
  </sheetViews>
  <sheetFormatPr defaultColWidth="9.109375" defaultRowHeight="13.2" x14ac:dyDescent="0.25"/>
  <cols>
    <col min="1" max="1" width="15.6640625" style="4" customWidth="1"/>
    <col min="2" max="2" width="14" style="4" customWidth="1"/>
    <col min="3" max="3" width="10.109375" style="4" bestFit="1" customWidth="1"/>
    <col min="4" max="4" width="9.109375" style="4"/>
    <col min="5" max="9" width="0" style="4" hidden="1" customWidth="1"/>
    <col min="10" max="10" width="12.33203125" style="4" customWidth="1"/>
    <col min="11" max="16384" width="9.109375" style="4"/>
  </cols>
  <sheetData>
    <row r="1" spans="1:10" ht="18" x14ac:dyDescent="0.35">
      <c r="A1" s="17" t="s">
        <v>0</v>
      </c>
      <c r="B1" s="58"/>
    </row>
    <row r="2" spans="1:10" ht="14.4" x14ac:dyDescent="0.3">
      <c r="A2" s="291" t="s">
        <v>7</v>
      </c>
      <c r="B2" s="530">
        <f>Tidrapport!C2</f>
        <v>0</v>
      </c>
      <c r="C2" s="530"/>
      <c r="D2" s="530"/>
    </row>
    <row r="3" spans="1:10" ht="14.4" x14ac:dyDescent="0.3">
      <c r="A3" s="291" t="s">
        <v>11</v>
      </c>
      <c r="B3" s="530" t="str">
        <f>Tidrapport!C3</f>
        <v/>
      </c>
      <c r="C3" s="530"/>
      <c r="D3" s="530"/>
    </row>
    <row r="4" spans="1:10" ht="14.4" x14ac:dyDescent="0.3">
      <c r="A4" s="291" t="s">
        <v>14</v>
      </c>
      <c r="B4" s="314">
        <f>Tidrapport!C4</f>
        <v>42870</v>
      </c>
      <c r="C4" s="543">
        <f>Tidrapport!E4</f>
        <v>42900</v>
      </c>
      <c r="D4" s="544"/>
    </row>
    <row r="5" spans="1:10" ht="13.8" x14ac:dyDescent="0.3">
      <c r="A5" s="58"/>
      <c r="B5" s="58"/>
    </row>
    <row r="6" spans="1:10" ht="18.600000000000001" thickBot="1" x14ac:dyDescent="0.4">
      <c r="A6" s="59" t="s">
        <v>70</v>
      </c>
      <c r="B6" s="58"/>
      <c r="D6" s="22"/>
      <c r="E6" s="21"/>
      <c r="F6" s="21"/>
      <c r="G6" s="52"/>
      <c r="H6" s="22"/>
      <c r="I6" s="52"/>
      <c r="J6" s="53"/>
    </row>
    <row r="7" spans="1:10" ht="19.5" customHeight="1" x14ac:dyDescent="0.25">
      <c r="A7" s="562" t="s">
        <v>67</v>
      </c>
      <c r="B7" s="563"/>
      <c r="C7" s="539" t="s">
        <v>27</v>
      </c>
      <c r="D7" s="545" t="s">
        <v>71</v>
      </c>
      <c r="E7" s="549" t="s">
        <v>72</v>
      </c>
      <c r="F7" s="550"/>
      <c r="G7" s="550"/>
      <c r="H7" s="550"/>
      <c r="I7" s="551"/>
      <c r="J7" s="552" t="s">
        <v>73</v>
      </c>
    </row>
    <row r="8" spans="1:10" ht="19.5" customHeight="1" thickBot="1" x14ac:dyDescent="0.3">
      <c r="A8" s="564"/>
      <c r="B8" s="565"/>
      <c r="C8" s="540"/>
      <c r="D8" s="546"/>
      <c r="E8" s="29" t="s">
        <v>74</v>
      </c>
      <c r="F8" s="30" t="s">
        <v>75</v>
      </c>
      <c r="G8" s="60" t="s">
        <v>76</v>
      </c>
      <c r="H8" s="61" t="s">
        <v>77</v>
      </c>
      <c r="I8" s="62" t="s">
        <v>78</v>
      </c>
      <c r="J8" s="553"/>
    </row>
    <row r="9" spans="1:10" ht="19.5" customHeight="1" x14ac:dyDescent="0.3">
      <c r="A9" s="560"/>
      <c r="B9" s="561"/>
      <c r="C9" s="305"/>
      <c r="D9" s="306"/>
      <c r="E9" s="307"/>
      <c r="F9" s="307"/>
      <c r="G9" s="307"/>
      <c r="H9" s="307"/>
      <c r="I9" s="308"/>
      <c r="J9" s="325" t="str">
        <f>IF(AND(D9="",E9="",F9="",G9="",H9="",I9=""),"",D9*Grunddata!$H$12+E9*Grunddata!$H$13+F9*Grunddata!$H$14+G9*Grunddata!$H$15+H9*Grunddata!$H$16+I9*Grunddata!$H$17)</f>
        <v/>
      </c>
    </row>
    <row r="10" spans="1:10" ht="19.5" customHeight="1" x14ac:dyDescent="0.3">
      <c r="A10" s="554"/>
      <c r="B10" s="555"/>
      <c r="C10" s="118"/>
      <c r="D10" s="309"/>
      <c r="E10" s="310"/>
      <c r="F10" s="310"/>
      <c r="G10" s="310"/>
      <c r="H10" s="310"/>
      <c r="I10" s="311"/>
      <c r="J10" s="326" t="str">
        <f>IF(AND(D10="",E10="",F10="",G10="",H10="",I10=""),"",D10*Grunddata!$H$12+E10*Grunddata!$H$13+F10*Grunddata!$H$14+G10*Grunddata!$H$15+H10*Grunddata!$H$16+I10*Grunddata!$H$17)</f>
        <v/>
      </c>
    </row>
    <row r="11" spans="1:10" ht="19.5" customHeight="1" x14ac:dyDescent="0.3">
      <c r="A11" s="556"/>
      <c r="B11" s="557"/>
      <c r="C11" s="118"/>
      <c r="D11" s="309"/>
      <c r="E11" s="310"/>
      <c r="F11" s="310"/>
      <c r="G11" s="310"/>
      <c r="H11" s="310"/>
      <c r="I11" s="311"/>
      <c r="J11" s="326" t="str">
        <f>IF(AND(D11="",E11="",F11="",G11="",H11="",I11=""),"",D11*Grunddata!$H$12+E11*Grunddata!$H$13+F11*Grunddata!$H$14+G11*Grunddata!$H$15+H11*Grunddata!$H$16+I11*Grunddata!$H$17)</f>
        <v/>
      </c>
    </row>
    <row r="12" spans="1:10" ht="19.5" customHeight="1" x14ac:dyDescent="0.3">
      <c r="A12" s="556"/>
      <c r="B12" s="557"/>
      <c r="C12" s="118"/>
      <c r="D12" s="309"/>
      <c r="E12" s="310"/>
      <c r="F12" s="310"/>
      <c r="G12" s="310"/>
      <c r="H12" s="310"/>
      <c r="I12" s="311"/>
      <c r="J12" s="326" t="str">
        <f>IF(AND(D12="",E12="",F12="",G12="",H12="",I12=""),"",D12*Grunddata!$H$12+E12*Grunddata!$H$13+F12*Grunddata!$H$14+G12*Grunddata!$H$15+H12*Grunddata!$H$16+I12*Grunddata!$H$17)</f>
        <v/>
      </c>
    </row>
    <row r="13" spans="1:10" ht="19.5" customHeight="1" x14ac:dyDescent="0.3">
      <c r="A13" s="556"/>
      <c r="B13" s="557"/>
      <c r="C13" s="118"/>
      <c r="D13" s="309"/>
      <c r="E13" s="310"/>
      <c r="F13" s="310"/>
      <c r="G13" s="310"/>
      <c r="H13" s="310"/>
      <c r="I13" s="311"/>
      <c r="J13" s="326" t="str">
        <f>IF(AND(D13="",E13="",F13="",G13="",H13="",I13=""),"",D13*Grunddata!$H$12+E13*Grunddata!$H$13+F13*Grunddata!$H$14+G13*Grunddata!$H$15+H13*Grunddata!$H$16+I13*Grunddata!$H$17)</f>
        <v/>
      </c>
    </row>
    <row r="14" spans="1:10" ht="19.5" customHeight="1" x14ac:dyDescent="0.25">
      <c r="A14" s="558"/>
      <c r="B14" s="559"/>
      <c r="C14" s="121"/>
      <c r="D14" s="309"/>
      <c r="E14" s="310"/>
      <c r="F14" s="310"/>
      <c r="G14" s="310"/>
      <c r="H14" s="310"/>
      <c r="I14" s="311"/>
      <c r="J14" s="326" t="str">
        <f>IF(AND(D14="",E14="",F14="",G14="",H14="",I14=""),"",D14*Grunddata!$H$12+E14*Grunddata!$H$13+F14*Grunddata!$H$14+G14*Grunddata!$H$15+H14*Grunddata!$H$16+I14*Grunddata!$H$17)</f>
        <v/>
      </c>
    </row>
    <row r="15" spans="1:10" ht="19.5" customHeight="1" x14ac:dyDescent="0.25">
      <c r="A15" s="558"/>
      <c r="B15" s="559"/>
      <c r="C15" s="121"/>
      <c r="D15" s="309"/>
      <c r="E15" s="310"/>
      <c r="F15" s="310"/>
      <c r="G15" s="310"/>
      <c r="H15" s="310"/>
      <c r="I15" s="311"/>
      <c r="J15" s="326" t="str">
        <f>IF(AND(D15="",E15="",F15="",G15="",H15="",I15=""),"",D15*Grunddata!$H$12+E15*Grunddata!$H$13+F15*Grunddata!$H$14+G15*Grunddata!$H$15+H15*Grunddata!$H$16+I15*Grunddata!$H$17)</f>
        <v/>
      </c>
    </row>
    <row r="16" spans="1:10" ht="19.5" customHeight="1" x14ac:dyDescent="0.25">
      <c r="A16" s="558"/>
      <c r="B16" s="559"/>
      <c r="C16" s="121"/>
      <c r="D16" s="309"/>
      <c r="E16" s="310"/>
      <c r="F16" s="310"/>
      <c r="G16" s="310"/>
      <c r="H16" s="310"/>
      <c r="I16" s="311"/>
      <c r="J16" s="326" t="str">
        <f>IF(AND(D16="",E16="",F16="",G16="",H16="",I16=""),"",D16*Grunddata!$H$12+E16*Grunddata!$H$13+F16*Grunddata!$H$14+G16*Grunddata!$H$15+H16*Grunddata!$H$16+I16*Grunddata!$H$17)</f>
        <v/>
      </c>
    </row>
    <row r="17" spans="1:10" ht="19.5" customHeight="1" x14ac:dyDescent="0.25">
      <c r="A17" s="558"/>
      <c r="B17" s="559"/>
      <c r="C17" s="121"/>
      <c r="D17" s="309"/>
      <c r="E17" s="310"/>
      <c r="F17" s="310"/>
      <c r="G17" s="310"/>
      <c r="H17" s="310"/>
      <c r="I17" s="311"/>
      <c r="J17" s="326" t="str">
        <f>IF(AND(D17="",E17="",F17="",G17="",H17="",I17=""),"",D17*Grunddata!$H$12+E17*Grunddata!$H$13+F17*Grunddata!$H$14+G17*Grunddata!$H$15+H17*Grunddata!$H$16+I17*Grunddata!$H$17)</f>
        <v/>
      </c>
    </row>
    <row r="18" spans="1:10" ht="19.5" customHeight="1" x14ac:dyDescent="0.25">
      <c r="A18" s="558"/>
      <c r="B18" s="559"/>
      <c r="C18" s="121"/>
      <c r="D18" s="309"/>
      <c r="E18" s="310"/>
      <c r="F18" s="310"/>
      <c r="G18" s="310"/>
      <c r="H18" s="310"/>
      <c r="I18" s="311"/>
      <c r="J18" s="326" t="str">
        <f>IF(AND(D18="",E18="",F18="",G18="",H18="",I18=""),"",D18*Grunddata!$H$12+E18*Grunddata!$H$13+F18*Grunddata!$H$14+G18*Grunddata!$H$15+H18*Grunddata!$H$16+I18*Grunddata!$H$17)</f>
        <v/>
      </c>
    </row>
    <row r="19" spans="1:10" ht="19.5" customHeight="1" x14ac:dyDescent="0.25">
      <c r="A19" s="558"/>
      <c r="B19" s="559"/>
      <c r="C19" s="121"/>
      <c r="D19" s="130"/>
      <c r="E19" s="129"/>
      <c r="F19" s="312"/>
      <c r="G19" s="312"/>
      <c r="H19" s="312"/>
      <c r="I19" s="313"/>
      <c r="J19" s="326" t="str">
        <f>IF(AND(D19="",E19="",F19="",G19="",H19="",I19=""),"",D19*Grunddata!$H$12+E19*Grunddata!$H$13+F19*Grunddata!$H$14+G19*Grunddata!$H$15+H19*Grunddata!$H$16+I19*Grunddata!$H$17)</f>
        <v/>
      </c>
    </row>
    <row r="20" spans="1:10" ht="19.5" customHeight="1" x14ac:dyDescent="0.25">
      <c r="A20" s="558"/>
      <c r="B20" s="559"/>
      <c r="C20" s="121"/>
      <c r="D20" s="120"/>
      <c r="E20" s="312"/>
      <c r="F20" s="312"/>
      <c r="G20" s="133"/>
      <c r="H20" s="312"/>
      <c r="I20" s="313"/>
      <c r="J20" s="326" t="str">
        <f>IF(AND(D20="",E20="",F20="",G20="",H20="",I20=""),"",D20*Grunddata!$H$12+E20*Grunddata!$H$13+F20*Grunddata!$H$14+G20*Grunddata!$H$15+H20*Grunddata!$H$16+I20*Grunddata!$H$17)</f>
        <v/>
      </c>
    </row>
    <row r="21" spans="1:10" ht="19.5" customHeight="1" x14ac:dyDescent="0.25">
      <c r="A21" s="541"/>
      <c r="B21" s="542"/>
      <c r="C21" s="121"/>
      <c r="D21" s="121"/>
      <c r="E21" s="133"/>
      <c r="F21" s="133"/>
      <c r="G21" s="133"/>
      <c r="H21" s="133"/>
      <c r="I21" s="272"/>
      <c r="J21" s="326" t="str">
        <f>IF(AND(D21="",E21="",F21="",G21="",H21="",I21=""),"",D21*Grunddata!$H$12+E21*Grunddata!$H$13+F21*Grunddata!$H$14+G21*Grunddata!$H$15+H21*Grunddata!$H$16+I21*Grunddata!$H$17)</f>
        <v/>
      </c>
    </row>
    <row r="22" spans="1:10" ht="19.5" customHeight="1" x14ac:dyDescent="0.25">
      <c r="A22" s="541"/>
      <c r="B22" s="542"/>
      <c r="C22" s="121"/>
      <c r="D22" s="121"/>
      <c r="E22" s="133"/>
      <c r="F22" s="133"/>
      <c r="G22" s="133"/>
      <c r="H22" s="133"/>
      <c r="I22" s="272"/>
      <c r="J22" s="326" t="str">
        <f>IF(AND(D22="",E22="",F22="",G22="",H22="",I22=""),"",D22*Grunddata!$H$12+E22*Grunddata!$H$13+F22*Grunddata!$H$14+G22*Grunddata!$H$15+H22*Grunddata!$H$16+I22*Grunddata!$H$17)</f>
        <v/>
      </c>
    </row>
    <row r="23" spans="1:10" ht="19.5" customHeight="1" x14ac:dyDescent="0.25">
      <c r="A23" s="541"/>
      <c r="B23" s="542"/>
      <c r="C23" s="121"/>
      <c r="D23" s="121"/>
      <c r="E23" s="133"/>
      <c r="F23" s="133"/>
      <c r="G23" s="133"/>
      <c r="H23" s="133"/>
      <c r="I23" s="272"/>
      <c r="J23" s="326" t="str">
        <f>IF(AND(D23="",E23="",F23="",G23="",H23="",I23=""),"",D23*Grunddata!$H$12+E23*Grunddata!$H$13+F23*Grunddata!$H$14+G23*Grunddata!$H$15+H23*Grunddata!$H$16+I23*Grunddata!$H$17)</f>
        <v/>
      </c>
    </row>
    <row r="24" spans="1:10" ht="19.5" customHeight="1" x14ac:dyDescent="0.25">
      <c r="A24" s="541"/>
      <c r="B24" s="542"/>
      <c r="C24" s="121"/>
      <c r="D24" s="121"/>
      <c r="E24" s="133"/>
      <c r="F24" s="133"/>
      <c r="G24" s="133"/>
      <c r="H24" s="133"/>
      <c r="I24" s="272"/>
      <c r="J24" s="326" t="str">
        <f>IF(AND(D24="",E24="",F24="",G24="",H24="",I24=""),"",D24*Grunddata!$H$12+E24*Grunddata!$H$13+F24*Grunddata!$H$14+G24*Grunddata!$H$15+H24*Grunddata!$H$16+I24*Grunddata!$H$17)</f>
        <v/>
      </c>
    </row>
    <row r="25" spans="1:10" ht="19.5" customHeight="1" x14ac:dyDescent="0.25">
      <c r="A25" s="541"/>
      <c r="B25" s="542"/>
      <c r="C25" s="121"/>
      <c r="D25" s="121"/>
      <c r="E25" s="133"/>
      <c r="F25" s="133"/>
      <c r="G25" s="133"/>
      <c r="H25" s="133"/>
      <c r="I25" s="272"/>
      <c r="J25" s="326" t="str">
        <f>IF(AND(D25="",E25="",F25="",G25="",H25="",I25=""),"",D25*Grunddata!$H$12+E25*Grunddata!$H$13+F25*Grunddata!$H$14+G25*Grunddata!$H$15+H25*Grunddata!$H$16+I25*Grunddata!$H$17)</f>
        <v/>
      </c>
    </row>
    <row r="26" spans="1:10" ht="19.5" customHeight="1" x14ac:dyDescent="0.25">
      <c r="A26" s="541"/>
      <c r="B26" s="542"/>
      <c r="C26" s="121"/>
      <c r="D26" s="121"/>
      <c r="E26" s="133"/>
      <c r="F26" s="133"/>
      <c r="G26" s="133"/>
      <c r="H26" s="133"/>
      <c r="I26" s="272"/>
      <c r="J26" s="326" t="str">
        <f>IF(AND(D26="",E26="",F26="",G26="",H26="",I26=""),"",D26*Grunddata!$H$12+E26*Grunddata!$H$13+F26*Grunddata!$H$14+G26*Grunddata!$H$15+H26*Grunddata!$H$16+I26*Grunddata!$H$17)</f>
        <v/>
      </c>
    </row>
    <row r="27" spans="1:10" ht="19.5" customHeight="1" x14ac:dyDescent="0.25">
      <c r="A27" s="541"/>
      <c r="B27" s="542"/>
      <c r="C27" s="121"/>
      <c r="D27" s="121"/>
      <c r="E27" s="133"/>
      <c r="F27" s="133"/>
      <c r="G27" s="133"/>
      <c r="H27" s="133"/>
      <c r="I27" s="272"/>
      <c r="J27" s="326" t="str">
        <f>IF(AND(D27="",E27="",F27="",G27="",H27="",I27=""),"",D27*Grunddata!$H$12+E27*Grunddata!$H$13+F27*Grunddata!$H$14+G27*Grunddata!$H$15+H27*Grunddata!$H$16+I27*Grunddata!$H$17)</f>
        <v/>
      </c>
    </row>
    <row r="28" spans="1:10" ht="19.5" customHeight="1" x14ac:dyDescent="0.25">
      <c r="A28" s="541"/>
      <c r="B28" s="542"/>
      <c r="C28" s="121"/>
      <c r="D28" s="121"/>
      <c r="E28" s="133"/>
      <c r="F28" s="133"/>
      <c r="G28" s="133"/>
      <c r="H28" s="133"/>
      <c r="I28" s="272"/>
      <c r="J28" s="326" t="str">
        <f>IF(AND(D28="",E28="",F28="",G28="",H28="",I28=""),"",D28*Grunddata!$H$12+E28*Grunddata!$H$13+F28*Grunddata!$H$14+G28*Grunddata!$H$15+H28*Grunddata!$H$16+I28*Grunddata!$H$17)</f>
        <v/>
      </c>
    </row>
    <row r="29" spans="1:10" ht="19.5" customHeight="1" x14ac:dyDescent="0.25">
      <c r="A29" s="541"/>
      <c r="B29" s="542"/>
      <c r="C29" s="121"/>
      <c r="D29" s="121"/>
      <c r="E29" s="133"/>
      <c r="F29" s="133"/>
      <c r="G29" s="133"/>
      <c r="H29" s="133"/>
      <c r="I29" s="272"/>
      <c r="J29" s="326" t="str">
        <f>IF(AND(D29="",E29="",F29="",G29="",H29="",I29=""),"",D29*Grunddata!$H$12+E29*Grunddata!$H$13+F29*Grunddata!$H$14+G29*Grunddata!$H$15+H29*Grunddata!$H$16+I29*Grunddata!$H$17)</f>
        <v/>
      </c>
    </row>
    <row r="30" spans="1:10" ht="19.5" customHeight="1" thickBot="1" x14ac:dyDescent="0.3">
      <c r="A30" s="547"/>
      <c r="B30" s="548"/>
      <c r="C30" s="123"/>
      <c r="D30" s="123"/>
      <c r="E30" s="135"/>
      <c r="F30" s="135"/>
      <c r="G30" s="135"/>
      <c r="H30" s="135"/>
      <c r="I30" s="273"/>
      <c r="J30" s="327" t="str">
        <f>IF(AND(D30="",E30="",F30="",G30="",H30="",I30=""),"",D30*Grunddata!$H$12+E30*Grunddata!$H$13+F30*Grunddata!$H$14+G30*Grunddata!$H$15+H30*Grunddata!$H$16+I30*Grunddata!$H$17)</f>
        <v/>
      </c>
    </row>
    <row r="31" spans="1:10" x14ac:dyDescent="0.25">
      <c r="D31" s="215">
        <f>SUM(D9:D30)</f>
        <v>0</v>
      </c>
      <c r="E31" s="215">
        <f t="shared" ref="E31:I31" si="0">SUM(E9:E30)</f>
        <v>0</v>
      </c>
      <c r="F31" s="215">
        <f t="shared" si="0"/>
        <v>0</v>
      </c>
      <c r="G31" s="215">
        <f t="shared" si="0"/>
        <v>0</v>
      </c>
      <c r="H31" s="215">
        <f t="shared" si="0"/>
        <v>0</v>
      </c>
      <c r="I31" s="215">
        <f t="shared" si="0"/>
        <v>0</v>
      </c>
      <c r="J31" s="78" t="str">
        <f>IF(SUM(J9:J30)&gt;0,SUM(J9:J30)," ")</f>
        <v xml:space="preserve"> </v>
      </c>
    </row>
  </sheetData>
  <sheetProtection sheet="1" objects="1" scenarios="1"/>
  <mergeCells count="30">
    <mergeCell ref="E7:I7"/>
    <mergeCell ref="J7:J8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9:B9"/>
    <mergeCell ref="A7:B8"/>
    <mergeCell ref="A29:B29"/>
    <mergeCell ref="A30:B30"/>
    <mergeCell ref="A22:B22"/>
    <mergeCell ref="A23:B23"/>
    <mergeCell ref="A24:B24"/>
    <mergeCell ref="A25:B25"/>
    <mergeCell ref="A26:B26"/>
    <mergeCell ref="A27:B27"/>
    <mergeCell ref="C7:C8"/>
    <mergeCell ref="A28:B28"/>
    <mergeCell ref="C4:D4"/>
    <mergeCell ref="B2:D2"/>
    <mergeCell ref="B3:D3"/>
    <mergeCell ref="D7:D8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9FAE-A394-4933-AAD6-4F4CF226EEFA}">
  <sheetPr codeName="Blad4">
    <pageSetUpPr fitToPage="1"/>
  </sheetPr>
  <dimension ref="A1:R31"/>
  <sheetViews>
    <sheetView workbookViewId="0">
      <pane ySplit="8" topLeftCell="A9" activePane="bottomLeft" state="frozen"/>
      <selection pane="bottomLeft" activeCell="P30" sqref="O9:P30"/>
    </sheetView>
  </sheetViews>
  <sheetFormatPr defaultColWidth="9.109375" defaultRowHeight="13.2" x14ac:dyDescent="0.25"/>
  <cols>
    <col min="1" max="1" width="15.6640625" style="4" customWidth="1"/>
    <col min="2" max="2" width="11.6640625" style="4" customWidth="1"/>
    <col min="3" max="5" width="10.5546875" style="4" customWidth="1"/>
    <col min="6" max="6" width="12.88671875" style="4" customWidth="1"/>
    <col min="7" max="12" width="10.5546875" style="4" customWidth="1"/>
    <col min="13" max="13" width="5.6640625" style="4" customWidth="1"/>
    <col min="14" max="14" width="5.44140625" style="4" customWidth="1"/>
    <col min="15" max="15" width="11.33203125" style="4" customWidth="1"/>
    <col min="16" max="16" width="9.109375" style="22"/>
    <col min="19" max="16384" width="9.109375" style="4"/>
  </cols>
  <sheetData>
    <row r="1" spans="1:18" ht="18" x14ac:dyDescent="0.35">
      <c r="A1" s="17" t="s">
        <v>0</v>
      </c>
    </row>
    <row r="2" spans="1:18" ht="14.4" x14ac:dyDescent="0.3">
      <c r="A2" s="291" t="s">
        <v>7</v>
      </c>
      <c r="B2" s="530">
        <f>Tidrapport!C2</f>
        <v>0</v>
      </c>
      <c r="C2" s="530"/>
      <c r="D2" s="530"/>
    </row>
    <row r="3" spans="1:18" ht="14.4" x14ac:dyDescent="0.3">
      <c r="A3" s="291" t="s">
        <v>11</v>
      </c>
      <c r="B3" s="530" t="str">
        <f>Tidrapport!C3</f>
        <v/>
      </c>
      <c r="C3" s="530"/>
      <c r="D3" s="530"/>
    </row>
    <row r="4" spans="1:18" ht="14.4" x14ac:dyDescent="0.3">
      <c r="A4" s="291" t="s">
        <v>14</v>
      </c>
      <c r="B4" s="314">
        <f>Tidrapport!C4</f>
        <v>42870</v>
      </c>
      <c r="C4" s="543">
        <f>Tidrapport!E4</f>
        <v>42900</v>
      </c>
      <c r="D4" s="544"/>
    </row>
    <row r="5" spans="1:18" ht="12.75" customHeight="1" x14ac:dyDescent="0.25"/>
    <row r="6" spans="1:18" ht="18.600000000000001" thickBot="1" x14ac:dyDescent="0.4">
      <c r="A6" s="107" t="s">
        <v>79</v>
      </c>
      <c r="C6" s="20"/>
      <c r="D6" s="20"/>
      <c r="E6" s="20"/>
      <c r="F6" s="20"/>
      <c r="G6" s="20"/>
      <c r="H6" s="21"/>
      <c r="I6" s="20"/>
      <c r="J6" s="22"/>
      <c r="K6" s="22"/>
      <c r="L6" s="22"/>
      <c r="M6" s="20"/>
      <c r="N6" s="20"/>
    </row>
    <row r="7" spans="1:18" ht="19.5" customHeight="1" x14ac:dyDescent="0.25">
      <c r="A7" s="562" t="s">
        <v>67</v>
      </c>
      <c r="B7" s="583"/>
      <c r="C7" s="552" t="s">
        <v>80</v>
      </c>
      <c r="D7" s="552" t="s">
        <v>81</v>
      </c>
      <c r="E7" s="585" t="s">
        <v>82</v>
      </c>
      <c r="F7" s="570" t="s">
        <v>83</v>
      </c>
      <c r="G7" s="574" t="s">
        <v>84</v>
      </c>
      <c r="H7" s="575"/>
      <c r="I7" s="576"/>
      <c r="J7" s="572" t="s">
        <v>85</v>
      </c>
      <c r="K7" s="573"/>
      <c r="L7" s="573"/>
      <c r="M7" s="566" t="s">
        <v>86</v>
      </c>
      <c r="N7" s="581" t="s">
        <v>87</v>
      </c>
      <c r="O7" s="568" t="s">
        <v>64</v>
      </c>
      <c r="P7" s="569"/>
    </row>
    <row r="8" spans="1:18" ht="19.5" customHeight="1" thickBot="1" x14ac:dyDescent="0.3">
      <c r="A8" s="564"/>
      <c r="B8" s="584"/>
      <c r="C8" s="553"/>
      <c r="D8" s="553"/>
      <c r="E8" s="586"/>
      <c r="F8" s="571"/>
      <c r="G8" s="26" t="s">
        <v>88</v>
      </c>
      <c r="H8" s="27" t="s">
        <v>31</v>
      </c>
      <c r="I8" s="28" t="s">
        <v>89</v>
      </c>
      <c r="J8" s="29" t="s">
        <v>88</v>
      </c>
      <c r="K8" s="30" t="s">
        <v>90</v>
      </c>
      <c r="L8" s="336" t="s">
        <v>89</v>
      </c>
      <c r="M8" s="567"/>
      <c r="N8" s="582"/>
      <c r="O8" s="335" t="s">
        <v>91</v>
      </c>
      <c r="P8" s="138" t="s">
        <v>92</v>
      </c>
    </row>
    <row r="9" spans="1:18" ht="19.5" customHeight="1" x14ac:dyDescent="0.3">
      <c r="A9" s="587"/>
      <c r="B9" s="588"/>
      <c r="C9" s="115"/>
      <c r="D9" s="116"/>
      <c r="E9" s="117"/>
      <c r="F9" s="114"/>
      <c r="G9" s="127"/>
      <c r="H9" s="127"/>
      <c r="I9" s="127"/>
      <c r="J9" s="128"/>
      <c r="K9" s="128"/>
      <c r="L9" s="270"/>
      <c r="M9" s="274" t="str">
        <f>IF(C9="","",IF(D9&gt;Grunddata!$B$7,"",IF(OR(E9="",E9&gt;=Grunddata!$B$8),"X","")))</f>
        <v/>
      </c>
      <c r="N9" s="124" t="str">
        <f>IF(C9="","",IF(D9&gt;Grunddata!$B$7,"X",IF(AND('Inrikes traktamente'!E9&lt;&gt;"",E9&lt;Grunddata!$B$8),"X","")))</f>
        <v/>
      </c>
      <c r="O9" s="137" t="str">
        <f>IF(C9="","",IF(M9="X",IF(COUNT(G9:I9)=3,Grunddata!$B$9+F9*Grunddata!$B$10-Grunddata!$E$10,Grunddata!$B$9+F9*Grunddata!$B$10-G9*Grunddata!$E$7-H9*Grunddata!$E$8-I9*Grunddata!$E$9),IF(N9="X",IF(COUNT(G9:I9)=3,0.5*(Grunddata!$B$9+F9*Grunddata!$B$10-Grunddata!$E$10),0.5*(Grunddata!$B$9-G9*Grunddata!$E$7-H9*Grunddata!$E$8-I9*Grunddata!$E$9)+F9*Grunddata!$B$10))))</f>
        <v/>
      </c>
      <c r="P9" s="419" t="str">
        <f>IF(AND(J9="",K9="",L9=""),"",IF(COUNT(J9:L9)=3,Grunddata!$H$9,J9*Grunddata!$H$7+K9*Grunddata!$H$8+L9*Grunddata!$H$8))</f>
        <v/>
      </c>
      <c r="Q9" s="418"/>
      <c r="R9" s="418"/>
    </row>
    <row r="10" spans="1:18" ht="19.5" customHeight="1" x14ac:dyDescent="0.3">
      <c r="A10" s="577"/>
      <c r="B10" s="578"/>
      <c r="C10" s="115"/>
      <c r="D10" s="119"/>
      <c r="E10" s="120"/>
      <c r="F10" s="129"/>
      <c r="G10" s="130"/>
      <c r="H10" s="130"/>
      <c r="I10" s="130"/>
      <c r="J10" s="131"/>
      <c r="K10" s="131"/>
      <c r="L10" s="271"/>
      <c r="M10" s="276" t="str">
        <f>IF(C10="","",IF(D10&gt;Grunddata!$B$7,"",IF(OR(E10="",E10&gt;Grunddata!$B$8),"X","")))</f>
        <v/>
      </c>
      <c r="N10" s="125" t="str">
        <f>IF(C10="","",IF(D10&gt;=Grunddata!$B$7,"X",IF(AND('Inrikes traktamente'!E10&lt;&gt;"",E10&lt;=Grunddata!$B$8),"X","")))</f>
        <v/>
      </c>
      <c r="O10" s="137" t="str">
        <f>IF(C10="","",IF(M10="X",IF(COUNT(G10:I10)=3,Grunddata!$B$9+F10*Grunddata!$B$10-Grunddata!$E$10,Grunddata!$B$9+F10*Grunddata!$B$10-G10*Grunddata!$E$7-H10*Grunddata!$E$8-I10*Grunddata!$E$9),IF(N10="X",IF(COUNT(G10:I10)=3,0.5*(Grunddata!$B$9+F10*Grunddata!$B$10-Grunddata!$E$10),0.5*(Grunddata!$B$9-G10*Grunddata!$E$7-H10*Grunddata!$E$8-I10*Grunddata!$E$9)+F10*Grunddata!$B$10))))</f>
        <v/>
      </c>
      <c r="P10" s="419" t="str">
        <f>IF(AND(J10="",K10="",L10=""),"",IF(COUNT(J10:L10)=3,Grunddata!$H$9,J10*Grunddata!$H$7+K10*Grunddata!$H$8+L10*Grunddata!$H$8))</f>
        <v/>
      </c>
    </row>
    <row r="11" spans="1:18" ht="19.5" customHeight="1" x14ac:dyDescent="0.3">
      <c r="A11" s="577"/>
      <c r="B11" s="578"/>
      <c r="C11" s="115"/>
      <c r="D11" s="119"/>
      <c r="E11" s="120"/>
      <c r="F11" s="129"/>
      <c r="G11" s="130"/>
      <c r="H11" s="130"/>
      <c r="I11" s="130"/>
      <c r="J11" s="131"/>
      <c r="K11" s="131"/>
      <c r="L11" s="271"/>
      <c r="M11" s="276" t="str">
        <f>IF(C11="","",IF(D11&gt;Grunddata!$B$7,"",IF(OR(E11="",E11&gt;Grunddata!$B$8),"X","")))</f>
        <v/>
      </c>
      <c r="N11" s="125" t="str">
        <f>IF(C11="","",IF(D11&gt;=Grunddata!$B$7,"X",IF(AND('Inrikes traktamente'!E11&lt;&gt;"",E11&lt;=Grunddata!$B$8),"X","")))</f>
        <v/>
      </c>
      <c r="O11" s="137" t="str">
        <f>IF(C11="","",IF(M11="X",IF(COUNT(G11:I11)=3,Grunddata!$B$9+F11*Grunddata!$B$10-Grunddata!$E$10,Grunddata!$B$9+F11*Grunddata!$B$10-G11*Grunddata!$E$7-H11*Grunddata!$E$8-I11*Grunddata!$E$9),IF(N11="X",IF(COUNT(G11:I11)=3,0.5*(Grunddata!$B$9+F11*Grunddata!$B$10-Grunddata!$E$10),0.5*(Grunddata!$B$9-G11*Grunddata!$E$7-H11*Grunddata!$E$8-I11*Grunddata!$E$9)+F11*Grunddata!$B$10))))</f>
        <v/>
      </c>
      <c r="P11" s="419" t="str">
        <f>IF(AND(J11="",K11="",L11=""),"",IF(COUNT(J11:L11)=3,Grunddata!$H$9,J11*Grunddata!$H$7+K11*Grunddata!$H$8+L11*Grunddata!$H$8))</f>
        <v/>
      </c>
    </row>
    <row r="12" spans="1:18" ht="19.5" customHeight="1" x14ac:dyDescent="0.3">
      <c r="A12" s="577"/>
      <c r="B12" s="578"/>
      <c r="C12" s="115"/>
      <c r="D12" s="119"/>
      <c r="E12" s="120"/>
      <c r="F12" s="129"/>
      <c r="G12" s="130"/>
      <c r="H12" s="130"/>
      <c r="I12" s="130"/>
      <c r="J12" s="131"/>
      <c r="K12" s="131"/>
      <c r="L12" s="271"/>
      <c r="M12" s="276" t="str">
        <f>IF(C12="","",IF(D12&gt;Grunddata!$B$7,"",IF(OR(E12="",E12&gt;Grunddata!$B$8),"X","")))</f>
        <v/>
      </c>
      <c r="N12" s="125" t="str">
        <f>IF(C12="","",IF(D12&gt;=Grunddata!$B$7,"X",IF(AND('Inrikes traktamente'!E12&lt;&gt;"",E12&lt;=Grunddata!$B$8),"X","")))</f>
        <v/>
      </c>
      <c r="O12" s="137" t="str">
        <f>IF(C12="","",IF(M12="X",IF(COUNT(G12:I12)=3,Grunddata!$B$9+F12*Grunddata!$B$10-Grunddata!$E$10,Grunddata!$B$9+F12*Grunddata!$B$10-G12*Grunddata!$E$7-H12*Grunddata!$E$8-I12*Grunddata!$E$9),IF(N12="X",IF(COUNT(G12:I12)=3,0.5*(Grunddata!$B$9+F12*Grunddata!$B$10-Grunddata!$E$10),0.5*(Grunddata!$B$9-G12*Grunddata!$E$7-H12*Grunddata!$E$8-I12*Grunddata!$E$9)+F12*Grunddata!$B$10))))</f>
        <v/>
      </c>
      <c r="P12" s="419" t="str">
        <f>IF(AND(J12="",K12="",L12=""),"",IF(COUNT(J12:L12)=3,Grunddata!$H$9,J12*Grunddata!$H$7+K12*Grunddata!$H$8+L12*Grunddata!$H$8))</f>
        <v/>
      </c>
    </row>
    <row r="13" spans="1:18" ht="19.5" customHeight="1" x14ac:dyDescent="0.3">
      <c r="A13" s="577"/>
      <c r="B13" s="578"/>
      <c r="C13" s="115"/>
      <c r="D13" s="119"/>
      <c r="E13" s="120"/>
      <c r="F13" s="129"/>
      <c r="G13" s="130"/>
      <c r="H13" s="130"/>
      <c r="I13" s="130"/>
      <c r="J13" s="131"/>
      <c r="K13" s="131"/>
      <c r="L13" s="271"/>
      <c r="M13" s="276" t="str">
        <f>IF(C13="","",IF(D13&gt;Grunddata!$B$7,"",IF(OR(E13="",E13&gt;Grunddata!$B$8),"X","")))</f>
        <v/>
      </c>
      <c r="N13" s="125" t="str">
        <f>IF(C13="","",IF(D13&gt;=Grunddata!$B$7,"X",IF(AND('Inrikes traktamente'!E13&lt;&gt;"",E13&lt;=Grunddata!$B$8),"X","")))</f>
        <v/>
      </c>
      <c r="O13" s="137" t="str">
        <f>IF(C13="","",IF(M13="X",IF(COUNT(G13:I13)=3,Grunddata!$B$9+F13*Grunddata!$B$10-Grunddata!$E$10,Grunddata!$B$9+F13*Grunddata!$B$10-G13*Grunddata!$E$7-H13*Grunddata!$E$8-I13*Grunddata!$E$9),IF(N13="X",IF(COUNT(G13:I13)=3,0.5*(Grunddata!$B$9+F13*Grunddata!$B$10-Grunddata!$E$10),0.5*(Grunddata!$B$9-G13*Grunddata!$E$7-H13*Grunddata!$E$8-I13*Grunddata!$E$9)+F13*Grunddata!$B$10))))</f>
        <v/>
      </c>
      <c r="P13" s="419" t="str">
        <f>IF(AND(J13="",K13="",L13=""),"",IF(COUNT(J13:L13)=3,Grunddata!$H$9,J13*Grunddata!$H$7+K13*Grunddata!$H$8+L13*Grunddata!$H$8))</f>
        <v/>
      </c>
    </row>
    <row r="14" spans="1:18" ht="19.5" customHeight="1" x14ac:dyDescent="0.3">
      <c r="A14" s="577"/>
      <c r="B14" s="578"/>
      <c r="C14" s="115"/>
      <c r="D14" s="119"/>
      <c r="E14" s="120"/>
      <c r="F14" s="129"/>
      <c r="G14" s="130"/>
      <c r="H14" s="130"/>
      <c r="I14" s="130"/>
      <c r="J14" s="131"/>
      <c r="K14" s="131"/>
      <c r="L14" s="271"/>
      <c r="M14" s="276" t="str">
        <f>IF(C14="","",IF(D14&gt;Grunddata!$B$7,"",IF(OR(E14="",E14&gt;Grunddata!$B$8),"X","")))</f>
        <v/>
      </c>
      <c r="N14" s="125" t="str">
        <f>IF(C14="","",IF(D14&gt;=Grunddata!$B$7,"X",IF(AND('Inrikes traktamente'!E14&lt;&gt;"",E14&lt;=Grunddata!$B$8),"X","")))</f>
        <v/>
      </c>
      <c r="O14" s="137" t="str">
        <f>IF(C14="","",IF(M14="X",IF(COUNT(G14:I14)=3,Grunddata!$B$9+F14*Grunddata!$B$10-Grunddata!$E$10,Grunddata!$B$9+F14*Grunddata!$B$10-G14*Grunddata!$E$7-H14*Grunddata!$E$8-I14*Grunddata!$E$9),IF(N14="X",IF(COUNT(G14:I14)=3,0.5*(Grunddata!$B$9+F14*Grunddata!$B$10-Grunddata!$E$10),0.5*(Grunddata!$B$9-G14*Grunddata!$E$7-H14*Grunddata!$E$8-I14*Grunddata!$E$9)+F14*Grunddata!$B$10))))</f>
        <v/>
      </c>
      <c r="P14" s="419" t="str">
        <f>IF(AND(J14="",K14="",L14=""),"",IF(COUNT(J14:L14)=3,Grunddata!$H$9,J14*Grunddata!$H$7+K14*Grunddata!$H$8+L14*Grunddata!$H$8))</f>
        <v/>
      </c>
    </row>
    <row r="15" spans="1:18" ht="19.5" customHeight="1" x14ac:dyDescent="0.3">
      <c r="A15" s="579"/>
      <c r="B15" s="580"/>
      <c r="C15" s="118"/>
      <c r="D15" s="119"/>
      <c r="E15" s="120"/>
      <c r="F15" s="129"/>
      <c r="G15" s="130"/>
      <c r="H15" s="122"/>
      <c r="I15" s="130"/>
      <c r="J15" s="131"/>
      <c r="K15" s="131"/>
      <c r="L15" s="271"/>
      <c r="M15" s="276" t="str">
        <f>IF(C15="","",IF(D15&gt;Grunddata!$B$7,"",IF(OR(E15="",E15&gt;Grunddata!$B$8),"X","")))</f>
        <v/>
      </c>
      <c r="N15" s="125" t="str">
        <f>IF(C15="","",IF(D15&gt;=Grunddata!$B$7,"X",IF(AND('Inrikes traktamente'!E15&lt;&gt;"",E15&lt;=Grunddata!$B$8),"X","")))</f>
        <v/>
      </c>
      <c r="O15" s="137" t="str">
        <f>IF(C15="","",IF(M15="X",IF(COUNT(G15:I15)=3,Grunddata!$B$9+F15*Grunddata!$B$10-Grunddata!$E$10,Grunddata!$B$9+F15*Grunddata!$B$10-G15*Grunddata!$E$7-H15*Grunddata!$E$8-I15*Grunddata!$E$9),IF(N15="X",IF(COUNT(G15:I15)=3,0.5*(Grunddata!$B$9+F15*Grunddata!$B$10-Grunddata!$E$10),0.5*(Grunddata!$B$9-G15*Grunddata!$E$7-H15*Grunddata!$E$8-I15*Grunddata!$E$9)+F15*Grunddata!$B$10))))</f>
        <v/>
      </c>
      <c r="P15" s="419" t="str">
        <f>IF(AND(J15="",K15="",L15=""),"",IF(COUNT(J15:L15)=3,Grunddata!$H$9,J15*Grunddata!$H$7+K15*Grunddata!$H$8+L15*Grunddata!$H$8))</f>
        <v/>
      </c>
    </row>
    <row r="16" spans="1:18" ht="19.5" customHeight="1" x14ac:dyDescent="0.3">
      <c r="A16" s="558"/>
      <c r="B16" s="559"/>
      <c r="C16" s="121"/>
      <c r="D16" s="122"/>
      <c r="E16" s="120"/>
      <c r="F16" s="129"/>
      <c r="G16" s="130"/>
      <c r="H16" s="122"/>
      <c r="I16" s="130"/>
      <c r="J16" s="131"/>
      <c r="K16" s="131"/>
      <c r="L16" s="271"/>
      <c r="M16" s="276" t="str">
        <f>IF(C16="","",IF(D16&gt;Grunddata!$B$7,"",IF(OR(E16="",E16&gt;Grunddata!$B$8),"X","")))</f>
        <v/>
      </c>
      <c r="N16" s="125" t="str">
        <f>IF(C16="","",IF(D16&gt;=Grunddata!$B$7,"X",IF(AND('Inrikes traktamente'!E16&lt;&gt;"",E16&lt;=Grunddata!$B$8),"X","")))</f>
        <v/>
      </c>
      <c r="O16" s="137" t="str">
        <f>IF(C16="","",IF(M16="X",IF(COUNT(G16:I16)=3,Grunddata!$B$9+F16*Grunddata!$B$10-Grunddata!$E$10,Grunddata!$B$9+F16*Grunddata!$B$10-G16*Grunddata!$E$7-H16*Grunddata!$E$8-I16*Grunddata!$E$9),IF(N16="X",IF(COUNT(G16:I16)=3,0.5*(Grunddata!$B$9+F16*Grunddata!$B$10-Grunddata!$E$10),0.5*(Grunddata!$B$9-G16*Grunddata!$E$7-H16*Grunddata!$E$8-I16*Grunddata!$E$9)+F16*Grunddata!$B$10))))</f>
        <v/>
      </c>
      <c r="P16" s="419" t="str">
        <f>IF(AND(J16="",K16="",L16=""),"",IF(COUNT(J16:L16)=3,Grunddata!$H$9,J16*Grunddata!$H$7+K16*Grunddata!$H$8+L16*Grunddata!$H$8))</f>
        <v/>
      </c>
    </row>
    <row r="17" spans="1:16" ht="19.5" customHeight="1" x14ac:dyDescent="0.3">
      <c r="A17" s="541"/>
      <c r="B17" s="542"/>
      <c r="C17" s="121"/>
      <c r="D17" s="121"/>
      <c r="E17" s="121"/>
      <c r="F17" s="132"/>
      <c r="G17" s="121"/>
      <c r="H17" s="121"/>
      <c r="I17" s="121"/>
      <c r="J17" s="133"/>
      <c r="K17" s="133"/>
      <c r="L17" s="272"/>
      <c r="M17" s="276" t="str">
        <f>IF(C17="","",IF(D17&gt;Grunddata!$B$7,"",IF(OR(E17="",E17&gt;Grunddata!$B$8),"X","")))</f>
        <v/>
      </c>
      <c r="N17" s="125" t="str">
        <f>IF(C17="","",IF(D17&gt;=Grunddata!$B$7,"X",IF(AND('Inrikes traktamente'!E17&lt;&gt;"",E17&lt;=Grunddata!$B$8),"X","")))</f>
        <v/>
      </c>
      <c r="O17" s="137" t="str">
        <f>IF(C17="","",IF(M17="X",IF(COUNT(G17:I17)=3,Grunddata!$B$9+F17*Grunddata!$B$10-Grunddata!$E$10,Grunddata!$B$9+F17*Grunddata!$B$10-G17*Grunddata!$E$7-H17*Grunddata!$E$8-I17*Grunddata!$E$9),IF(N17="X",IF(COUNT(G17:I17)=3,0.5*(Grunddata!$B$9+F17*Grunddata!$B$10-Grunddata!$E$10),0.5*(Grunddata!$B$9-G17*Grunddata!$E$7-H17*Grunddata!$E$8-I17*Grunddata!$E$9)+F17*Grunddata!$B$10))))</f>
        <v/>
      </c>
      <c r="P17" s="419" t="str">
        <f>IF(AND(J17="",K17="",L17=""),"",IF(COUNT(J17:L17)=3,Grunddata!$H$9,J17*Grunddata!$H$7+K17*Grunddata!$H$8+L17*Grunddata!$H$8))</f>
        <v/>
      </c>
    </row>
    <row r="18" spans="1:16" ht="19.5" customHeight="1" x14ac:dyDescent="0.3">
      <c r="A18" s="541"/>
      <c r="B18" s="542"/>
      <c r="C18" s="121"/>
      <c r="D18" s="121"/>
      <c r="E18" s="121"/>
      <c r="F18" s="132"/>
      <c r="G18" s="121"/>
      <c r="H18" s="121"/>
      <c r="I18" s="121"/>
      <c r="J18" s="133"/>
      <c r="K18" s="133"/>
      <c r="L18" s="272"/>
      <c r="M18" s="276" t="str">
        <f>IF(C18="","",IF(D18&gt;Grunddata!$B$7,"",IF(OR(E18="",E18&gt;Grunddata!$B$8),"X","")))</f>
        <v/>
      </c>
      <c r="N18" s="125" t="str">
        <f>IF(C18="","",IF(D18&gt;=Grunddata!$B$7,"X",IF(AND('Inrikes traktamente'!E18&lt;&gt;"",E18&lt;=Grunddata!$B$8),"X","")))</f>
        <v/>
      </c>
      <c r="O18" s="137" t="str">
        <f>IF(C18="","",IF(M18="X",IF(COUNT(G18:I18)=3,Grunddata!$B$9+F18*Grunddata!$B$10-Grunddata!$E$10,Grunddata!$B$9+F18*Grunddata!$B$10-G18*Grunddata!$E$7-H18*Grunddata!$E$8-I18*Grunddata!$E$9),IF(N18="X",IF(COUNT(G18:I18)=3,0.5*(Grunddata!$B$9+F18*Grunddata!$B$10-Grunddata!$E$10),0.5*(Grunddata!$B$9-G18*Grunddata!$E$7-H18*Grunddata!$E$8-I18*Grunddata!$E$9)+F18*Grunddata!$B$10))))</f>
        <v/>
      </c>
      <c r="P18" s="419" t="str">
        <f>IF(AND(J18="",K18="",L18=""),"",IF(COUNT(J18:L18)=3,Grunddata!$H$9,J18*Grunddata!$H$7+K18*Grunddata!$H$8+L18*Grunddata!$H$8))</f>
        <v/>
      </c>
    </row>
    <row r="19" spans="1:16" ht="19.5" customHeight="1" x14ac:dyDescent="0.3">
      <c r="A19" s="541"/>
      <c r="B19" s="542"/>
      <c r="C19" s="121"/>
      <c r="D19" s="121"/>
      <c r="E19" s="121"/>
      <c r="F19" s="132"/>
      <c r="G19" s="121"/>
      <c r="H19" s="121"/>
      <c r="I19" s="121"/>
      <c r="J19" s="133"/>
      <c r="K19" s="133"/>
      <c r="L19" s="272"/>
      <c r="M19" s="276" t="str">
        <f>IF(C19="","",IF(D19&gt;Grunddata!$B$7,"",IF(OR(E19="",E19&gt;Grunddata!$B$8),"X","")))</f>
        <v/>
      </c>
      <c r="N19" s="125" t="str">
        <f>IF(C19="","",IF(D19&gt;=Grunddata!$B$7,"X",IF(AND('Inrikes traktamente'!E19&lt;&gt;"",E19&lt;=Grunddata!$B$8),"X","")))</f>
        <v/>
      </c>
      <c r="O19" s="137" t="str">
        <f>IF(C19="","",IF(M19="X",IF(COUNT(G19:I19)=3,Grunddata!$B$9+F19*Grunddata!$B$10-Grunddata!$E$10,Grunddata!$B$9+F19*Grunddata!$B$10-G19*Grunddata!$E$7-H19*Grunddata!$E$8-I19*Grunddata!$E$9),IF(N19="X",IF(COUNT(G19:I19)=3,0.5*(Grunddata!$B$9+F19*Grunddata!$B$10-Grunddata!$E$10),0.5*(Grunddata!$B$9-G19*Grunddata!$E$7-H19*Grunddata!$E$8-I19*Grunddata!$E$9)+F19*Grunddata!$B$10))))</f>
        <v/>
      </c>
      <c r="P19" s="419" t="str">
        <f>IF(AND(J19="",K19="",L19=""),"",IF(COUNT(J19:L19)=3,Grunddata!$H$9,J19*Grunddata!$H$7+K19*Grunddata!$H$8+L19*Grunddata!$H$8))</f>
        <v/>
      </c>
    </row>
    <row r="20" spans="1:16" ht="19.5" customHeight="1" x14ac:dyDescent="0.3">
      <c r="A20" s="541"/>
      <c r="B20" s="542"/>
      <c r="C20" s="121"/>
      <c r="D20" s="121"/>
      <c r="E20" s="121"/>
      <c r="F20" s="132"/>
      <c r="G20" s="121"/>
      <c r="H20" s="121"/>
      <c r="I20" s="121"/>
      <c r="J20" s="133"/>
      <c r="K20" s="133"/>
      <c r="L20" s="272"/>
      <c r="M20" s="276" t="str">
        <f>IF(C20="","",IF(D20&gt;Grunddata!$B$7,"",IF(OR(E20="",E20&gt;Grunddata!$B$8),"X","")))</f>
        <v/>
      </c>
      <c r="N20" s="125" t="str">
        <f>IF(C20="","",IF(D20&gt;=Grunddata!$B$7,"X",IF(AND('Inrikes traktamente'!E20&lt;&gt;"",E20&lt;=Grunddata!$B$8),"X","")))</f>
        <v/>
      </c>
      <c r="O20" s="137" t="str">
        <f>IF(C20="","",IF(M20="X",IF(COUNT(G20:I20)=3,Grunddata!$B$9+F20*Grunddata!$B$10-Grunddata!$E$10,Grunddata!$B$9+F20*Grunddata!$B$10-G20*Grunddata!$E$7-H20*Grunddata!$E$8-I20*Grunddata!$E$9),IF(N20="X",IF(COUNT(G20:I20)=3,0.5*(Grunddata!$B$9+F20*Grunddata!$B$10-Grunddata!$E$10),0.5*(Grunddata!$B$9-G20*Grunddata!$E$7-H20*Grunddata!$E$8-I20*Grunddata!$E$9)+F20*Grunddata!$B$10))))</f>
        <v/>
      </c>
      <c r="P20" s="419" t="str">
        <f>IF(AND(J20="",K20="",L20=""),"",IF(COUNT(J20:L20)=3,Grunddata!$H$9,J20*Grunddata!$H$7+K20*Grunddata!$H$8+L20*Grunddata!$H$8))</f>
        <v/>
      </c>
    </row>
    <row r="21" spans="1:16" ht="19.5" customHeight="1" x14ac:dyDescent="0.3">
      <c r="A21" s="541"/>
      <c r="B21" s="542"/>
      <c r="C21" s="121"/>
      <c r="D21" s="121"/>
      <c r="E21" s="121"/>
      <c r="F21" s="132"/>
      <c r="G21" s="121"/>
      <c r="H21" s="121"/>
      <c r="I21" s="121"/>
      <c r="J21" s="133"/>
      <c r="K21" s="133"/>
      <c r="L21" s="272"/>
      <c r="M21" s="276" t="str">
        <f>IF(C21="","",IF(D21&gt;Grunddata!$B$7,"",IF(OR(E21="",E21&gt;Grunddata!$B$8),"X","")))</f>
        <v/>
      </c>
      <c r="N21" s="125" t="str">
        <f>IF(C21="","",IF(D21&gt;=Grunddata!$B$7,"X",IF(AND('Inrikes traktamente'!E21&lt;&gt;"",E21&lt;=Grunddata!$B$8),"X","")))</f>
        <v/>
      </c>
      <c r="O21" s="137" t="str">
        <f>IF(C21="","",IF(M21="X",IF(COUNT(G21:I21)=3,Grunddata!$B$9+F21*Grunddata!$B$10-Grunddata!$E$10,Grunddata!$B$9+F21*Grunddata!$B$10-G21*Grunddata!$E$7-H21*Grunddata!$E$8-I21*Grunddata!$E$9),IF(N21="X",IF(COUNT(G21:I21)=3,0.5*(Grunddata!$B$9+F21*Grunddata!$B$10-Grunddata!$E$10),0.5*(Grunddata!$B$9-G21*Grunddata!$E$7-H21*Grunddata!$E$8-I21*Grunddata!$E$9)+F21*Grunddata!$B$10))))</f>
        <v/>
      </c>
      <c r="P21" s="419" t="str">
        <f>IF(AND(J21="",K21="",L21=""),"",IF(COUNT(J21:L21)=3,Grunddata!$H$9,J21*Grunddata!$H$7+K21*Grunddata!$H$8+L21*Grunddata!$H$8))</f>
        <v/>
      </c>
    </row>
    <row r="22" spans="1:16" ht="19.5" customHeight="1" x14ac:dyDescent="0.3">
      <c r="A22" s="541"/>
      <c r="B22" s="542"/>
      <c r="C22" s="121"/>
      <c r="D22" s="121"/>
      <c r="E22" s="121"/>
      <c r="F22" s="132"/>
      <c r="G22" s="121"/>
      <c r="H22" s="121"/>
      <c r="I22" s="121"/>
      <c r="J22" s="133"/>
      <c r="K22" s="133"/>
      <c r="L22" s="272"/>
      <c r="M22" s="276" t="str">
        <f>IF(C22="","",IF(D22&gt;Grunddata!$B$7,"",IF(OR(E22="",E22&gt;Grunddata!$B$8),"X","")))</f>
        <v/>
      </c>
      <c r="N22" s="125" t="str">
        <f>IF(C22="","",IF(D22&gt;=Grunddata!$B$7,"X",IF(AND('Inrikes traktamente'!E22&lt;&gt;"",E22&lt;=Grunddata!$B$8),"X","")))</f>
        <v/>
      </c>
      <c r="O22" s="137" t="str">
        <f>IF(C22="","",IF(M22="X",IF(COUNT(G22:I22)=3,Grunddata!$B$9+F22*Grunddata!$B$10-Grunddata!$E$10,Grunddata!$B$9+F22*Grunddata!$B$10-G22*Grunddata!$E$7-H22*Grunddata!$E$8-I22*Grunddata!$E$9),IF(N22="X",IF(COUNT(G22:I22)=3,0.5*(Grunddata!$B$9+F22*Grunddata!$B$10-Grunddata!$E$10),0.5*(Grunddata!$B$9-G22*Grunddata!$E$7-H22*Grunddata!$E$8-I22*Grunddata!$E$9)+F22*Grunddata!$B$10))))</f>
        <v/>
      </c>
      <c r="P22" s="419" t="str">
        <f>IF(AND(J22="",K22="",L22=""),"",IF(COUNT(J22:L22)=3,Grunddata!$H$9,J22*Grunddata!$H$7+K22*Grunddata!$H$8+L22*Grunddata!$H$8))</f>
        <v/>
      </c>
    </row>
    <row r="23" spans="1:16" ht="19.5" customHeight="1" x14ac:dyDescent="0.3">
      <c r="A23" s="541"/>
      <c r="B23" s="542"/>
      <c r="C23" s="121"/>
      <c r="D23" s="121"/>
      <c r="E23" s="121"/>
      <c r="F23" s="132"/>
      <c r="G23" s="121"/>
      <c r="H23" s="121"/>
      <c r="I23" s="121"/>
      <c r="J23" s="133"/>
      <c r="K23" s="133"/>
      <c r="L23" s="272"/>
      <c r="M23" s="276" t="str">
        <f>IF(C23="","",IF(D23&gt;Grunddata!$B$7,"",IF(OR(E23="",E23&gt;Grunddata!$B$8),"X","")))</f>
        <v/>
      </c>
      <c r="N23" s="125" t="str">
        <f>IF(C23="","",IF(D23&gt;=Grunddata!$B$7,"X",IF(AND('Inrikes traktamente'!E23&lt;&gt;"",E23&lt;=Grunddata!$B$8),"X","")))</f>
        <v/>
      </c>
      <c r="O23" s="137" t="str">
        <f>IF(C23="","",IF(M23="X",IF(COUNT(G23:I23)=3,Grunddata!$B$9+F23*Grunddata!$B$10-Grunddata!$E$10,Grunddata!$B$9+F23*Grunddata!$B$10-G23*Grunddata!$E$7-H23*Grunddata!$E$8-I23*Grunddata!$E$9),IF(N23="X",IF(COUNT(G23:I23)=3,0.5*(Grunddata!$B$9+F23*Grunddata!$B$10-Grunddata!$E$10),0.5*(Grunddata!$B$9-G23*Grunddata!$E$7-H23*Grunddata!$E$8-I23*Grunddata!$E$9)+F23*Grunddata!$B$10))))</f>
        <v/>
      </c>
      <c r="P23" s="419" t="str">
        <f>IF(AND(J23="",K23="",L23=""),"",IF(COUNT(J23:L23)=3,Grunddata!$H$9,J23*Grunddata!$H$7+K23*Grunddata!$H$8+L23*Grunddata!$H$8))</f>
        <v/>
      </c>
    </row>
    <row r="24" spans="1:16" ht="19.5" customHeight="1" x14ac:dyDescent="0.3">
      <c r="A24" s="541"/>
      <c r="B24" s="542"/>
      <c r="C24" s="121"/>
      <c r="D24" s="121"/>
      <c r="E24" s="121"/>
      <c r="F24" s="132"/>
      <c r="G24" s="121"/>
      <c r="H24" s="121"/>
      <c r="I24" s="121"/>
      <c r="J24" s="133"/>
      <c r="K24" s="133"/>
      <c r="L24" s="272"/>
      <c r="M24" s="276" t="str">
        <f>IF(C24="","",IF(D24&gt;Grunddata!$B$7,"",IF(OR(E24="",E24&gt;Grunddata!$B$8),"X","")))</f>
        <v/>
      </c>
      <c r="N24" s="125" t="str">
        <f>IF(C24="","",IF(D24&gt;=Grunddata!$B$7,"X",IF(AND('Inrikes traktamente'!E24&lt;&gt;"",E24&lt;=Grunddata!$B$8),"X","")))</f>
        <v/>
      </c>
      <c r="O24" s="137" t="str">
        <f>IF(C24="","",IF(M24="X",IF(COUNT(G24:I24)=3,Grunddata!$B$9+F24*Grunddata!$B$10-Grunddata!$E$10,Grunddata!$B$9+F24*Grunddata!$B$10-G24*Grunddata!$E$7-H24*Grunddata!$E$8-I24*Grunddata!$E$9),IF(N24="X",IF(COUNT(G24:I24)=3,0.5*(Grunddata!$B$9+F24*Grunddata!$B$10-Grunddata!$E$10),0.5*(Grunddata!$B$9-G24*Grunddata!$E$7-H24*Grunddata!$E$8-I24*Grunddata!$E$9)+F24*Grunddata!$B$10))))</f>
        <v/>
      </c>
      <c r="P24" s="419" t="str">
        <f>IF(AND(J24="",K24="",L24=""),"",IF(COUNT(J24:L24)=3,Grunddata!$H$9,J24*Grunddata!$H$7+K24*Grunddata!$H$8+L24*Grunddata!$H$8))</f>
        <v/>
      </c>
    </row>
    <row r="25" spans="1:16" ht="19.5" customHeight="1" x14ac:dyDescent="0.3">
      <c r="A25" s="541"/>
      <c r="B25" s="542"/>
      <c r="C25" s="121"/>
      <c r="D25" s="121"/>
      <c r="E25" s="121"/>
      <c r="F25" s="132"/>
      <c r="G25" s="121"/>
      <c r="H25" s="121"/>
      <c r="I25" s="121"/>
      <c r="J25" s="133"/>
      <c r="K25" s="133"/>
      <c r="L25" s="272"/>
      <c r="M25" s="276" t="str">
        <f>IF(C25="","",IF(D25&gt;Grunddata!$B$7,"",IF(OR(E25="",E25&gt;Grunddata!$B$8),"X","")))</f>
        <v/>
      </c>
      <c r="N25" s="125" t="str">
        <f>IF(C25="","",IF(D25&gt;=Grunddata!$B$7,"X",IF(AND('Inrikes traktamente'!E25&lt;&gt;"",E25&lt;=Grunddata!$B$8),"X","")))</f>
        <v/>
      </c>
      <c r="O25" s="137" t="str">
        <f>IF(C25="","",IF(M25="X",IF(COUNT(G25:I25)=3,Grunddata!$B$9+F25*Grunddata!$B$10-Grunddata!$E$10,Grunddata!$B$9+F25*Grunddata!$B$10-G25*Grunddata!$E$7-H25*Grunddata!$E$8-I25*Grunddata!$E$9),IF(N25="X",IF(COUNT(G25:I25)=3,0.5*(Grunddata!$B$9+F25*Grunddata!$B$10-Grunddata!$E$10),0.5*(Grunddata!$B$9-G25*Grunddata!$E$7-H25*Grunddata!$E$8-I25*Grunddata!$E$9)+F25*Grunddata!$B$10))))</f>
        <v/>
      </c>
      <c r="P25" s="419" t="str">
        <f>IF(AND(J25="",K25="",L25=""),"",IF(COUNT(J25:L25)=3,Grunddata!$H$9,J25*Grunddata!$H$7+K25*Grunddata!$H$8+L25*Grunddata!$H$8))</f>
        <v/>
      </c>
    </row>
    <row r="26" spans="1:16" ht="19.5" customHeight="1" x14ac:dyDescent="0.3">
      <c r="A26" s="541"/>
      <c r="B26" s="542"/>
      <c r="C26" s="121"/>
      <c r="D26" s="121"/>
      <c r="E26" s="121"/>
      <c r="F26" s="132"/>
      <c r="G26" s="121"/>
      <c r="H26" s="121"/>
      <c r="I26" s="121"/>
      <c r="J26" s="133"/>
      <c r="K26" s="133"/>
      <c r="L26" s="272"/>
      <c r="M26" s="276" t="str">
        <f>IF(C26="","",IF(D26&gt;Grunddata!$B$7,"",IF(OR(E26="",E26&gt;Grunddata!$B$8),"X","")))</f>
        <v/>
      </c>
      <c r="N26" s="125" t="str">
        <f>IF(C26="","",IF(D26&gt;=Grunddata!$B$7,"X",IF(AND('Inrikes traktamente'!E26&lt;&gt;"",E26&lt;=Grunddata!$B$8),"X","")))</f>
        <v/>
      </c>
      <c r="O26" s="137" t="str">
        <f>IF(C26="","",IF(M26="X",IF(COUNT(G26:I26)=3,Grunddata!$B$9+F26*Grunddata!$B$10-Grunddata!$E$10,Grunddata!$B$9+F26*Grunddata!$B$10-G26*Grunddata!$E$7-H26*Grunddata!$E$8-I26*Grunddata!$E$9),IF(N26="X",IF(COUNT(G26:I26)=3,0.5*(Grunddata!$B$9+F26*Grunddata!$B$10-Grunddata!$E$10),0.5*(Grunddata!$B$9-G26*Grunddata!$E$7-H26*Grunddata!$E$8-I26*Grunddata!$E$9)+F26*Grunddata!$B$10))))</f>
        <v/>
      </c>
      <c r="P26" s="419" t="str">
        <f>IF(AND(J26="",K26="",L26=""),"",IF(COUNT(J26:L26)=3,Grunddata!$H$9,J26*Grunddata!$H$7+K26*Grunddata!$H$8+L26*Grunddata!$H$8))</f>
        <v/>
      </c>
    </row>
    <row r="27" spans="1:16" ht="19.5" customHeight="1" x14ac:dyDescent="0.3">
      <c r="A27" s="541"/>
      <c r="B27" s="542"/>
      <c r="C27" s="121"/>
      <c r="D27" s="121"/>
      <c r="E27" s="121"/>
      <c r="F27" s="132"/>
      <c r="G27" s="121"/>
      <c r="H27" s="121"/>
      <c r="I27" s="121"/>
      <c r="J27" s="133"/>
      <c r="K27" s="133"/>
      <c r="L27" s="272"/>
      <c r="M27" s="276" t="str">
        <f>IF(C27="","",IF(D27&gt;Grunddata!$B$7,"",IF(OR(E27="",E27&gt;Grunddata!$B$8),"X","")))</f>
        <v/>
      </c>
      <c r="N27" s="125" t="str">
        <f>IF(C27="","",IF(D27&gt;=Grunddata!$B$7,"X",IF(AND('Inrikes traktamente'!E27&lt;&gt;"",E27&lt;=Grunddata!$B$8),"X","")))</f>
        <v/>
      </c>
      <c r="O27" s="137" t="str">
        <f>IF(C27="","",IF(M27="X",IF(COUNT(G27:I27)=3,Grunddata!$B$9+F27*Grunddata!$B$10-Grunddata!$E$10,Grunddata!$B$9+F27*Grunddata!$B$10-G27*Grunddata!$E$7-H27*Grunddata!$E$8-I27*Grunddata!$E$9),IF(N27="X",IF(COUNT(G27:I27)=3,0.5*(Grunddata!$B$9+F27*Grunddata!$B$10-Grunddata!$E$10),0.5*(Grunddata!$B$9-G27*Grunddata!$E$7-H27*Grunddata!$E$8-I27*Grunddata!$E$9)+F27*Grunddata!$B$10))))</f>
        <v/>
      </c>
      <c r="P27" s="419" t="str">
        <f>IF(AND(J27="",K27="",L27=""),"",IF(COUNT(J27:L27)=3,Grunddata!$H$9,J27*Grunddata!$H$7+K27*Grunddata!$H$8+L27*Grunddata!$H$8))</f>
        <v/>
      </c>
    </row>
    <row r="28" spans="1:16" ht="19.5" customHeight="1" x14ac:dyDescent="0.3">
      <c r="A28" s="541"/>
      <c r="B28" s="542"/>
      <c r="C28" s="121"/>
      <c r="D28" s="121"/>
      <c r="E28" s="121"/>
      <c r="F28" s="132"/>
      <c r="G28" s="121"/>
      <c r="H28" s="121"/>
      <c r="I28" s="121"/>
      <c r="J28" s="133"/>
      <c r="K28" s="133"/>
      <c r="L28" s="272"/>
      <c r="M28" s="276" t="str">
        <f>IF(C28="","",IF(D28&gt;Grunddata!$B$7,"",IF(OR(E28="",E28&gt;Grunddata!$B$8),"X","")))</f>
        <v/>
      </c>
      <c r="N28" s="125" t="str">
        <f>IF(C28="","",IF(D28&gt;=Grunddata!$B$7,"X",IF(AND('Inrikes traktamente'!E28&lt;&gt;"",E28&lt;=Grunddata!$B$8),"X","")))</f>
        <v/>
      </c>
      <c r="O28" s="137" t="str">
        <f>IF(C28="","",IF(M28="X",IF(COUNT(G28:I28)=3,Grunddata!$B$9+F28*Grunddata!$B$10-Grunddata!$E$10,Grunddata!$B$9+F28*Grunddata!$B$10-G28*Grunddata!$E$7-H28*Grunddata!$E$8-I28*Grunddata!$E$9),IF(N28="X",IF(COUNT(G28:I28)=3,0.5*(Grunddata!$B$9+F28*Grunddata!$B$10-Grunddata!$E$10),0.5*(Grunddata!$B$9-G28*Grunddata!$E$7-H28*Grunddata!$E$8-I28*Grunddata!$E$9)+F28*Grunddata!$B$10))))</f>
        <v/>
      </c>
      <c r="P28" s="419" t="str">
        <f>IF(AND(J28="",K28="",L28=""),"",IF(COUNT(J28:L28)=3,Grunddata!$H$9,J28*Grunddata!$H$7+K28*Grunddata!$H$8+L28*Grunddata!$H$8))</f>
        <v/>
      </c>
    </row>
    <row r="29" spans="1:16" ht="19.5" customHeight="1" x14ac:dyDescent="0.3">
      <c r="A29" s="541"/>
      <c r="B29" s="542"/>
      <c r="C29" s="121"/>
      <c r="D29" s="121"/>
      <c r="E29" s="121"/>
      <c r="F29" s="132"/>
      <c r="G29" s="121"/>
      <c r="H29" s="121"/>
      <c r="I29" s="121"/>
      <c r="J29" s="133"/>
      <c r="K29" s="133"/>
      <c r="L29" s="272"/>
      <c r="M29" s="276" t="str">
        <f>IF(C29="","",IF(D29&gt;Grunddata!$B$7,"",IF(OR(E29="",E29&gt;Grunddata!$B$8),"X","")))</f>
        <v/>
      </c>
      <c r="N29" s="125" t="str">
        <f>IF(C29="","",IF(D29&gt;=Grunddata!$B$7,"X",IF(AND('Inrikes traktamente'!E29&lt;&gt;"",E29&lt;=Grunddata!$B$8),"X","")))</f>
        <v/>
      </c>
      <c r="O29" s="137" t="str">
        <f>IF(C29="","",IF(M29="X",IF(COUNT(G29:I29)=3,Grunddata!$B$9+F29*Grunddata!$B$10-Grunddata!$E$10,Grunddata!$B$9+F29*Grunddata!$B$10-G29*Grunddata!$E$7-H29*Grunddata!$E$8-I29*Grunddata!$E$9),IF(N29="X",IF(COUNT(G29:I29)=3,0.5*(Grunddata!$B$9+F29*Grunddata!$B$10-Grunddata!$E$10),0.5*(Grunddata!$B$9-G29*Grunddata!$E$7-H29*Grunddata!$E$8-I29*Grunddata!$E$9)+F29*Grunddata!$B$10))))</f>
        <v/>
      </c>
      <c r="P29" s="419" t="str">
        <f>IF(AND(J29="",K29="",L29=""),"",IF(COUNT(J29:L29)=3,Grunddata!$H$9,J29*Grunddata!$H$7+K29*Grunddata!$H$8+L29*Grunddata!$H$8))</f>
        <v/>
      </c>
    </row>
    <row r="30" spans="1:16" ht="19.5" customHeight="1" thickBot="1" x14ac:dyDescent="0.35">
      <c r="A30" s="547"/>
      <c r="B30" s="548"/>
      <c r="C30" s="123"/>
      <c r="D30" s="123"/>
      <c r="E30" s="123"/>
      <c r="F30" s="134"/>
      <c r="G30" s="123"/>
      <c r="H30" s="123"/>
      <c r="I30" s="123"/>
      <c r="J30" s="135"/>
      <c r="K30" s="135"/>
      <c r="L30" s="273"/>
      <c r="M30" s="278" t="str">
        <f>IF(C30="","",IF(D30&gt;Grunddata!$B$7,"",IF(OR(E30="",E30&gt;Grunddata!$B$8),"X","")))</f>
        <v/>
      </c>
      <c r="N30" s="126" t="str">
        <f>IF(C30="","",IF(D30&gt;=Grunddata!$B$7,"X",IF(AND('Inrikes traktamente'!E30&lt;&gt;"",E30&lt;=Grunddata!$B$8),"X","")))</f>
        <v/>
      </c>
      <c r="O30" s="279" t="str">
        <f>IF(C30="","",IF(M30="X",IF(COUNT(G30:I30)=3,Grunddata!$B$9+F30*Grunddata!$B$10-Grunddata!$E$10,Grunddata!$B$9+F30*Grunddata!$B$10-G30*Grunddata!$E$7-H30*Grunddata!$E$8-I30*Grunddata!$E$9),IF(N30="X",IF(COUNT(G30:I30)=3,0.5*(Grunddata!$B$9+F30*Grunddata!$B$10-Grunddata!$E$10),0.5*(Grunddata!$B$9-G30*Grunddata!$E$7-H30*Grunddata!$E$8-I30*Grunddata!$E$9)+F30*Grunddata!$B$10))))</f>
        <v/>
      </c>
      <c r="P30" s="420" t="str">
        <f>IF(AND(J30="",K30="",L30=""),"",IF(COUNT(J30:L30)=3,Grunddata!$H$9,J30*Grunddata!$H$7+K30*Grunddata!$H$8+L30*Grunddata!$H$8))</f>
        <v/>
      </c>
    </row>
    <row r="31" spans="1:16" x14ac:dyDescent="0.25">
      <c r="O31" s="141">
        <f>SUM(O9:O30)</f>
        <v>0</v>
      </c>
      <c r="P31" s="421">
        <f>SUM(P9:P30)</f>
        <v>0</v>
      </c>
    </row>
  </sheetData>
  <sheetProtection sheet="1" objects="1" scenarios="1"/>
  <mergeCells count="35">
    <mergeCell ref="B2:D2"/>
    <mergeCell ref="B3:D3"/>
    <mergeCell ref="C4:D4"/>
    <mergeCell ref="A9:B9"/>
    <mergeCell ref="A10:B10"/>
    <mergeCell ref="A11:B11"/>
    <mergeCell ref="N7:N8"/>
    <mergeCell ref="A7:B8"/>
    <mergeCell ref="D7:D8"/>
    <mergeCell ref="E7:E8"/>
    <mergeCell ref="C7:C8"/>
    <mergeCell ref="A22:B22"/>
    <mergeCell ref="A23:B23"/>
    <mergeCell ref="A12:B12"/>
    <mergeCell ref="A13:B13"/>
    <mergeCell ref="A14:B14"/>
    <mergeCell ref="A15:B15"/>
    <mergeCell ref="A16:B16"/>
    <mergeCell ref="A17:B17"/>
    <mergeCell ref="A30:B30"/>
    <mergeCell ref="M7:M8"/>
    <mergeCell ref="O7:P7"/>
    <mergeCell ref="F7:F8"/>
    <mergeCell ref="J7:L7"/>
    <mergeCell ref="G7:I7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</mergeCells>
  <pageMargins left="0.7" right="0.7" top="0.75" bottom="0.75" header="0.3" footer="0.3"/>
  <pageSetup paperSize="9" scale="53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B0C6-0696-42D7-B16E-3AB2053C2D30}">
  <sheetPr codeName="Blad6">
    <pageSetUpPr fitToPage="1"/>
  </sheetPr>
  <dimension ref="A1:S31"/>
  <sheetViews>
    <sheetView workbookViewId="0">
      <pane ySplit="8" topLeftCell="A9" activePane="bottomLeft" state="frozen"/>
      <selection pane="bottomLeft" activeCell="C9" sqref="C9"/>
    </sheetView>
  </sheetViews>
  <sheetFormatPr defaultColWidth="9.109375" defaultRowHeight="13.2" x14ac:dyDescent="0.25"/>
  <cols>
    <col min="1" max="1" width="15.6640625" style="4" customWidth="1"/>
    <col min="2" max="2" width="11.6640625" style="4" customWidth="1"/>
    <col min="3" max="5" width="10.5546875" style="4" customWidth="1"/>
    <col min="6" max="6" width="12.88671875" style="4" customWidth="1"/>
    <col min="7" max="12" width="10.5546875" style="4" customWidth="1"/>
    <col min="13" max="13" width="21.44140625" style="4" customWidth="1"/>
    <col min="14" max="14" width="5.6640625" style="4" customWidth="1"/>
    <col min="15" max="15" width="5.44140625" style="4" customWidth="1"/>
    <col min="16" max="16" width="11.33203125" style="4" customWidth="1"/>
    <col min="17" max="17" width="9.109375" style="4"/>
    <col min="20" max="16384" width="9.109375" style="4"/>
  </cols>
  <sheetData>
    <row r="1" spans="1:17" ht="18" x14ac:dyDescent="0.35">
      <c r="A1" s="17" t="s">
        <v>0</v>
      </c>
      <c r="F1" s="589" t="s">
        <v>93</v>
      </c>
      <c r="G1" s="591"/>
      <c r="H1" s="589" t="s">
        <v>94</v>
      </c>
      <c r="I1" s="590"/>
    </row>
    <row r="2" spans="1:17" ht="14.4" x14ac:dyDescent="0.3">
      <c r="A2" s="291" t="s">
        <v>7</v>
      </c>
      <c r="B2" s="529">
        <f>Tidrapport!C2</f>
        <v>0</v>
      </c>
      <c r="C2" s="530"/>
      <c r="D2" s="530"/>
      <c r="F2" s="319" t="s">
        <v>95</v>
      </c>
      <c r="G2" s="317">
        <v>615</v>
      </c>
      <c r="H2" s="323" t="s">
        <v>88</v>
      </c>
      <c r="I2" s="324">
        <v>0.15</v>
      </c>
    </row>
    <row r="3" spans="1:17" ht="14.4" x14ac:dyDescent="0.3">
      <c r="A3" s="291" t="s">
        <v>11</v>
      </c>
      <c r="B3" s="530" t="str">
        <f>Tidrapport!C3</f>
        <v/>
      </c>
      <c r="C3" s="530"/>
      <c r="D3" s="530"/>
      <c r="F3" s="320"/>
      <c r="G3" s="318"/>
      <c r="H3" s="323" t="s">
        <v>31</v>
      </c>
      <c r="I3" s="324">
        <v>0.35</v>
      </c>
    </row>
    <row r="4" spans="1:17" ht="14.4" x14ac:dyDescent="0.3">
      <c r="A4" s="291" t="s">
        <v>14</v>
      </c>
      <c r="B4" s="314">
        <f>Tidrapport!C4</f>
        <v>42870</v>
      </c>
      <c r="C4" s="543">
        <f>Tidrapport!E4</f>
        <v>42900</v>
      </c>
      <c r="D4" s="544"/>
      <c r="F4" s="320"/>
      <c r="G4" s="318"/>
      <c r="H4" s="323" t="s">
        <v>89</v>
      </c>
      <c r="I4" s="324">
        <v>0.35</v>
      </c>
    </row>
    <row r="5" spans="1:17" ht="12.75" customHeight="1" x14ac:dyDescent="0.25">
      <c r="F5" s="321"/>
      <c r="G5" s="322"/>
      <c r="H5" s="289"/>
      <c r="I5" s="290"/>
    </row>
    <row r="6" spans="1:17" ht="18.600000000000001" thickBot="1" x14ac:dyDescent="0.4">
      <c r="A6" s="107" t="s">
        <v>96</v>
      </c>
      <c r="C6" s="20"/>
      <c r="D6" s="20"/>
      <c r="E6" s="20"/>
      <c r="H6" s="21"/>
      <c r="I6" s="20"/>
      <c r="J6" s="22"/>
      <c r="K6" s="22"/>
      <c r="L6" s="22"/>
      <c r="M6" s="22"/>
      <c r="N6" s="20"/>
      <c r="O6" s="20"/>
    </row>
    <row r="7" spans="1:17" ht="19.5" customHeight="1" x14ac:dyDescent="0.25">
      <c r="A7" s="562" t="s">
        <v>67</v>
      </c>
      <c r="B7" s="583"/>
      <c r="C7" s="108"/>
      <c r="D7" s="552" t="s">
        <v>81</v>
      </c>
      <c r="E7" s="585" t="s">
        <v>82</v>
      </c>
      <c r="F7" s="570" t="s">
        <v>83</v>
      </c>
      <c r="G7" s="574" t="s">
        <v>84</v>
      </c>
      <c r="H7" s="575"/>
      <c r="I7" s="576"/>
      <c r="J7" s="572" t="s">
        <v>85</v>
      </c>
      <c r="K7" s="573"/>
      <c r="L7" s="592"/>
      <c r="M7" s="330"/>
      <c r="N7" s="566" t="s">
        <v>86</v>
      </c>
      <c r="O7" s="581" t="s">
        <v>87</v>
      </c>
      <c r="P7" s="568" t="s">
        <v>64</v>
      </c>
      <c r="Q7" s="569"/>
    </row>
    <row r="8" spans="1:17" ht="22.2" customHeight="1" thickBot="1" x14ac:dyDescent="0.3">
      <c r="A8" s="564"/>
      <c r="B8" s="584"/>
      <c r="C8" s="109" t="s">
        <v>27</v>
      </c>
      <c r="D8" s="553"/>
      <c r="E8" s="586"/>
      <c r="F8" s="571"/>
      <c r="G8" s="316" t="s">
        <v>88</v>
      </c>
      <c r="H8" s="27" t="s">
        <v>31</v>
      </c>
      <c r="I8" s="28" t="s">
        <v>89</v>
      </c>
      <c r="J8" s="29" t="s">
        <v>88</v>
      </c>
      <c r="K8" s="30" t="s">
        <v>90</v>
      </c>
      <c r="L8" s="31" t="s">
        <v>89</v>
      </c>
      <c r="M8" s="281" t="s">
        <v>97</v>
      </c>
      <c r="N8" s="567"/>
      <c r="O8" s="582"/>
      <c r="P8" s="335" t="s">
        <v>91</v>
      </c>
      <c r="Q8" s="138" t="s">
        <v>92</v>
      </c>
    </row>
    <row r="9" spans="1:17" ht="19.5" customHeight="1" x14ac:dyDescent="0.3">
      <c r="A9" s="587"/>
      <c r="B9" s="588"/>
      <c r="C9" s="115"/>
      <c r="D9" s="116"/>
      <c r="E9" s="117"/>
      <c r="F9" s="114"/>
      <c r="G9" s="127"/>
      <c r="H9" s="127"/>
      <c r="I9" s="127"/>
      <c r="J9" s="128"/>
      <c r="K9" s="128"/>
      <c r="L9" s="128"/>
      <c r="M9" s="331"/>
      <c r="N9" s="274" t="str">
        <f>IF(C9="","",IF(D9&gt;Grunddata!$B$7,"",IF(OR(E9="",E9&gt;=Grunddata!$B$8),"X","")))</f>
        <v/>
      </c>
      <c r="O9" s="124" t="str">
        <f>IF(C9="","",IF(D9&gt;Grunddata!$B$7,"X",IF(AND('Utrikes traktamente'!E9&lt;&gt;"",E9&lt;Grunddata!$B$8),"X","")))</f>
        <v/>
      </c>
      <c r="P9" s="136" t="str">
        <f>IF(OR(C9="",COUNTIF($F$2:$F$5,M9)=0),"",IF(N9="X",VLOOKUP(M9,$F$2:$G$5,2,FALSE)+F9*VLOOKUP(M9,$F$2:$G$5,2,FALSE)/2-G9*VLOOKUP(M9,$F$2:$G$5,2,FALSE)*15%-H9*VLOOKUP(M9,$F$2:$G$5,2,FALSE)*35%-I9*VLOOKUP(M9,$F$2:$G$5,2,FALSE)*35%,IF(O9="X",F9*VLOOKUP(M9,$F$2:$G$5,2,FALSE)/2+50%*(VLOOKUP(M9,$F$2:$G$5,2,FALSE)+F9*VLOOKUP(M9,$F$2:$G$5,2,FALSE)/2-G9*VLOOKUP(M9,$F$2:$G$5,2,FALSE)*15%-H9*VLOOKUP(M9,$F$2:$G$5,2,FALSE)*35%-I9*VLOOKUP(M9,$F$2:$G$5,2,FALSE)*35%))))</f>
        <v/>
      </c>
      <c r="Q9" s="275" t="str">
        <f>IF(C9="","",IF(COUNT(J9:L9)=0,"",IF(COUNT(J9:L9)=3,Grunddata!$H$9,J9*Grunddata!$H$7+K9*Grunddata!$H$8+L9*Grunddata!$H$8)))</f>
        <v/>
      </c>
    </row>
    <row r="10" spans="1:17" ht="19.5" customHeight="1" x14ac:dyDescent="0.3">
      <c r="A10" s="577"/>
      <c r="B10" s="578"/>
      <c r="C10" s="115"/>
      <c r="D10" s="119"/>
      <c r="E10" s="120"/>
      <c r="F10" s="129"/>
      <c r="G10" s="130"/>
      <c r="H10" s="130"/>
      <c r="I10" s="130"/>
      <c r="J10" s="131"/>
      <c r="K10" s="131"/>
      <c r="L10" s="131"/>
      <c r="M10" s="331"/>
      <c r="N10" s="276" t="str">
        <f>IF(C10="","",IF(D10&gt;Grunddata!$B$7,"",IF(OR(E10="",E10&gt;Grunddata!$B$8),"X","")))</f>
        <v/>
      </c>
      <c r="O10" s="125" t="str">
        <f>IF(C10="","",IF(D10&gt;=Grunddata!$B$7,"X",IF(AND('Utrikes traktamente'!E10&lt;&gt;"",E10&lt;=Grunddata!$B$8),"X","")))</f>
        <v/>
      </c>
      <c r="P10" s="136" t="str">
        <f t="shared" ref="P10:P30" si="0">IF(OR(C10="",COUNTIF($F$2:$F$5,M10)=0),"",IF(N10="X",VLOOKUP(M10,$F$2:$G$5,2,FALSE)+F10*VLOOKUP(M10,$F$2:$G$5,2,FALSE)/2-G10*VLOOKUP(M10,$F$2:$G$5,2,FALSE)*15%-H10*VLOOKUP(M10,$F$2:$G$5,2,FALSE)*35%-I10*VLOOKUP(M10,$F$2:$G$5,2,FALSE)*35%,IF(O10="X",F10*VLOOKUP(M10,$F$2:$G$5,2,FALSE)/2+50%*(VLOOKUP(M10,$F$2:$G$5,2,FALSE)+F10*VLOOKUP(M10,$F$2:$G$5,2,FALSE)/2-G10*VLOOKUP(M10,$F$2:$G$5,2,FALSE)*15%-H10*VLOOKUP(M10,$F$2:$G$5,2,FALSE)*35%-I10*VLOOKUP(M10,$F$2:$G$5,2,FALSE)*35%))))</f>
        <v/>
      </c>
      <c r="Q10" s="277" t="str">
        <f>IF(C10="","",IF(COUNT(J10:L10)=0,"",IF(COUNT(J10:L10)=3,Grunddata!$H$9,J10*Grunddata!$H$7+K10*Grunddata!$H$8+L10*Grunddata!$H$8)))</f>
        <v/>
      </c>
    </row>
    <row r="11" spans="1:17" ht="19.5" customHeight="1" x14ac:dyDescent="0.3">
      <c r="A11" s="577"/>
      <c r="B11" s="578"/>
      <c r="C11" s="115"/>
      <c r="D11" s="119"/>
      <c r="E11" s="120"/>
      <c r="F11" s="129"/>
      <c r="G11" s="130"/>
      <c r="H11" s="130"/>
      <c r="I11" s="130"/>
      <c r="J11" s="131"/>
      <c r="K11" s="131"/>
      <c r="L11" s="131"/>
      <c r="M11" s="331"/>
      <c r="N11" s="276" t="str">
        <f>IF(C11="","",IF(D11&gt;Grunddata!$B$7,"",IF(OR(E11="",E11&gt;Grunddata!$B$8),"X","")))</f>
        <v/>
      </c>
      <c r="O11" s="125" t="str">
        <f>IF(C11="","",IF(D11&gt;=Grunddata!$B$7,"X",IF(AND('Utrikes traktamente'!E11&lt;&gt;"",E11&lt;=Grunddata!$B$8),"X","")))</f>
        <v/>
      </c>
      <c r="P11" s="136" t="str">
        <f t="shared" si="0"/>
        <v/>
      </c>
      <c r="Q11" s="277" t="str">
        <f>IF(C11="","",IF(COUNT(J11:L11)=0,"",IF(COUNT(J11:L11)=3,Grunddata!$H$9,J11*Grunddata!$H$7+K11*Grunddata!$H$8+L11*Grunddata!$H$8)))</f>
        <v/>
      </c>
    </row>
    <row r="12" spans="1:17" ht="19.5" customHeight="1" x14ac:dyDescent="0.3">
      <c r="A12" s="577"/>
      <c r="B12" s="578"/>
      <c r="C12" s="115"/>
      <c r="D12" s="119"/>
      <c r="E12" s="120"/>
      <c r="F12" s="129"/>
      <c r="G12" s="130"/>
      <c r="H12" s="130"/>
      <c r="I12" s="130"/>
      <c r="J12" s="131"/>
      <c r="K12" s="131"/>
      <c r="L12" s="131"/>
      <c r="M12" s="331"/>
      <c r="N12" s="276" t="str">
        <f>IF(C12="","",IF(D12&gt;Grunddata!$B$7,"",IF(OR(E12="",E12&gt;Grunddata!$B$8),"X","")))</f>
        <v/>
      </c>
      <c r="O12" s="125" t="str">
        <f>IF(C12="","",IF(D12&gt;=Grunddata!$B$7,"X",IF(AND('Utrikes traktamente'!E12&lt;&gt;"",E12&lt;=Grunddata!$B$8),"X","")))</f>
        <v/>
      </c>
      <c r="P12" s="136" t="str">
        <f t="shared" si="0"/>
        <v/>
      </c>
      <c r="Q12" s="277" t="str">
        <f>IF(C12="","",IF(COUNT(J12:L12)=0,"",IF(COUNT(J12:L12)=3,Grunddata!$H$9,J12*Grunddata!$H$7+K12*Grunddata!$H$8+L12*Grunddata!$H$8)))</f>
        <v/>
      </c>
    </row>
    <row r="13" spans="1:17" ht="19.5" customHeight="1" x14ac:dyDescent="0.3">
      <c r="A13" s="577"/>
      <c r="B13" s="578"/>
      <c r="C13" s="118"/>
      <c r="D13" s="119"/>
      <c r="E13" s="120"/>
      <c r="F13" s="129"/>
      <c r="G13" s="130"/>
      <c r="H13" s="130"/>
      <c r="I13" s="130"/>
      <c r="J13" s="131"/>
      <c r="K13" s="131"/>
      <c r="L13" s="131"/>
      <c r="M13" s="332"/>
      <c r="N13" s="276" t="str">
        <f>IF(C13="","",IF(D13&gt;Grunddata!$B$7,"",IF(OR(E13="",E13&gt;Grunddata!$B$8),"X","")))</f>
        <v/>
      </c>
      <c r="O13" s="125" t="str">
        <f>IF(C13="","",IF(D13&gt;=Grunddata!$B$7,"X",IF(AND('Utrikes traktamente'!E13&lt;&gt;"",E13&lt;=Grunddata!$B$8),"X","")))</f>
        <v/>
      </c>
      <c r="P13" s="136" t="str">
        <f t="shared" si="0"/>
        <v/>
      </c>
      <c r="Q13" s="277" t="str">
        <f>IF(C13="","",IF(COUNT(J13:L13)=0,"",IF(COUNT(J13:L13)=3,Grunddata!$H$9,J13*Grunddata!$H$7+K13*Grunddata!$H$8+L13*Grunddata!$H$8)))</f>
        <v/>
      </c>
    </row>
    <row r="14" spans="1:17" ht="19.5" customHeight="1" x14ac:dyDescent="0.3">
      <c r="A14" s="577"/>
      <c r="B14" s="578"/>
      <c r="C14" s="118"/>
      <c r="D14" s="119"/>
      <c r="E14" s="120"/>
      <c r="F14" s="129"/>
      <c r="G14" s="130"/>
      <c r="H14" s="130"/>
      <c r="I14" s="130"/>
      <c r="J14" s="131"/>
      <c r="K14" s="131"/>
      <c r="L14" s="131"/>
      <c r="M14" s="332"/>
      <c r="N14" s="276" t="str">
        <f>IF(C14="","",IF(D14&gt;Grunddata!$B$7,"",IF(OR(E14="",E14&gt;Grunddata!$B$8),"X","")))</f>
        <v/>
      </c>
      <c r="O14" s="125" t="str">
        <f>IF(C14="","",IF(D14&gt;=Grunddata!$B$7,"X",IF(AND('Utrikes traktamente'!E14&lt;&gt;"",E14&lt;=Grunddata!$B$8),"X","")))</f>
        <v/>
      </c>
      <c r="P14" s="136" t="str">
        <f t="shared" si="0"/>
        <v/>
      </c>
      <c r="Q14" s="277" t="str">
        <f>IF(C14="","",IF(COUNT(J14:L14)=0,"",IF(COUNT(J14:L14)=3,Grunddata!$H$9,J14*Grunddata!$H$7+K14*Grunddata!$H$8+L14*Grunddata!$H$8)))</f>
        <v/>
      </c>
    </row>
    <row r="15" spans="1:17" ht="19.5" customHeight="1" x14ac:dyDescent="0.3">
      <c r="A15" s="579"/>
      <c r="B15" s="580"/>
      <c r="C15" s="118"/>
      <c r="D15" s="119"/>
      <c r="E15" s="120"/>
      <c r="F15" s="129"/>
      <c r="G15" s="130"/>
      <c r="H15" s="122"/>
      <c r="I15" s="130"/>
      <c r="J15" s="131"/>
      <c r="K15" s="131"/>
      <c r="L15" s="131"/>
      <c r="M15" s="332"/>
      <c r="N15" s="276" t="str">
        <f>IF(C15="","",IF(D15&gt;Grunddata!$B$7,"",IF(OR(E15="",E15&gt;Grunddata!$B$8),"X","")))</f>
        <v/>
      </c>
      <c r="O15" s="125" t="str">
        <f>IF(C15="","",IF(D15&gt;=Grunddata!$B$7,"X",IF(AND('Utrikes traktamente'!E15&lt;&gt;"",E15&lt;=Grunddata!$B$8),"X","")))</f>
        <v/>
      </c>
      <c r="P15" s="136" t="str">
        <f t="shared" si="0"/>
        <v/>
      </c>
      <c r="Q15" s="277" t="str">
        <f>IF(C15="","",IF(COUNT(J15:L15)=0,"",IF(COUNT(J15:L15)=3,Grunddata!$H$9,J15*Grunddata!$H$7+K15*Grunddata!$H$8+L15*Grunddata!$H$8)))</f>
        <v/>
      </c>
    </row>
    <row r="16" spans="1:17" ht="19.5" customHeight="1" x14ac:dyDescent="0.3">
      <c r="A16" s="558"/>
      <c r="B16" s="559"/>
      <c r="C16" s="121"/>
      <c r="D16" s="122"/>
      <c r="E16" s="120"/>
      <c r="F16" s="129"/>
      <c r="G16" s="130"/>
      <c r="H16" s="122"/>
      <c r="I16" s="130"/>
      <c r="J16" s="131"/>
      <c r="K16" s="131"/>
      <c r="L16" s="131"/>
      <c r="M16" s="332"/>
      <c r="N16" s="276" t="str">
        <f>IF(C16="","",IF(D16&gt;Grunddata!$B$7,"",IF(OR(E16="",E16&gt;Grunddata!$B$8),"X","")))</f>
        <v/>
      </c>
      <c r="O16" s="125" t="str">
        <f>IF(C16="","",IF(D16&gt;=Grunddata!$B$7,"X",IF(AND('Utrikes traktamente'!E16&lt;&gt;"",E16&lt;=Grunddata!$B$8),"X","")))</f>
        <v/>
      </c>
      <c r="P16" s="136" t="str">
        <f t="shared" si="0"/>
        <v/>
      </c>
      <c r="Q16" s="277" t="str">
        <f>IF(C16="","",IF(COUNT(J16:L16)=0,"",IF(COUNT(J16:L16)=3,Grunddata!$H$9,J16*Grunddata!$H$7+K16*Grunddata!$H$8+L16*Grunddata!$H$8)))</f>
        <v/>
      </c>
    </row>
    <row r="17" spans="1:17" ht="19.5" customHeight="1" x14ac:dyDescent="0.3">
      <c r="A17" s="541"/>
      <c r="B17" s="542"/>
      <c r="C17" s="121"/>
      <c r="D17" s="121"/>
      <c r="E17" s="121"/>
      <c r="F17" s="132"/>
      <c r="G17" s="121"/>
      <c r="H17" s="121"/>
      <c r="I17" s="121"/>
      <c r="J17" s="133"/>
      <c r="K17" s="133"/>
      <c r="L17" s="133"/>
      <c r="M17" s="333"/>
      <c r="N17" s="276" t="str">
        <f>IF(C17="","",IF(D17&gt;Grunddata!$B$7,"",IF(OR(E17="",E17&gt;Grunddata!$B$8),"X","")))</f>
        <v/>
      </c>
      <c r="O17" s="125" t="str">
        <f>IF(C17="","",IF(D17&gt;=Grunddata!$B$7,"X",IF(AND('Utrikes traktamente'!E17&lt;&gt;"",E17&lt;=Grunddata!$B$8),"X","")))</f>
        <v/>
      </c>
      <c r="P17" s="136" t="str">
        <f t="shared" si="0"/>
        <v/>
      </c>
      <c r="Q17" s="277" t="str">
        <f>IF(C17="","",IF(COUNT(J17:L17)=0,"",IF(COUNT(J17:L17)=3,Grunddata!$H$9,J17*Grunddata!$H$7+K17*Grunddata!$H$8+L17*Grunddata!$H$8)))</f>
        <v/>
      </c>
    </row>
    <row r="18" spans="1:17" ht="19.5" customHeight="1" x14ac:dyDescent="0.3">
      <c r="A18" s="541"/>
      <c r="B18" s="542"/>
      <c r="C18" s="121"/>
      <c r="D18" s="121"/>
      <c r="E18" s="121"/>
      <c r="F18" s="132"/>
      <c r="G18" s="121"/>
      <c r="H18" s="121"/>
      <c r="I18" s="121"/>
      <c r="J18" s="133"/>
      <c r="K18" s="133"/>
      <c r="L18" s="133"/>
      <c r="M18" s="333"/>
      <c r="N18" s="276" t="str">
        <f>IF(C18="","",IF(D18&gt;Grunddata!$B$7,"",IF(OR(E18="",E18&gt;Grunddata!$B$8),"X","")))</f>
        <v/>
      </c>
      <c r="O18" s="125" t="str">
        <f>IF(C18="","",IF(D18&gt;=Grunddata!$B$7,"X",IF(AND('Utrikes traktamente'!E18&lt;&gt;"",E18&lt;=Grunddata!$B$8),"X","")))</f>
        <v/>
      </c>
      <c r="P18" s="136" t="str">
        <f t="shared" si="0"/>
        <v/>
      </c>
      <c r="Q18" s="277" t="str">
        <f>IF(C18="","",IF(COUNT(J18:L18)=0,"",IF(COUNT(J18:L18)=3,Grunddata!$H$9,J18*Grunddata!$H$7+K18*Grunddata!$H$8+L18*Grunddata!$H$8)))</f>
        <v/>
      </c>
    </row>
    <row r="19" spans="1:17" ht="19.5" customHeight="1" x14ac:dyDescent="0.3">
      <c r="A19" s="541"/>
      <c r="B19" s="542"/>
      <c r="C19" s="121"/>
      <c r="D19" s="121"/>
      <c r="E19" s="121"/>
      <c r="F19" s="132"/>
      <c r="G19" s="121"/>
      <c r="H19" s="121"/>
      <c r="I19" s="121"/>
      <c r="J19" s="133"/>
      <c r="K19" s="133"/>
      <c r="L19" s="133"/>
      <c r="M19" s="333"/>
      <c r="N19" s="276" t="str">
        <f>IF(C19="","",IF(D19&gt;Grunddata!$B$7,"",IF(OR(E19="",E19&gt;Grunddata!$B$8),"X","")))</f>
        <v/>
      </c>
      <c r="O19" s="125" t="str">
        <f>IF(C19="","",IF(D19&gt;=Grunddata!$B$7,"X",IF(AND('Utrikes traktamente'!E19&lt;&gt;"",E19&lt;=Grunddata!$B$8),"X","")))</f>
        <v/>
      </c>
      <c r="P19" s="136" t="str">
        <f t="shared" si="0"/>
        <v/>
      </c>
      <c r="Q19" s="277" t="str">
        <f>IF(C19="","",IF(COUNT(J19:L19)=0,"",IF(COUNT(J19:L19)=3,Grunddata!$H$9,J19*Grunddata!$H$7+K19*Grunddata!$H$8+L19*Grunddata!$H$8)))</f>
        <v/>
      </c>
    </row>
    <row r="20" spans="1:17" ht="19.5" customHeight="1" x14ac:dyDescent="0.3">
      <c r="A20" s="541"/>
      <c r="B20" s="542"/>
      <c r="C20" s="121"/>
      <c r="D20" s="121"/>
      <c r="E20" s="121"/>
      <c r="F20" s="132"/>
      <c r="G20" s="121"/>
      <c r="H20" s="121"/>
      <c r="I20" s="121"/>
      <c r="J20" s="133"/>
      <c r="K20" s="133"/>
      <c r="L20" s="133"/>
      <c r="M20" s="333"/>
      <c r="N20" s="276" t="str">
        <f>IF(C20="","",IF(D20&gt;Grunddata!$B$7,"",IF(OR(E20="",E20&gt;Grunddata!$B$8),"X","")))</f>
        <v/>
      </c>
      <c r="O20" s="125" t="str">
        <f>IF(C20="","",IF(D20&gt;=Grunddata!$B$7,"X",IF(AND('Utrikes traktamente'!E20&lt;&gt;"",E20&lt;=Grunddata!$B$8),"X","")))</f>
        <v/>
      </c>
      <c r="P20" s="136" t="str">
        <f t="shared" si="0"/>
        <v/>
      </c>
      <c r="Q20" s="277" t="str">
        <f>IF(C20="","",IF(COUNT(J20:L20)=0,"",IF(COUNT(J20:L20)=3,Grunddata!$H$9,J20*Grunddata!$H$7+K20*Grunddata!$H$8+L20*Grunddata!$H$8)))</f>
        <v/>
      </c>
    </row>
    <row r="21" spans="1:17" ht="19.5" customHeight="1" x14ac:dyDescent="0.3">
      <c r="A21" s="541"/>
      <c r="B21" s="542"/>
      <c r="C21" s="121"/>
      <c r="D21" s="121"/>
      <c r="E21" s="121"/>
      <c r="F21" s="132"/>
      <c r="G21" s="121"/>
      <c r="H21" s="121"/>
      <c r="I21" s="121"/>
      <c r="J21" s="133"/>
      <c r="K21" s="133"/>
      <c r="L21" s="133"/>
      <c r="M21" s="333"/>
      <c r="N21" s="276" t="str">
        <f>IF(C21="","",IF(D21&gt;Grunddata!$B$7,"",IF(OR(E21="",E21&gt;Grunddata!$B$8),"X","")))</f>
        <v/>
      </c>
      <c r="O21" s="125" t="str">
        <f>IF(C21="","",IF(D21&gt;=Grunddata!$B$7,"X",IF(AND('Utrikes traktamente'!E21&lt;&gt;"",E21&lt;=Grunddata!$B$8),"X","")))</f>
        <v/>
      </c>
      <c r="P21" s="136" t="str">
        <f t="shared" si="0"/>
        <v/>
      </c>
      <c r="Q21" s="277" t="str">
        <f>IF(C21="","",IF(COUNT(J21:L21)=0,"",IF(COUNT(J21:L21)=3,Grunddata!$H$9,J21*Grunddata!$H$7+K21*Grunddata!$H$8+L21*Grunddata!$H$8)))</f>
        <v/>
      </c>
    </row>
    <row r="22" spans="1:17" ht="19.5" customHeight="1" x14ac:dyDescent="0.3">
      <c r="A22" s="541"/>
      <c r="B22" s="542"/>
      <c r="C22" s="121"/>
      <c r="D22" s="121"/>
      <c r="E22" s="121"/>
      <c r="F22" s="132"/>
      <c r="G22" s="121"/>
      <c r="H22" s="121"/>
      <c r="I22" s="121"/>
      <c r="J22" s="133"/>
      <c r="K22" s="133"/>
      <c r="L22" s="133"/>
      <c r="M22" s="333"/>
      <c r="N22" s="276" t="str">
        <f>IF(C22="","",IF(D22&gt;Grunddata!$B$7,"",IF(OR(E22="",E22&gt;Grunddata!$B$8),"X","")))</f>
        <v/>
      </c>
      <c r="O22" s="125" t="str">
        <f>IF(C22="","",IF(D22&gt;=Grunddata!$B$7,"X",IF(AND('Utrikes traktamente'!E22&lt;&gt;"",E22&lt;=Grunddata!$B$8),"X","")))</f>
        <v/>
      </c>
      <c r="P22" s="136" t="str">
        <f t="shared" si="0"/>
        <v/>
      </c>
      <c r="Q22" s="277" t="str">
        <f>IF(C22="","",IF(COUNT(J22:L22)=0,"",IF(COUNT(J22:L22)=3,Grunddata!$H$9,J22*Grunddata!$H$7+K22*Grunddata!$H$8+L22*Grunddata!$H$8)))</f>
        <v/>
      </c>
    </row>
    <row r="23" spans="1:17" ht="19.5" customHeight="1" x14ac:dyDescent="0.3">
      <c r="A23" s="541"/>
      <c r="B23" s="542"/>
      <c r="C23" s="121"/>
      <c r="D23" s="121"/>
      <c r="E23" s="121"/>
      <c r="F23" s="132"/>
      <c r="G23" s="121"/>
      <c r="H23" s="121"/>
      <c r="I23" s="121"/>
      <c r="J23" s="133"/>
      <c r="K23" s="133"/>
      <c r="L23" s="133"/>
      <c r="M23" s="333"/>
      <c r="N23" s="276" t="str">
        <f>IF(C23="","",IF(D23&gt;Grunddata!$B$7,"",IF(OR(E23="",E23&gt;Grunddata!$B$8),"X","")))</f>
        <v/>
      </c>
      <c r="O23" s="125" t="str">
        <f>IF(C23="","",IF(D23&gt;=Grunddata!$B$7,"X",IF(AND('Utrikes traktamente'!E23&lt;&gt;"",E23&lt;=Grunddata!$B$8),"X","")))</f>
        <v/>
      </c>
      <c r="P23" s="136" t="str">
        <f t="shared" si="0"/>
        <v/>
      </c>
      <c r="Q23" s="277" t="str">
        <f>IF(C23="","",IF(COUNT(J23:L23)=0,"",IF(COUNT(J23:L23)=3,Grunddata!$H$9,J23*Grunddata!$H$7+K23*Grunddata!$H$8+L23*Grunddata!$H$8)))</f>
        <v/>
      </c>
    </row>
    <row r="24" spans="1:17" ht="19.5" customHeight="1" x14ac:dyDescent="0.3">
      <c r="A24" s="541"/>
      <c r="B24" s="542"/>
      <c r="C24" s="121"/>
      <c r="D24" s="121"/>
      <c r="E24" s="121"/>
      <c r="F24" s="132"/>
      <c r="G24" s="121"/>
      <c r="H24" s="121"/>
      <c r="I24" s="121"/>
      <c r="J24" s="133"/>
      <c r="K24" s="133"/>
      <c r="L24" s="133"/>
      <c r="M24" s="333"/>
      <c r="N24" s="276" t="str">
        <f>IF(C24="","",IF(D24&gt;Grunddata!$B$7,"",IF(OR(E24="",E24&gt;Grunddata!$B$8),"X","")))</f>
        <v/>
      </c>
      <c r="O24" s="125" t="str">
        <f>IF(C24="","",IF(D24&gt;=Grunddata!$B$7,"X",IF(AND('Utrikes traktamente'!E24&lt;&gt;"",E24&lt;=Grunddata!$B$8),"X","")))</f>
        <v/>
      </c>
      <c r="P24" s="136" t="str">
        <f t="shared" si="0"/>
        <v/>
      </c>
      <c r="Q24" s="277" t="str">
        <f>IF(C24="","",IF(COUNT(J24:L24)=0,"",IF(COUNT(J24:L24)=3,Grunddata!$H$9,J24*Grunddata!$H$7+K24*Grunddata!$H$8+L24*Grunddata!$H$8)))</f>
        <v/>
      </c>
    </row>
    <row r="25" spans="1:17" ht="19.5" customHeight="1" x14ac:dyDescent="0.3">
      <c r="A25" s="541"/>
      <c r="B25" s="542"/>
      <c r="C25" s="121"/>
      <c r="D25" s="121"/>
      <c r="E25" s="121"/>
      <c r="F25" s="132"/>
      <c r="G25" s="121"/>
      <c r="H25" s="121"/>
      <c r="I25" s="121"/>
      <c r="J25" s="133"/>
      <c r="K25" s="133"/>
      <c r="L25" s="133"/>
      <c r="M25" s="333"/>
      <c r="N25" s="276" t="str">
        <f>IF(C25="","",IF(D25&gt;Grunddata!$B$7,"",IF(OR(E25="",E25&gt;Grunddata!$B$8),"X","")))</f>
        <v/>
      </c>
      <c r="O25" s="125" t="str">
        <f>IF(C25="","",IF(D25&gt;=Grunddata!$B$7,"X",IF(AND('Utrikes traktamente'!E25&lt;&gt;"",E25&lt;=Grunddata!$B$8),"X","")))</f>
        <v/>
      </c>
      <c r="P25" s="136" t="str">
        <f t="shared" si="0"/>
        <v/>
      </c>
      <c r="Q25" s="277" t="str">
        <f>IF(C25="","",IF(COUNT(J25:L25)=0,"",IF(COUNT(J25:L25)=3,Grunddata!$H$9,J25*Grunddata!$H$7+K25*Grunddata!$H$8+L25*Grunddata!$H$8)))</f>
        <v/>
      </c>
    </row>
    <row r="26" spans="1:17" ht="19.5" customHeight="1" x14ac:dyDescent="0.3">
      <c r="A26" s="541"/>
      <c r="B26" s="542"/>
      <c r="C26" s="329"/>
      <c r="D26" s="121"/>
      <c r="E26" s="121"/>
      <c r="F26" s="132"/>
      <c r="G26" s="121"/>
      <c r="H26" s="121"/>
      <c r="I26" s="121"/>
      <c r="J26" s="133"/>
      <c r="K26" s="133"/>
      <c r="L26" s="133"/>
      <c r="M26" s="333"/>
      <c r="N26" s="276" t="str">
        <f>IF(C26="","",IF(D26&gt;Grunddata!$B$7,"",IF(OR(E26="",E26&gt;Grunddata!$B$8),"X","")))</f>
        <v/>
      </c>
      <c r="O26" s="125" t="str">
        <f>IF(C26="","",IF(D26&gt;=Grunddata!$B$7,"X",IF(AND('Utrikes traktamente'!E26&lt;&gt;"",E26&lt;=Grunddata!$B$8),"X","")))</f>
        <v/>
      </c>
      <c r="P26" s="136" t="str">
        <f t="shared" si="0"/>
        <v/>
      </c>
      <c r="Q26" s="277" t="str">
        <f>IF(C26="","",IF(COUNT(J26:L26)=0,"",IF(COUNT(J26:L26)=3,Grunddata!$H$9,J26*Grunddata!$H$7+K26*Grunddata!$H$8+L26*Grunddata!$H$8)))</f>
        <v/>
      </c>
    </row>
    <row r="27" spans="1:17" ht="19.5" customHeight="1" x14ac:dyDescent="0.3">
      <c r="A27" s="541"/>
      <c r="B27" s="542"/>
      <c r="C27" s="329"/>
      <c r="D27" s="121"/>
      <c r="E27" s="121"/>
      <c r="F27" s="132"/>
      <c r="G27" s="121"/>
      <c r="H27" s="121"/>
      <c r="I27" s="121"/>
      <c r="J27" s="133"/>
      <c r="K27" s="133"/>
      <c r="L27" s="133"/>
      <c r="M27" s="333"/>
      <c r="N27" s="276" t="str">
        <f>IF(C27="","",IF(D27&gt;Grunddata!$B$7,"",IF(OR(E27="",E27&gt;Grunddata!$B$8),"X","")))</f>
        <v/>
      </c>
      <c r="O27" s="125" t="str">
        <f>IF(C27="","",IF(D27&gt;=Grunddata!$B$7,"X",IF(AND('Utrikes traktamente'!E27&lt;&gt;"",E27&lt;=Grunddata!$B$8),"X","")))</f>
        <v/>
      </c>
      <c r="P27" s="136" t="str">
        <f t="shared" si="0"/>
        <v/>
      </c>
      <c r="Q27" s="277" t="str">
        <f>IF(C27="","",IF(COUNT(J27:L27)=0,"",IF(COUNT(J27:L27)=3,Grunddata!$H$9,J27*Grunddata!$H$7+K27*Grunddata!$H$8+L27*Grunddata!$H$8)))</f>
        <v/>
      </c>
    </row>
    <row r="28" spans="1:17" ht="19.5" customHeight="1" x14ac:dyDescent="0.3">
      <c r="A28" s="541"/>
      <c r="B28" s="542"/>
      <c r="C28" s="329"/>
      <c r="D28" s="121"/>
      <c r="E28" s="121"/>
      <c r="F28" s="132"/>
      <c r="G28" s="121"/>
      <c r="H28" s="121"/>
      <c r="I28" s="121"/>
      <c r="J28" s="133"/>
      <c r="K28" s="133"/>
      <c r="L28" s="133"/>
      <c r="M28" s="333"/>
      <c r="N28" s="276" t="str">
        <f>IF(C28="","",IF(D28&gt;Grunddata!$B$7,"",IF(OR(E28="",E28&gt;Grunddata!$B$8),"X","")))</f>
        <v/>
      </c>
      <c r="O28" s="125" t="str">
        <f>IF(C28="","",IF(D28&gt;=Grunddata!$B$7,"X",IF(AND('Utrikes traktamente'!E28&lt;&gt;"",E28&lt;=Grunddata!$B$8),"X","")))</f>
        <v/>
      </c>
      <c r="P28" s="136" t="str">
        <f t="shared" si="0"/>
        <v/>
      </c>
      <c r="Q28" s="277" t="str">
        <f>IF(C28="","",IF(COUNT(J28:L28)=0,"",IF(COUNT(J28:L28)=3,Grunddata!$H$9,J28*Grunddata!$H$7+K28*Grunddata!$H$8+L28*Grunddata!$H$8)))</f>
        <v/>
      </c>
    </row>
    <row r="29" spans="1:17" ht="19.5" customHeight="1" x14ac:dyDescent="0.3">
      <c r="A29" s="541"/>
      <c r="B29" s="542"/>
      <c r="C29" s="329"/>
      <c r="D29" s="121"/>
      <c r="E29" s="121"/>
      <c r="F29" s="132"/>
      <c r="G29" s="121"/>
      <c r="H29" s="121"/>
      <c r="I29" s="121"/>
      <c r="J29" s="133"/>
      <c r="K29" s="133"/>
      <c r="L29" s="133"/>
      <c r="M29" s="333"/>
      <c r="N29" s="276" t="str">
        <f>IF(C29="","",IF(D29&gt;Grunddata!$B$7,"",IF(OR(E29="",E29&gt;Grunddata!$B$8),"X","")))</f>
        <v/>
      </c>
      <c r="O29" s="125" t="str">
        <f>IF(C29="","",IF(D29&gt;=Grunddata!$B$7,"X",IF(AND('Utrikes traktamente'!E29&lt;&gt;"",E29&lt;=Grunddata!$B$8),"X","")))</f>
        <v/>
      </c>
      <c r="P29" s="136" t="str">
        <f t="shared" si="0"/>
        <v/>
      </c>
      <c r="Q29" s="277" t="str">
        <f>IF(C29="","",IF(COUNT(J29:L29)=0,"",IF(COUNT(J29:L29)=3,Grunddata!$H$9,J29*Grunddata!$H$7+K29*Grunddata!$H$8+L29*Grunddata!$H$8)))</f>
        <v/>
      </c>
    </row>
    <row r="30" spans="1:17" ht="19.5" customHeight="1" thickBot="1" x14ac:dyDescent="0.35">
      <c r="A30" s="547"/>
      <c r="B30" s="548"/>
      <c r="C30" s="123"/>
      <c r="D30" s="123"/>
      <c r="E30" s="123"/>
      <c r="F30" s="134"/>
      <c r="G30" s="123"/>
      <c r="H30" s="123"/>
      <c r="I30" s="123"/>
      <c r="J30" s="135"/>
      <c r="K30" s="135"/>
      <c r="L30" s="135"/>
      <c r="M30" s="334"/>
      <c r="N30" s="278" t="str">
        <f>IF(C30="","",IF(D30&gt;Grunddata!$B$7,"",IF(OR(E30="",E30&gt;Grunddata!$B$8),"X","")))</f>
        <v/>
      </c>
      <c r="O30" s="126" t="str">
        <f>IF(C30="","",IF(D30&gt;=Grunddata!$B$7,"X",IF(AND('Utrikes traktamente'!E30&lt;&gt;"",E30&lt;=Grunddata!$B$8),"X","")))</f>
        <v/>
      </c>
      <c r="P30" s="279" t="str">
        <f t="shared" si="0"/>
        <v/>
      </c>
      <c r="Q30" s="280" t="str">
        <f>IF(C30="","",IF(COUNT(J30:L30)=0,"",IF(COUNT(J30:L30)=3,Grunddata!$H$9,J30*Grunddata!$H$7+K30*Grunddata!$H$8+L30*Grunddata!$H$8)))</f>
        <v/>
      </c>
    </row>
    <row r="31" spans="1:17" x14ac:dyDescent="0.25">
      <c r="P31" s="141" cm="1">
        <f t="array" ref="P31">SUM(IFERROR(P9:P30,0))</f>
        <v>0</v>
      </c>
      <c r="Q31" s="141">
        <f>SUM(Q9:Q30)</f>
        <v>0</v>
      </c>
    </row>
  </sheetData>
  <sheetProtection sheet="1" objects="1" scenarios="1"/>
  <mergeCells count="36">
    <mergeCell ref="H1:I1"/>
    <mergeCell ref="F1:G1"/>
    <mergeCell ref="P7:Q7"/>
    <mergeCell ref="B2:D2"/>
    <mergeCell ref="B3:D3"/>
    <mergeCell ref="C4:D4"/>
    <mergeCell ref="A7:B8"/>
    <mergeCell ref="D7:D8"/>
    <mergeCell ref="E7:E8"/>
    <mergeCell ref="F7:F8"/>
    <mergeCell ref="G7:I7"/>
    <mergeCell ref="J7:L7"/>
    <mergeCell ref="N7:N8"/>
    <mergeCell ref="O7:O8"/>
    <mergeCell ref="A20:B20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7:B27"/>
    <mergeCell ref="A28:B28"/>
    <mergeCell ref="A29:B29"/>
    <mergeCell ref="A30:B30"/>
    <mergeCell ref="A21:B21"/>
    <mergeCell ref="A22:B22"/>
    <mergeCell ref="A23:B23"/>
    <mergeCell ref="A24:B24"/>
    <mergeCell ref="A25:B25"/>
    <mergeCell ref="A26:B26"/>
  </mergeCells>
  <pageMargins left="0.7" right="0.7" top="0.75" bottom="0.75" header="0.3" footer="0.3"/>
  <pageSetup paperSize="9" scale="47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34F1-CFBB-4866-8031-6AB75900507C}">
  <sheetPr codeName="Blad7"/>
  <dimension ref="A1:X174"/>
  <sheetViews>
    <sheetView topLeftCell="D1" workbookViewId="0">
      <pane xSplit="8" ySplit="1" topLeftCell="L122" activePane="bottomRight" state="frozen"/>
      <selection pane="topRight" activeCell="L1" sqref="L1"/>
      <selection pane="bottomLeft" activeCell="D2" sqref="D2"/>
      <selection pane="bottomRight" activeCell="M134" sqref="M134:M136"/>
    </sheetView>
  </sheetViews>
  <sheetFormatPr defaultRowHeight="13.2" x14ac:dyDescent="0.25"/>
  <cols>
    <col min="1" max="1" width="15.109375" bestFit="1" customWidth="1"/>
    <col min="2" max="2" width="11.44140625" customWidth="1"/>
    <col min="3" max="3" width="9.109375" style="80"/>
    <col min="7" max="7" width="12.5546875" bestFit="1" customWidth="1"/>
    <col min="12" max="15" width="8.88671875" style="2"/>
    <col min="16" max="16" width="14.33203125" style="364" bestFit="1" customWidth="1"/>
    <col min="17" max="17" width="10.33203125" style="367" bestFit="1" customWidth="1"/>
    <col min="18" max="18" width="11.109375" style="435" bestFit="1" customWidth="1"/>
    <col min="19" max="19" width="9.88671875" style="427" customWidth="1"/>
  </cols>
  <sheetData>
    <row r="1" spans="1:24" ht="14.4" x14ac:dyDescent="0.3">
      <c r="A1" s="598" t="s">
        <v>98</v>
      </c>
      <c r="B1" s="598"/>
      <c r="C1" s="216">
        <f>IF(Tidrapport!C2=1164,Grunddata!C2/5,IF(Tidrapport!C2=1156,Grunddata!C2/2,Grunddata!D1))</f>
        <v>0.33333333333333331</v>
      </c>
      <c r="D1" s="106">
        <v>0.33333333333333331</v>
      </c>
      <c r="E1" t="s">
        <v>2</v>
      </c>
      <c r="G1" s="70" t="s">
        <v>99</v>
      </c>
      <c r="H1" s="602" t="s">
        <v>100</v>
      </c>
      <c r="I1" s="603"/>
      <c r="J1" s="103">
        <v>1.6666666666666667</v>
      </c>
      <c r="L1" s="110" t="s">
        <v>101</v>
      </c>
      <c r="M1" s="444" t="s">
        <v>102</v>
      </c>
      <c r="N1" s="597" t="s">
        <v>103</v>
      </c>
      <c r="O1" s="597"/>
      <c r="P1" s="362" t="s">
        <v>104</v>
      </c>
      <c r="Q1" s="463" t="s">
        <v>105</v>
      </c>
      <c r="R1" s="432" t="s">
        <v>106</v>
      </c>
      <c r="S1" s="431" t="s">
        <v>106</v>
      </c>
      <c r="T1" s="593" t="s">
        <v>107</v>
      </c>
      <c r="U1" s="594"/>
      <c r="V1" s="594"/>
      <c r="W1" s="595"/>
    </row>
    <row r="2" spans="1:24" ht="14.4" x14ac:dyDescent="0.3">
      <c r="A2" s="601" t="s">
        <v>108</v>
      </c>
      <c r="B2" s="601"/>
      <c r="C2" s="217" t="str">
        <f>IF(VLOOKUP(Tidrapport!C2,Grunddata!L2:P157,5,FALSE)=0,"-",VLOOKUP(Tidrapport!C2,Grunddata!L2:P157,5,FALSE))</f>
        <v>-</v>
      </c>
      <c r="D2" s="354">
        <v>1.6666666666666667</v>
      </c>
      <c r="E2" t="s">
        <v>109</v>
      </c>
      <c r="K2" t="s">
        <v>110</v>
      </c>
      <c r="L2" s="390">
        <f>M2*1</f>
        <v>1002</v>
      </c>
      <c r="M2" s="391" t="s">
        <v>111</v>
      </c>
      <c r="N2" s="391" t="s">
        <v>112</v>
      </c>
      <c r="O2" s="391"/>
      <c r="P2" s="392">
        <v>1.6666666666666667</v>
      </c>
      <c r="Q2" s="393" t="str">
        <f>IF(OR(L2=1142,L2=1199,L2=1202,L2=1223),"Utesäljare","")</f>
        <v/>
      </c>
      <c r="R2" s="433" t="str">
        <f>_xlfn.IFNA(VLOOKUP(L2,'Röda dagar'!$A$5:$G$137,7,FALSE),"")</f>
        <v/>
      </c>
      <c r="S2" s="426"/>
      <c r="T2" s="2"/>
      <c r="U2" s="2"/>
      <c r="V2" s="2"/>
      <c r="W2" s="358"/>
    </row>
    <row r="3" spans="1:24" x14ac:dyDescent="0.25">
      <c r="A3" s="599" t="s">
        <v>100</v>
      </c>
      <c r="B3" s="600"/>
      <c r="C3" s="103">
        <f>IF(VLOOKUP(Tidrapport!C2,Grunddata!L2:Q157,6,FALSE)="Utesäljare",J1,J1/2)</f>
        <v>0.83333333333333337</v>
      </c>
      <c r="K3">
        <f>COUNTIF(L2:L201,"&gt;1000")</f>
        <v>135</v>
      </c>
      <c r="L3" s="386">
        <f t="shared" ref="L3:L66" si="0">M3*1</f>
        <v>1005</v>
      </c>
      <c r="M3" s="387" t="s">
        <v>113</v>
      </c>
      <c r="N3" s="387" t="s">
        <v>114</v>
      </c>
      <c r="O3" s="387"/>
      <c r="P3" s="388">
        <v>1.6666666666666667</v>
      </c>
      <c r="Q3" s="389" t="str">
        <f t="shared" ref="Q3:Q66" si="1">IF(OR(L3=1142,L3=1199,L3=1202,L3=1223),"Utesäljare","")</f>
        <v/>
      </c>
      <c r="R3" s="433" t="str">
        <f>_xlfn.IFNA(VLOOKUP(L3,'Röda dagar'!$A$5:$G$137,7,FALSE),"")</f>
        <v/>
      </c>
      <c r="S3" s="426"/>
      <c r="T3" s="2"/>
      <c r="U3" s="2"/>
      <c r="V3" s="2"/>
      <c r="W3" s="358"/>
    </row>
    <row r="4" spans="1:24" x14ac:dyDescent="0.25">
      <c r="A4" s="599" t="s">
        <v>115</v>
      </c>
      <c r="B4" s="600"/>
      <c r="C4" s="69">
        <f>0-J1/2</f>
        <v>-0.83333333333333337</v>
      </c>
      <c r="L4" s="363">
        <f t="shared" si="0"/>
        <v>1006</v>
      </c>
      <c r="M4" s="2" t="s">
        <v>116</v>
      </c>
      <c r="N4" s="2" t="s">
        <v>117</v>
      </c>
      <c r="P4" s="364">
        <v>1.6666666666666667</v>
      </c>
      <c r="Q4" s="367" t="str">
        <f t="shared" si="1"/>
        <v/>
      </c>
      <c r="R4" s="433" t="str">
        <f>_xlfn.IFNA(VLOOKUP(L4,'Röda dagar'!$A$5:$G$137,7,FALSE),"")</f>
        <v>02:00</v>
      </c>
      <c r="S4" s="426">
        <f>IF(R4="","",TIME(HOUR(R4),IF(MINUTE(R4)&lt;8,0,IF(MINUTE(R4)&lt;23,15,IF(MINUTE(R4)&lt;38,30,IF(MINUTE(R4)&lt;53,45,0)))),0))</f>
        <v>8.3333333333333329E-2</v>
      </c>
      <c r="T4" s="2"/>
      <c r="U4" s="2"/>
      <c r="V4" s="2"/>
      <c r="W4" s="358"/>
    </row>
    <row r="5" spans="1:24" x14ac:dyDescent="0.25">
      <c r="C5" s="454"/>
      <c r="L5" s="363">
        <f t="shared" si="0"/>
        <v>1007</v>
      </c>
      <c r="M5" s="2" t="s">
        <v>118</v>
      </c>
      <c r="N5" s="2" t="s">
        <v>119</v>
      </c>
      <c r="P5" s="364">
        <v>1.6666666666666667</v>
      </c>
      <c r="Q5" s="367" t="str">
        <f t="shared" si="1"/>
        <v/>
      </c>
      <c r="R5" s="433" t="str">
        <f>_xlfn.IFNA(VLOOKUP(L5,'Röda dagar'!$A$5:$G$137,7,FALSE),"")</f>
        <v>08:00</v>
      </c>
      <c r="S5" s="426">
        <f t="shared" ref="S5:S68" si="2">IF(R5="","",TIME(HOUR(R5),IF(MINUTE(R5)&lt;8,0,IF(MINUTE(R5)&lt;23,15,IF(MINUTE(R5)&lt;38,30,IF(MINUTE(R5)&lt;53,45,0)))),0))</f>
        <v>0.33333333333333331</v>
      </c>
      <c r="T5" s="2"/>
      <c r="U5" s="2"/>
      <c r="V5" s="2"/>
      <c r="W5" s="358"/>
    </row>
    <row r="6" spans="1:24" x14ac:dyDescent="0.25">
      <c r="A6" s="111" t="s">
        <v>120</v>
      </c>
      <c r="C6" s="454"/>
      <c r="D6" s="110" t="s">
        <v>121</v>
      </c>
      <c r="G6" s="111" t="s">
        <v>122</v>
      </c>
      <c r="H6" s="328" t="s">
        <v>123</v>
      </c>
      <c r="L6" s="390">
        <f t="shared" si="0"/>
        <v>1008</v>
      </c>
      <c r="M6" s="391" t="s">
        <v>124</v>
      </c>
      <c r="N6" s="391" t="s">
        <v>125</v>
      </c>
      <c r="O6" s="391"/>
      <c r="P6" s="392">
        <v>1.6666666666666667</v>
      </c>
      <c r="Q6" s="393" t="str">
        <f t="shared" si="1"/>
        <v/>
      </c>
      <c r="R6" s="433" t="str">
        <f>_xlfn.IFNA(VLOOKUP(L6,'Röda dagar'!$A$5:$G$137,7,FALSE),"")</f>
        <v/>
      </c>
      <c r="S6" s="426" t="str">
        <f t="shared" si="2"/>
        <v/>
      </c>
      <c r="T6" s="2"/>
      <c r="U6" s="2"/>
      <c r="V6" s="2"/>
      <c r="W6" s="358"/>
    </row>
    <row r="7" spans="1:24" x14ac:dyDescent="0.25">
      <c r="A7" s="70" t="s">
        <v>126</v>
      </c>
      <c r="B7" s="106">
        <v>0.5</v>
      </c>
      <c r="C7" s="454"/>
      <c r="D7" s="70" t="s">
        <v>88</v>
      </c>
      <c r="E7">
        <v>48</v>
      </c>
      <c r="G7" s="3" t="s">
        <v>88</v>
      </c>
      <c r="H7">
        <v>50</v>
      </c>
      <c r="L7" s="363">
        <f t="shared" si="0"/>
        <v>1010</v>
      </c>
      <c r="M7" s="2" t="s">
        <v>127</v>
      </c>
      <c r="N7" s="2" t="s">
        <v>128</v>
      </c>
      <c r="P7" s="364">
        <v>1.6666666666666667</v>
      </c>
      <c r="Q7" s="367" t="str">
        <f t="shared" si="1"/>
        <v/>
      </c>
      <c r="R7" s="433" t="str">
        <f>_xlfn.IFNA(VLOOKUP(L7,'Röda dagar'!$A$5:$G$137,7,FALSE),"")</f>
        <v>07:45</v>
      </c>
      <c r="S7" s="426">
        <f t="shared" si="2"/>
        <v>0.32291666666666669</v>
      </c>
      <c r="T7" s="2"/>
      <c r="U7" s="2"/>
      <c r="V7" s="2"/>
      <c r="W7" s="358"/>
    </row>
    <row r="8" spans="1:24" x14ac:dyDescent="0.25">
      <c r="A8" s="70" t="s">
        <v>129</v>
      </c>
      <c r="B8" s="106">
        <v>0.79166666666666663</v>
      </c>
      <c r="C8" s="454"/>
      <c r="D8" s="70" t="s">
        <v>31</v>
      </c>
      <c r="E8">
        <v>84</v>
      </c>
      <c r="G8" s="3" t="s">
        <v>130</v>
      </c>
      <c r="H8">
        <f>H9*40%</f>
        <v>100</v>
      </c>
      <c r="L8" s="363">
        <f t="shared" si="0"/>
        <v>1011</v>
      </c>
      <c r="M8" s="2" t="s">
        <v>131</v>
      </c>
      <c r="N8" s="2" t="s">
        <v>132</v>
      </c>
      <c r="P8" s="364">
        <v>1</v>
      </c>
      <c r="Q8" s="367" t="str">
        <f t="shared" si="1"/>
        <v/>
      </c>
      <c r="R8" s="433" t="str">
        <f>_xlfn.IFNA(VLOOKUP(L8,'Röda dagar'!$A$5:$G$137,7,FALSE),"")</f>
        <v>08:00</v>
      </c>
      <c r="S8" s="426">
        <f t="shared" si="2"/>
        <v>0.33333333333333331</v>
      </c>
      <c r="T8" s="2">
        <v>2</v>
      </c>
      <c r="U8" s="2">
        <v>4</v>
      </c>
      <c r="V8" s="2"/>
      <c r="W8" s="358"/>
    </row>
    <row r="9" spans="1:24" x14ac:dyDescent="0.25">
      <c r="A9" s="70" t="s">
        <v>133</v>
      </c>
      <c r="B9">
        <v>240</v>
      </c>
      <c r="C9" s="454"/>
      <c r="D9" s="70" t="s">
        <v>89</v>
      </c>
      <c r="E9">
        <v>84</v>
      </c>
      <c r="G9" s="3" t="s">
        <v>134</v>
      </c>
      <c r="H9">
        <v>250</v>
      </c>
      <c r="L9" s="363">
        <f t="shared" si="0"/>
        <v>1012</v>
      </c>
      <c r="M9" s="2" t="s">
        <v>135</v>
      </c>
      <c r="N9" s="2" t="s">
        <v>136</v>
      </c>
      <c r="P9" s="364">
        <v>1.6666666666666667</v>
      </c>
      <c r="Q9" s="367" t="str">
        <f t="shared" si="1"/>
        <v/>
      </c>
      <c r="R9" s="433" t="str">
        <f>_xlfn.IFNA(VLOOKUP(L9,'Röda dagar'!$A$5:$G$137,7,FALSE),"")</f>
        <v>08:00</v>
      </c>
      <c r="S9" s="426">
        <f t="shared" si="2"/>
        <v>0.33333333333333331</v>
      </c>
      <c r="T9" s="2"/>
      <c r="U9" s="2"/>
      <c r="V9" s="2"/>
      <c r="W9" s="358"/>
    </row>
    <row r="10" spans="1:24" x14ac:dyDescent="0.25">
      <c r="A10" s="70" t="s">
        <v>137</v>
      </c>
      <c r="B10">
        <v>120</v>
      </c>
      <c r="C10" s="454"/>
      <c r="D10" s="70" t="s">
        <v>138</v>
      </c>
      <c r="E10">
        <v>198</v>
      </c>
      <c r="L10" s="363">
        <f t="shared" si="0"/>
        <v>1013</v>
      </c>
      <c r="M10" s="2" t="s">
        <v>139</v>
      </c>
      <c r="N10" s="2" t="s">
        <v>140</v>
      </c>
      <c r="P10" s="364">
        <v>1.6666666666666667</v>
      </c>
      <c r="Q10" s="367" t="str">
        <f t="shared" si="1"/>
        <v/>
      </c>
      <c r="R10" s="433" t="str">
        <f>_xlfn.IFNA(VLOOKUP(L10,'Röda dagar'!$A$5:$G$137,7,FALSE),"")</f>
        <v>08:00</v>
      </c>
      <c r="S10" s="426">
        <f t="shared" si="2"/>
        <v>0.33333333333333331</v>
      </c>
      <c r="T10" s="2"/>
      <c r="U10" s="2"/>
      <c r="V10" s="2"/>
      <c r="W10" s="358"/>
    </row>
    <row r="11" spans="1:24" x14ac:dyDescent="0.25">
      <c r="C11" s="454"/>
      <c r="G11" s="111" t="s">
        <v>70</v>
      </c>
      <c r="L11" s="363">
        <f t="shared" si="0"/>
        <v>1014</v>
      </c>
      <c r="M11" s="2" t="s">
        <v>141</v>
      </c>
      <c r="N11" s="2" t="s">
        <v>142</v>
      </c>
      <c r="P11" s="364">
        <v>1.6666666666666667</v>
      </c>
      <c r="Q11" s="367" t="str">
        <f t="shared" si="1"/>
        <v/>
      </c>
      <c r="R11" s="433" t="str">
        <f>_xlfn.IFNA(VLOOKUP(L11,'Röda dagar'!$A$5:$G$137,7,FALSE),"")</f>
        <v>08:00</v>
      </c>
      <c r="S11" s="426">
        <f t="shared" si="2"/>
        <v>0.33333333333333331</v>
      </c>
      <c r="T11" s="2"/>
      <c r="U11" s="2"/>
      <c r="V11" s="2"/>
      <c r="W11" s="358"/>
    </row>
    <row r="12" spans="1:24" x14ac:dyDescent="0.25">
      <c r="C12" s="454"/>
      <c r="G12" s="282" t="s">
        <v>143</v>
      </c>
      <c r="H12" s="4">
        <f>1.85+1</f>
        <v>2.85</v>
      </c>
      <c r="L12" s="363">
        <f t="shared" si="0"/>
        <v>1017</v>
      </c>
      <c r="M12" s="2" t="s">
        <v>144</v>
      </c>
      <c r="N12" s="2" t="s">
        <v>145</v>
      </c>
      <c r="P12" s="364">
        <v>1.6666666666666667</v>
      </c>
      <c r="Q12" s="367" t="str">
        <f t="shared" si="1"/>
        <v/>
      </c>
      <c r="R12" s="433" t="str">
        <f>_xlfn.IFNA(VLOOKUP(L12,'Röda dagar'!$A$5:$G$137,7,FALSE),"")</f>
        <v>08:00</v>
      </c>
      <c r="S12" s="426">
        <f t="shared" si="2"/>
        <v>0.33333333333333331</v>
      </c>
      <c r="T12" s="2"/>
      <c r="U12" s="2"/>
      <c r="V12" s="2"/>
      <c r="W12" s="358"/>
    </row>
    <row r="13" spans="1:24" x14ac:dyDescent="0.25">
      <c r="C13" s="454"/>
      <c r="G13" s="282" t="s">
        <v>74</v>
      </c>
      <c r="H13" s="4">
        <v>0.95</v>
      </c>
      <c r="L13" s="363">
        <f t="shared" si="0"/>
        <v>1019</v>
      </c>
      <c r="M13" s="2" t="s">
        <v>146</v>
      </c>
      <c r="N13" s="2" t="s">
        <v>147</v>
      </c>
      <c r="P13" s="364">
        <v>1.6666666666666667</v>
      </c>
      <c r="Q13" s="367" t="str">
        <f t="shared" si="1"/>
        <v/>
      </c>
      <c r="R13" s="433" t="str">
        <f>_xlfn.IFNA(VLOOKUP(L13,'Röda dagar'!$A$5:$G$137,7,FALSE),"")</f>
        <v>08:00</v>
      </c>
      <c r="S13" s="426">
        <f t="shared" si="2"/>
        <v>0.33333333333333331</v>
      </c>
      <c r="T13" s="2"/>
      <c r="U13" s="2"/>
      <c r="V13" s="2"/>
      <c r="W13" s="358"/>
    </row>
    <row r="14" spans="1:24" x14ac:dyDescent="0.25">
      <c r="A14" s="70" t="s">
        <v>148</v>
      </c>
      <c r="C14" s="454"/>
      <c r="G14" s="282" t="s">
        <v>75</v>
      </c>
      <c r="H14" s="4">
        <v>0.65</v>
      </c>
      <c r="L14" s="363">
        <f t="shared" si="0"/>
        <v>1021</v>
      </c>
      <c r="M14" s="2" t="s">
        <v>149</v>
      </c>
      <c r="N14" s="2" t="s">
        <v>150</v>
      </c>
      <c r="P14" s="364">
        <v>1.6666666666666667</v>
      </c>
      <c r="Q14" s="367" t="str">
        <f t="shared" si="1"/>
        <v/>
      </c>
      <c r="R14" s="433" t="str">
        <f>_xlfn.IFNA(VLOOKUP(L14,'Röda dagar'!$A$5:$G$137,7,FALSE),"")</f>
        <v>08:00</v>
      </c>
      <c r="S14" s="426">
        <f t="shared" si="2"/>
        <v>0.33333333333333331</v>
      </c>
      <c r="T14" s="2"/>
      <c r="U14" s="2"/>
      <c r="V14" s="2"/>
      <c r="W14" s="358"/>
    </row>
    <row r="15" spans="1:24" x14ac:dyDescent="0.25">
      <c r="C15" s="454"/>
      <c r="G15" s="282" t="s">
        <v>76</v>
      </c>
      <c r="H15" s="4">
        <v>0.95</v>
      </c>
      <c r="L15" s="363">
        <f t="shared" si="0"/>
        <v>1023</v>
      </c>
      <c r="M15" s="2" t="s">
        <v>151</v>
      </c>
      <c r="N15" s="2" t="s">
        <v>152</v>
      </c>
      <c r="P15" s="364">
        <v>1.3333333333333333</v>
      </c>
      <c r="Q15" s="367" t="str">
        <f t="shared" si="1"/>
        <v/>
      </c>
      <c r="R15" s="433" t="str">
        <f>_xlfn.IFNA(VLOOKUP(L15,'Röda dagar'!$A$5:$G$137,7,FALSE),"")</f>
        <v>08:00</v>
      </c>
      <c r="S15" s="426">
        <f t="shared" si="2"/>
        <v>0.33333333333333331</v>
      </c>
      <c r="T15" s="2">
        <v>5</v>
      </c>
      <c r="U15" s="2"/>
      <c r="V15" s="2"/>
      <c r="W15" s="358"/>
    </row>
    <row r="16" spans="1:24" x14ac:dyDescent="0.25">
      <c r="A16" s="77">
        <v>42727</v>
      </c>
      <c r="B16" s="3" t="s">
        <v>153</v>
      </c>
      <c r="C16" s="454"/>
      <c r="D16">
        <f>COUNTIF(Tidrapport!$A$12:$A$41,Grunddata!A16)</f>
        <v>0</v>
      </c>
      <c r="G16" s="282" t="s">
        <v>77</v>
      </c>
      <c r="H16" s="4">
        <f>H15</f>
        <v>0.95</v>
      </c>
      <c r="L16" s="363">
        <f t="shared" si="0"/>
        <v>1025</v>
      </c>
      <c r="M16" s="2" t="s">
        <v>154</v>
      </c>
      <c r="N16" s="2" t="s">
        <v>155</v>
      </c>
      <c r="P16" s="364">
        <v>1.6666666666666667</v>
      </c>
      <c r="Q16" s="367" t="str">
        <f t="shared" si="1"/>
        <v/>
      </c>
      <c r="R16" s="434" t="str">
        <f>_xlfn.IFNA(VLOOKUP(L16,'Röda dagar'!$A$5:$G$137,7,FALSE),"")</f>
        <v>08:00</v>
      </c>
      <c r="S16" s="426">
        <f t="shared" si="2"/>
        <v>0.33333333333333331</v>
      </c>
      <c r="T16" s="2"/>
      <c r="U16" s="2"/>
      <c r="V16" s="2"/>
      <c r="W16" s="358"/>
      <c r="X16" s="385"/>
    </row>
    <row r="17" spans="1:24" x14ac:dyDescent="0.25">
      <c r="A17" s="77">
        <v>42728</v>
      </c>
      <c r="B17" t="s">
        <v>156</v>
      </c>
      <c r="C17" s="454"/>
      <c r="D17">
        <f>COUNTIF(Tidrapport!$A$12:$A$41,Grunddata!A17)</f>
        <v>0</v>
      </c>
      <c r="G17" s="282" t="s">
        <v>78</v>
      </c>
      <c r="H17" s="4">
        <f>H16</f>
        <v>0.95</v>
      </c>
      <c r="L17" s="363">
        <f t="shared" si="0"/>
        <v>1026</v>
      </c>
      <c r="M17" s="2" t="s">
        <v>157</v>
      </c>
      <c r="N17" s="2" t="s">
        <v>158</v>
      </c>
      <c r="P17" s="364">
        <v>1.6666666666666667</v>
      </c>
      <c r="Q17" s="367" t="str">
        <f t="shared" si="1"/>
        <v/>
      </c>
      <c r="R17" s="433" t="str">
        <f>_xlfn.IFNA(VLOOKUP(L17,'Röda dagar'!$A$5:$G$137,7,FALSE),"")</f>
        <v>08:00</v>
      </c>
      <c r="S17" s="426">
        <f t="shared" si="2"/>
        <v>0.33333333333333331</v>
      </c>
      <c r="T17" s="2"/>
      <c r="U17" s="2"/>
      <c r="V17" s="2"/>
      <c r="W17" s="358"/>
    </row>
    <row r="18" spans="1:24" x14ac:dyDescent="0.25">
      <c r="A18" s="77">
        <v>42729</v>
      </c>
      <c r="B18" s="3" t="s">
        <v>159</v>
      </c>
      <c r="C18" s="454"/>
      <c r="D18">
        <f>COUNTIF(Tidrapport!$A$12:$A$41,Grunddata!A18)</f>
        <v>0</v>
      </c>
      <c r="L18" s="363">
        <f t="shared" si="0"/>
        <v>1027</v>
      </c>
      <c r="M18" s="2" t="s">
        <v>160</v>
      </c>
      <c r="N18" s="2" t="s">
        <v>161</v>
      </c>
      <c r="P18" s="364">
        <v>1.6666666666666667</v>
      </c>
      <c r="Q18" s="367" t="str">
        <f t="shared" si="1"/>
        <v/>
      </c>
      <c r="R18" s="433" t="str">
        <f>_xlfn.IFNA(VLOOKUP(L18,'Röda dagar'!$A$5:$G$137,7,FALSE),"")</f>
        <v>08:00</v>
      </c>
      <c r="S18" s="426">
        <f t="shared" si="2"/>
        <v>0.33333333333333331</v>
      </c>
      <c r="T18" s="2"/>
      <c r="U18" s="2"/>
      <c r="V18" s="2"/>
      <c r="W18" s="358"/>
    </row>
    <row r="19" spans="1:24" x14ac:dyDescent="0.25">
      <c r="A19" s="77">
        <v>42734</v>
      </c>
      <c r="B19" s="3" t="s">
        <v>162</v>
      </c>
      <c r="C19" s="454"/>
      <c r="D19">
        <f>COUNTIF(Tidrapport!$A$12:$A$41,Grunddata!A19)</f>
        <v>0</v>
      </c>
      <c r="L19" s="363">
        <f t="shared" si="0"/>
        <v>1028</v>
      </c>
      <c r="M19" s="2" t="s">
        <v>163</v>
      </c>
      <c r="N19" s="2" t="s">
        <v>164</v>
      </c>
      <c r="P19" s="364">
        <v>1.6666666666666667</v>
      </c>
      <c r="Q19" s="367" t="str">
        <f t="shared" si="1"/>
        <v/>
      </c>
      <c r="R19" s="433" t="str">
        <f>_xlfn.IFNA(VLOOKUP(L19,'Röda dagar'!$A$5:$G$137,7,FALSE),"")</f>
        <v>08:00</v>
      </c>
      <c r="S19" s="426">
        <f t="shared" si="2"/>
        <v>0.33333333333333331</v>
      </c>
      <c r="T19" s="2"/>
      <c r="U19" s="2"/>
      <c r="V19" s="2"/>
      <c r="W19" s="358"/>
    </row>
    <row r="20" spans="1:24" x14ac:dyDescent="0.25">
      <c r="A20" s="77">
        <v>42735</v>
      </c>
      <c r="B20" t="s">
        <v>165</v>
      </c>
      <c r="C20" s="454"/>
      <c r="D20">
        <f>COUNTIF(Tidrapport!$A$12:$A$41,Grunddata!A20)</f>
        <v>0</v>
      </c>
      <c r="L20" s="363">
        <f t="shared" si="0"/>
        <v>1029</v>
      </c>
      <c r="M20" s="2" t="s">
        <v>166</v>
      </c>
      <c r="N20" s="2" t="s">
        <v>167</v>
      </c>
      <c r="P20" s="364">
        <v>1.6666666666666667</v>
      </c>
      <c r="Q20" s="367" t="str">
        <f t="shared" si="1"/>
        <v/>
      </c>
      <c r="R20" s="433" t="str">
        <f>_xlfn.IFNA(VLOOKUP(L20,'Röda dagar'!$A$5:$G$137,7,FALSE),"")</f>
        <v>08:00</v>
      </c>
      <c r="S20" s="426">
        <f t="shared" si="2"/>
        <v>0.33333333333333331</v>
      </c>
      <c r="T20" s="2"/>
      <c r="U20" s="2"/>
      <c r="V20" s="2"/>
      <c r="W20" s="358"/>
    </row>
    <row r="21" spans="1:24" x14ac:dyDescent="0.25">
      <c r="A21" s="77">
        <v>42740</v>
      </c>
      <c r="B21" t="s">
        <v>168</v>
      </c>
      <c r="C21" s="454"/>
      <c r="D21">
        <f>COUNTIF(Tidrapport!$A$12:$A$41,Grunddata!A21)</f>
        <v>0</v>
      </c>
      <c r="L21" s="363">
        <f t="shared" si="0"/>
        <v>1032</v>
      </c>
      <c r="M21" s="2" t="s">
        <v>169</v>
      </c>
      <c r="N21" s="2" t="s">
        <v>170</v>
      </c>
      <c r="P21" s="364">
        <v>1.6666666666666667</v>
      </c>
      <c r="Q21" s="367" t="str">
        <f t="shared" si="1"/>
        <v/>
      </c>
      <c r="R21" s="434" t="str">
        <f>_xlfn.IFNA(VLOOKUP(L21,'Röda dagar'!$A$5:$G$137,7,FALSE),"")</f>
        <v>07:00</v>
      </c>
      <c r="S21" s="426">
        <f t="shared" si="2"/>
        <v>0.29166666666666669</v>
      </c>
      <c r="T21" s="2"/>
      <c r="U21" s="2"/>
      <c r="V21" s="2"/>
      <c r="W21" s="358"/>
      <c r="X21" s="385"/>
    </row>
    <row r="22" spans="1:24" x14ac:dyDescent="0.25">
      <c r="A22" s="77">
        <v>42826</v>
      </c>
      <c r="B22" t="s">
        <v>171</v>
      </c>
      <c r="C22" s="454"/>
      <c r="D22">
        <f>COUNTIF(Tidrapport!$A$12:$A$41,Grunddata!A22)</f>
        <v>0</v>
      </c>
      <c r="H22" s="454"/>
      <c r="L22" s="363">
        <f t="shared" si="0"/>
        <v>1035</v>
      </c>
      <c r="M22" s="2" t="s">
        <v>172</v>
      </c>
      <c r="N22" s="2" t="s">
        <v>173</v>
      </c>
      <c r="P22" s="364">
        <v>1.6666666666666667</v>
      </c>
      <c r="Q22" s="367" t="str">
        <f t="shared" si="1"/>
        <v/>
      </c>
      <c r="R22" s="433" t="str">
        <f>_xlfn.IFNA(VLOOKUP(L22,'Röda dagar'!$A$5:$G$137,7,FALSE),"")</f>
        <v>08:00</v>
      </c>
      <c r="S22" s="426">
        <f t="shared" si="2"/>
        <v>0.33333333333333331</v>
      </c>
      <c r="T22" s="2"/>
      <c r="U22" s="2"/>
      <c r="V22" s="2"/>
      <c r="W22" s="358"/>
    </row>
    <row r="23" spans="1:24" x14ac:dyDescent="0.25">
      <c r="A23" s="415">
        <v>42828</v>
      </c>
      <c r="B23" s="416" t="s">
        <v>174</v>
      </c>
      <c r="C23" s="417"/>
      <c r="D23" s="416">
        <f>COUNTIF(Tidrapport!$A$12:$A$41,Grunddata!A23)</f>
        <v>0</v>
      </c>
      <c r="H23" s="454"/>
      <c r="I23" s="354"/>
      <c r="L23" s="363">
        <f t="shared" si="0"/>
        <v>1036</v>
      </c>
      <c r="M23" s="2" t="s">
        <v>175</v>
      </c>
      <c r="N23" s="2" t="s">
        <v>176</v>
      </c>
      <c r="P23" s="364">
        <v>1.6666666666666667</v>
      </c>
      <c r="Q23" s="367" t="str">
        <f t="shared" si="1"/>
        <v/>
      </c>
      <c r="R23" s="433" t="str">
        <f>_xlfn.IFNA(VLOOKUP(L23,'Röda dagar'!$A$5:$G$137,7,FALSE),"")</f>
        <v>07:00</v>
      </c>
      <c r="S23" s="426">
        <f t="shared" si="2"/>
        <v>0.29166666666666669</v>
      </c>
      <c r="T23" s="2"/>
      <c r="U23" s="2"/>
      <c r="V23" s="2"/>
      <c r="W23" s="358"/>
    </row>
    <row r="24" spans="1:24" x14ac:dyDescent="0.25">
      <c r="A24" s="77">
        <v>42829</v>
      </c>
      <c r="B24" t="s">
        <v>177</v>
      </c>
      <c r="C24" s="454"/>
      <c r="D24">
        <f>COUNTIF(Tidrapport!$A$12:$A$41,Grunddata!A24)</f>
        <v>0</v>
      </c>
      <c r="H24" s="454"/>
      <c r="L24" s="363">
        <f t="shared" si="0"/>
        <v>1037</v>
      </c>
      <c r="M24" s="2" t="s">
        <v>178</v>
      </c>
      <c r="N24" s="2" t="s">
        <v>179</v>
      </c>
      <c r="P24" s="364">
        <v>1.6666666666666667</v>
      </c>
      <c r="Q24" s="367" t="str">
        <f t="shared" si="1"/>
        <v/>
      </c>
      <c r="R24" s="433" t="str">
        <f>_xlfn.IFNA(VLOOKUP(L24,'Röda dagar'!$A$5:$G$137,7,FALSE),"")</f>
        <v>08:00</v>
      </c>
      <c r="S24" s="426">
        <f t="shared" si="2"/>
        <v>0.33333333333333331</v>
      </c>
      <c r="T24" s="2"/>
      <c r="U24" s="2"/>
      <c r="V24" s="2"/>
      <c r="W24" s="358"/>
    </row>
    <row r="25" spans="1:24" x14ac:dyDescent="0.25">
      <c r="A25" s="77">
        <v>42855</v>
      </c>
      <c r="B25" t="s">
        <v>180</v>
      </c>
      <c r="C25" s="454"/>
      <c r="D25">
        <f>COUNTIF(Tidrapport!$A$12:$A$41,Grunddata!A25)</f>
        <v>0</v>
      </c>
      <c r="H25" s="454"/>
      <c r="L25" s="390">
        <f t="shared" si="0"/>
        <v>1040</v>
      </c>
      <c r="M25" s="391" t="s">
        <v>181</v>
      </c>
      <c r="N25" s="391" t="s">
        <v>182</v>
      </c>
      <c r="O25" s="391"/>
      <c r="P25" s="392">
        <v>1.6666666666666667</v>
      </c>
      <c r="Q25" s="393" t="str">
        <f t="shared" si="1"/>
        <v/>
      </c>
      <c r="R25" s="433" t="str">
        <f>_xlfn.IFNA(VLOOKUP(L25,'Röda dagar'!$A$5:$G$137,7,FALSE),"")</f>
        <v/>
      </c>
      <c r="S25" s="426" t="str">
        <f t="shared" si="2"/>
        <v/>
      </c>
      <c r="T25" s="2"/>
      <c r="U25" s="2"/>
      <c r="V25" s="2"/>
      <c r="W25" s="358"/>
    </row>
    <row r="26" spans="1:24" x14ac:dyDescent="0.25">
      <c r="A26" s="77">
        <v>42867</v>
      </c>
      <c r="B26" t="s">
        <v>183</v>
      </c>
      <c r="C26" s="454"/>
      <c r="D26">
        <f>COUNTIF(Tidrapport!$A$12:$A$41,Grunddata!A26)</f>
        <v>0</v>
      </c>
      <c r="H26" s="454"/>
      <c r="L26" s="363">
        <f t="shared" si="0"/>
        <v>1041</v>
      </c>
      <c r="M26" s="2" t="s">
        <v>184</v>
      </c>
      <c r="N26" s="2" t="s">
        <v>185</v>
      </c>
      <c r="P26" s="364">
        <v>1.6666666666666667</v>
      </c>
      <c r="Q26" s="367" t="str">
        <f t="shared" si="1"/>
        <v/>
      </c>
      <c r="R26" s="433" t="str">
        <f>_xlfn.IFNA(VLOOKUP(L26,'Röda dagar'!$A$5:$G$137,7,FALSE),"")</f>
        <v>08:00</v>
      </c>
      <c r="S26" s="426">
        <f t="shared" si="2"/>
        <v>0.33333333333333331</v>
      </c>
      <c r="T26" s="2"/>
      <c r="U26" s="2"/>
      <c r="V26" s="2"/>
      <c r="W26" s="358"/>
    </row>
    <row r="27" spans="1:24" x14ac:dyDescent="0.25">
      <c r="A27" s="77">
        <v>42877</v>
      </c>
      <c r="B27" t="s">
        <v>186</v>
      </c>
      <c r="C27" s="454"/>
      <c r="D27">
        <f>COUNTIF(Tidrapport!$A$12:$A$41,Grunddata!A27)</f>
        <v>1</v>
      </c>
      <c r="H27" s="454"/>
      <c r="L27" s="363">
        <f t="shared" si="0"/>
        <v>1042</v>
      </c>
      <c r="M27" s="2" t="s">
        <v>187</v>
      </c>
      <c r="N27" s="2" t="s">
        <v>188</v>
      </c>
      <c r="P27" s="364">
        <v>1.6666666666666667</v>
      </c>
      <c r="Q27" s="367" t="str">
        <f t="shared" si="1"/>
        <v/>
      </c>
      <c r="R27" s="433" t="str">
        <f>_xlfn.IFNA(VLOOKUP(L27,'Röda dagar'!$A$5:$G$137,7,FALSE),"")</f>
        <v>07:15</v>
      </c>
      <c r="S27" s="426">
        <f t="shared" si="2"/>
        <v>0.30208333333333331</v>
      </c>
      <c r="T27" s="2"/>
      <c r="U27" s="2"/>
      <c r="V27" s="2"/>
      <c r="W27" s="358"/>
    </row>
    <row r="28" spans="1:24" x14ac:dyDescent="0.25">
      <c r="A28" s="77">
        <v>42891</v>
      </c>
      <c r="B28" t="s">
        <v>189</v>
      </c>
      <c r="C28" s="454"/>
      <c r="D28">
        <f>COUNTIF(Tidrapport!$A$12:$A$41,Grunddata!A28)</f>
        <v>1</v>
      </c>
      <c r="H28" s="454"/>
      <c r="L28" s="363">
        <f t="shared" si="0"/>
        <v>1043</v>
      </c>
      <c r="M28" s="2" t="s">
        <v>190</v>
      </c>
      <c r="N28" s="2" t="s">
        <v>191</v>
      </c>
      <c r="P28" s="364">
        <v>1.6666666666666667</v>
      </c>
      <c r="Q28" s="367" t="str">
        <f t="shared" si="1"/>
        <v/>
      </c>
      <c r="R28" s="433" t="str">
        <f>_xlfn.IFNA(VLOOKUP(L28,'Röda dagar'!$A$5:$G$137,7,FALSE),"")</f>
        <v>08:00</v>
      </c>
      <c r="S28" s="426">
        <f t="shared" si="2"/>
        <v>0.33333333333333331</v>
      </c>
      <c r="T28" s="2"/>
      <c r="U28" s="2"/>
      <c r="V28" s="2"/>
      <c r="W28" s="358"/>
    </row>
    <row r="29" spans="1:24" x14ac:dyDescent="0.25">
      <c r="A29" s="77">
        <v>42910</v>
      </c>
      <c r="B29" s="3" t="s">
        <v>192</v>
      </c>
      <c r="C29" s="454"/>
      <c r="D29">
        <f>COUNTIF(Tidrapport!$A$12:$A$41,Grunddata!A29)</f>
        <v>0</v>
      </c>
      <c r="H29" s="454"/>
      <c r="L29" s="363">
        <f t="shared" si="0"/>
        <v>1044</v>
      </c>
      <c r="M29" s="2" t="s">
        <v>193</v>
      </c>
      <c r="N29" s="2" t="s">
        <v>194</v>
      </c>
      <c r="P29" s="364">
        <v>1.6666666666666667</v>
      </c>
      <c r="Q29" s="367" t="str">
        <f t="shared" si="1"/>
        <v/>
      </c>
      <c r="R29" s="433" t="str">
        <f>_xlfn.IFNA(VLOOKUP(L29,'Röda dagar'!$A$5:$G$137,7,FALSE),"")</f>
        <v>08:00</v>
      </c>
      <c r="S29" s="426">
        <f t="shared" si="2"/>
        <v>0.33333333333333331</v>
      </c>
      <c r="T29" s="2"/>
      <c r="U29" s="2"/>
      <c r="V29" s="2"/>
      <c r="W29" s="358"/>
    </row>
    <row r="30" spans="1:24" x14ac:dyDescent="0.25">
      <c r="A30" s="415">
        <v>42911</v>
      </c>
      <c r="B30" s="416" t="s">
        <v>195</v>
      </c>
      <c r="C30" s="417"/>
      <c r="D30" s="416">
        <f>COUNTIF(Tidrapport!$A$12:$A$41,Grunddata!A30)</f>
        <v>0</v>
      </c>
      <c r="H30" s="454"/>
      <c r="L30" s="363">
        <f t="shared" si="0"/>
        <v>1046</v>
      </c>
      <c r="M30" s="2" t="s">
        <v>196</v>
      </c>
      <c r="N30" s="2" t="s">
        <v>197</v>
      </c>
      <c r="P30" s="364">
        <v>1.6666666666666667</v>
      </c>
      <c r="Q30" s="367" t="str">
        <f t="shared" si="1"/>
        <v/>
      </c>
      <c r="R30" s="433" t="str">
        <f>_xlfn.IFNA(VLOOKUP(L30,'Röda dagar'!$A$5:$G$137,7,FALSE),"")</f>
        <v>08:00</v>
      </c>
      <c r="S30" s="426">
        <f t="shared" si="2"/>
        <v>0.33333333333333331</v>
      </c>
      <c r="T30" s="2"/>
      <c r="U30" s="2"/>
      <c r="V30" s="2"/>
      <c r="W30" s="358"/>
    </row>
    <row r="31" spans="1:24" x14ac:dyDescent="0.25">
      <c r="A31" s="415">
        <v>43044</v>
      </c>
      <c r="B31" s="416" t="s">
        <v>198</v>
      </c>
      <c r="C31" s="417"/>
      <c r="D31" s="416">
        <f>COUNTIF(Tidrapport!$A$12:$A$41,Grunddata!A31)</f>
        <v>0</v>
      </c>
      <c r="H31" s="454"/>
      <c r="L31" s="363">
        <f t="shared" si="0"/>
        <v>1049</v>
      </c>
      <c r="M31" s="2" t="s">
        <v>199</v>
      </c>
      <c r="N31" s="2" t="s">
        <v>200</v>
      </c>
      <c r="P31" s="364">
        <v>1.6666666666666667</v>
      </c>
      <c r="Q31" s="367" t="str">
        <f t="shared" si="1"/>
        <v/>
      </c>
      <c r="R31" s="433" t="str">
        <f>_xlfn.IFNA(VLOOKUP(L31,'Röda dagar'!$A$5:$G$137,7,FALSE),"")</f>
        <v>08:00</v>
      </c>
      <c r="S31" s="426">
        <f t="shared" si="2"/>
        <v>0.33333333333333331</v>
      </c>
      <c r="T31" s="2"/>
      <c r="U31" s="2"/>
      <c r="V31" s="2"/>
      <c r="W31" s="358"/>
    </row>
    <row r="32" spans="1:24" x14ac:dyDescent="0.25">
      <c r="C32" s="454"/>
      <c r="L32" s="363">
        <f t="shared" si="0"/>
        <v>1060</v>
      </c>
      <c r="M32" s="2" t="s">
        <v>201</v>
      </c>
      <c r="N32" s="2" t="s">
        <v>202</v>
      </c>
      <c r="P32" s="364">
        <v>1.6666666666666667</v>
      </c>
      <c r="Q32" s="367" t="str">
        <f t="shared" si="1"/>
        <v/>
      </c>
      <c r="R32" s="433" t="str">
        <f>_xlfn.IFNA(VLOOKUP(L32,'Röda dagar'!$A$5:$G$137,7,FALSE),"")</f>
        <v>08:00</v>
      </c>
      <c r="S32" s="426">
        <f t="shared" si="2"/>
        <v>0.33333333333333331</v>
      </c>
      <c r="T32" s="2"/>
      <c r="U32" s="2"/>
      <c r="V32" s="2"/>
      <c r="W32" s="358"/>
    </row>
    <row r="33" spans="1:24" ht="15.6" x14ac:dyDescent="0.3">
      <c r="A33" s="87"/>
      <c r="B33" s="87"/>
      <c r="C33" s="112"/>
      <c r="L33" s="363">
        <f t="shared" si="0"/>
        <v>1061</v>
      </c>
      <c r="M33" s="2" t="s">
        <v>203</v>
      </c>
      <c r="N33" s="2" t="s">
        <v>204</v>
      </c>
      <c r="P33" s="364">
        <v>1.6666666666666667</v>
      </c>
      <c r="Q33" s="367" t="str">
        <f t="shared" si="1"/>
        <v/>
      </c>
      <c r="R33" s="433" t="str">
        <f>_xlfn.IFNA(VLOOKUP(L33,'Röda dagar'!$A$5:$G$137,7,FALSE),"")</f>
        <v>08:00</v>
      </c>
      <c r="S33" s="426">
        <f t="shared" si="2"/>
        <v>0.33333333333333331</v>
      </c>
      <c r="T33" s="2"/>
      <c r="U33" s="2"/>
      <c r="V33" s="2"/>
      <c r="W33" s="358"/>
    </row>
    <row r="34" spans="1:24" ht="15.6" customHeight="1" x14ac:dyDescent="0.25">
      <c r="A34" s="596" t="s">
        <v>205</v>
      </c>
      <c r="B34" s="596"/>
      <c r="C34" s="596"/>
      <c r="D34" s="70">
        <f>SUM(D16:D33)</f>
        <v>2</v>
      </c>
      <c r="L34" s="363">
        <f t="shared" si="0"/>
        <v>1065</v>
      </c>
      <c r="M34" s="2" t="s">
        <v>206</v>
      </c>
      <c r="N34" s="2" t="s">
        <v>207</v>
      </c>
      <c r="P34" s="364">
        <v>1.6666666666666667</v>
      </c>
      <c r="Q34" s="367" t="str">
        <f t="shared" si="1"/>
        <v/>
      </c>
      <c r="R34" s="433" t="str">
        <f>_xlfn.IFNA(VLOOKUP(L34,'Röda dagar'!$A$5:$G$137,7,FALSE),"")</f>
        <v>08:00</v>
      </c>
      <c r="S34" s="426">
        <f t="shared" si="2"/>
        <v>0.33333333333333331</v>
      </c>
      <c r="T34" s="2"/>
      <c r="U34" s="2"/>
      <c r="V34" s="2"/>
      <c r="W34" s="358"/>
    </row>
    <row r="35" spans="1:24" x14ac:dyDescent="0.25">
      <c r="A35" s="87"/>
      <c r="B35" s="87"/>
      <c r="C35" s="72"/>
      <c r="L35" s="363">
        <f t="shared" si="0"/>
        <v>1070</v>
      </c>
      <c r="M35" s="2" t="s">
        <v>208</v>
      </c>
      <c r="N35" s="2" t="s">
        <v>209</v>
      </c>
      <c r="P35" s="364">
        <v>1.6666666666666667</v>
      </c>
      <c r="Q35" s="367" t="str">
        <f t="shared" si="1"/>
        <v/>
      </c>
      <c r="R35" s="433" t="str">
        <f>_xlfn.IFNA(VLOOKUP(L35,'Röda dagar'!$A$5:$G$137,7,FALSE),"")</f>
        <v>08:00</v>
      </c>
      <c r="S35" s="426">
        <f t="shared" si="2"/>
        <v>0.33333333333333331</v>
      </c>
      <c r="T35" s="2"/>
      <c r="U35" s="2"/>
      <c r="V35" s="2"/>
      <c r="W35" s="358"/>
    </row>
    <row r="36" spans="1:24" x14ac:dyDescent="0.25">
      <c r="A36" s="87"/>
      <c r="B36" s="87"/>
      <c r="C36" s="72"/>
      <c r="L36" s="363">
        <f t="shared" si="0"/>
        <v>1072</v>
      </c>
      <c r="M36" s="2" t="s">
        <v>210</v>
      </c>
      <c r="N36" s="2" t="s">
        <v>211</v>
      </c>
      <c r="P36" s="364">
        <v>1.6666666666666667</v>
      </c>
      <c r="Q36" s="367" t="str">
        <f t="shared" si="1"/>
        <v/>
      </c>
      <c r="R36" s="433" t="str">
        <f>_xlfn.IFNA(VLOOKUP(L36,'Röda dagar'!$A$5:$G$137,7,FALSE),"")</f>
        <v>08:00</v>
      </c>
      <c r="S36" s="426">
        <f t="shared" si="2"/>
        <v>0.33333333333333331</v>
      </c>
      <c r="T36" s="2"/>
      <c r="U36" s="2"/>
      <c r="V36" s="2"/>
      <c r="W36" s="358"/>
    </row>
    <row r="37" spans="1:24" x14ac:dyDescent="0.25">
      <c r="A37" s="87"/>
      <c r="B37" s="87"/>
      <c r="C37" s="454"/>
      <c r="L37" s="363">
        <f t="shared" si="0"/>
        <v>1078</v>
      </c>
      <c r="M37" s="2" t="s">
        <v>212</v>
      </c>
      <c r="N37" s="2" t="s">
        <v>213</v>
      </c>
      <c r="P37" s="364">
        <v>1.6666666666666667</v>
      </c>
      <c r="Q37" s="367" t="str">
        <f t="shared" si="1"/>
        <v/>
      </c>
      <c r="R37" s="434" t="str">
        <f>_xlfn.IFNA(VLOOKUP(L37,'Röda dagar'!$A$5:$G$137,7,FALSE),"")</f>
        <v>07:45</v>
      </c>
      <c r="S37" s="426">
        <f t="shared" si="2"/>
        <v>0.32291666666666669</v>
      </c>
      <c r="T37" s="2"/>
      <c r="U37" s="2"/>
      <c r="V37" s="2"/>
      <c r="W37" s="358"/>
      <c r="X37" s="385"/>
    </row>
    <row r="38" spans="1:24" x14ac:dyDescent="0.25">
      <c r="A38" s="87"/>
      <c r="B38" s="87"/>
      <c r="C38" s="72"/>
      <c r="L38" s="363">
        <f t="shared" si="0"/>
        <v>1079</v>
      </c>
      <c r="M38" s="2" t="s">
        <v>214</v>
      </c>
      <c r="N38" s="2" t="s">
        <v>215</v>
      </c>
      <c r="P38" s="364">
        <v>1.6666666666666667</v>
      </c>
      <c r="Q38" s="367" t="str">
        <f t="shared" si="1"/>
        <v/>
      </c>
      <c r="R38" s="433" t="str">
        <f>_xlfn.IFNA(VLOOKUP(L38,'Röda dagar'!$A$5:$G$137,7,FALSE),"")</f>
        <v>07:45</v>
      </c>
      <c r="S38" s="426">
        <f t="shared" si="2"/>
        <v>0.32291666666666669</v>
      </c>
      <c r="T38" s="2"/>
      <c r="U38" s="2"/>
      <c r="V38" s="2"/>
      <c r="W38" s="358"/>
    </row>
    <row r="39" spans="1:24" x14ac:dyDescent="0.25">
      <c r="A39" s="87"/>
      <c r="B39" s="87"/>
      <c r="C39" s="454"/>
      <c r="L39" s="363">
        <f t="shared" si="0"/>
        <v>1080</v>
      </c>
      <c r="M39" s="2" t="s">
        <v>216</v>
      </c>
      <c r="N39" s="2" t="s">
        <v>217</v>
      </c>
      <c r="P39" s="364">
        <v>1.6666666666666667</v>
      </c>
      <c r="Q39" s="367" t="str">
        <f t="shared" si="1"/>
        <v/>
      </c>
      <c r="R39" s="433" t="str">
        <f>_xlfn.IFNA(VLOOKUP(L39,'Röda dagar'!$A$5:$G$137,7,FALSE),"")</f>
        <v>08:00</v>
      </c>
      <c r="S39" s="426">
        <f t="shared" si="2"/>
        <v>0.33333333333333331</v>
      </c>
      <c r="T39" s="2"/>
      <c r="U39" s="2"/>
      <c r="V39" s="2"/>
      <c r="W39" s="358"/>
    </row>
    <row r="40" spans="1:24" ht="15" x14ac:dyDescent="0.25">
      <c r="A40" s="87"/>
      <c r="B40" s="87"/>
      <c r="C40" s="71"/>
      <c r="L40" s="363">
        <f t="shared" si="0"/>
        <v>1081</v>
      </c>
      <c r="M40" s="2" t="s">
        <v>218</v>
      </c>
      <c r="N40" s="2" t="s">
        <v>219</v>
      </c>
      <c r="P40" s="364">
        <v>1.6666666666666667</v>
      </c>
      <c r="Q40" s="367" t="str">
        <f t="shared" si="1"/>
        <v/>
      </c>
      <c r="R40" s="433" t="str">
        <f>_xlfn.IFNA(VLOOKUP(L40,'Röda dagar'!$A$5:$G$137,7,FALSE),"")</f>
        <v>08:00</v>
      </c>
      <c r="S40" s="426">
        <f t="shared" si="2"/>
        <v>0.33333333333333331</v>
      </c>
      <c r="T40" s="2"/>
      <c r="U40" s="2"/>
      <c r="V40" s="2"/>
      <c r="W40" s="358"/>
    </row>
    <row r="41" spans="1:24" ht="15" x14ac:dyDescent="0.25">
      <c r="A41" s="87"/>
      <c r="B41" s="87"/>
      <c r="C41" s="71"/>
      <c r="L41" s="363">
        <f t="shared" si="0"/>
        <v>1083</v>
      </c>
      <c r="M41" s="2" t="s">
        <v>220</v>
      </c>
      <c r="N41" s="2" t="s">
        <v>221</v>
      </c>
      <c r="P41" s="364">
        <v>1.6666666666666667</v>
      </c>
      <c r="Q41" s="367" t="str">
        <f t="shared" si="1"/>
        <v/>
      </c>
      <c r="R41" s="433" t="str">
        <f>_xlfn.IFNA(VLOOKUP(L41,'Röda dagar'!$A$5:$G$137,7,FALSE),"")</f>
        <v>08:00</v>
      </c>
      <c r="S41" s="426">
        <f t="shared" si="2"/>
        <v>0.33333333333333331</v>
      </c>
      <c r="T41" s="2"/>
      <c r="U41" s="2"/>
      <c r="V41" s="2"/>
      <c r="W41" s="358"/>
    </row>
    <row r="42" spans="1:24" x14ac:dyDescent="0.25">
      <c r="C42" s="454"/>
      <c r="L42" s="363">
        <f t="shared" si="0"/>
        <v>1085</v>
      </c>
      <c r="M42" s="2" t="s">
        <v>222</v>
      </c>
      <c r="N42" s="2" t="s">
        <v>223</v>
      </c>
      <c r="P42" s="364">
        <v>1.6666666666666667</v>
      </c>
      <c r="Q42" s="367" t="str">
        <f t="shared" si="1"/>
        <v/>
      </c>
      <c r="R42" s="433" t="str">
        <f>_xlfn.IFNA(VLOOKUP(L42,'Röda dagar'!$A$5:$G$137,7,FALSE),"")</f>
        <v>08:00</v>
      </c>
      <c r="S42" s="426">
        <f t="shared" si="2"/>
        <v>0.33333333333333331</v>
      </c>
      <c r="T42" s="2"/>
      <c r="U42" s="2"/>
      <c r="V42" s="2"/>
      <c r="W42" s="358"/>
    </row>
    <row r="43" spans="1:24" x14ac:dyDescent="0.25">
      <c r="C43" s="454"/>
      <c r="L43" s="363">
        <f t="shared" si="0"/>
        <v>1086</v>
      </c>
      <c r="M43" s="2" t="s">
        <v>224</v>
      </c>
      <c r="N43" s="2" t="s">
        <v>225</v>
      </c>
      <c r="P43" s="364">
        <v>1.6666666666666667</v>
      </c>
      <c r="Q43" s="367" t="str">
        <f t="shared" si="1"/>
        <v/>
      </c>
      <c r="R43" s="433" t="str">
        <f>_xlfn.IFNA(VLOOKUP(L43,'Röda dagar'!$A$5:$G$137,7,FALSE),"")</f>
        <v>08:00</v>
      </c>
      <c r="S43" s="426">
        <f t="shared" si="2"/>
        <v>0.33333333333333331</v>
      </c>
      <c r="T43" s="2"/>
      <c r="U43" s="2"/>
      <c r="V43" s="2"/>
      <c r="W43" s="358"/>
    </row>
    <row r="44" spans="1:24" x14ac:dyDescent="0.25">
      <c r="C44" s="454"/>
      <c r="L44" s="363">
        <f t="shared" si="0"/>
        <v>1088</v>
      </c>
      <c r="M44" s="2" t="s">
        <v>226</v>
      </c>
      <c r="N44" s="2" t="s">
        <v>227</v>
      </c>
      <c r="P44" s="364">
        <v>1.6666666666666667</v>
      </c>
      <c r="Q44" s="367" t="str">
        <f t="shared" si="1"/>
        <v/>
      </c>
      <c r="R44" s="433" t="str">
        <f>_xlfn.IFNA(VLOOKUP(L44,'Röda dagar'!$A$5:$G$137,7,FALSE),"")</f>
        <v>08:00</v>
      </c>
      <c r="S44" s="426">
        <f t="shared" si="2"/>
        <v>0.33333333333333331</v>
      </c>
      <c r="T44" s="2"/>
      <c r="U44" s="2"/>
      <c r="V44" s="2"/>
      <c r="W44" s="358"/>
    </row>
    <row r="45" spans="1:24" x14ac:dyDescent="0.25">
      <c r="C45" s="454"/>
      <c r="L45" s="363">
        <f t="shared" si="0"/>
        <v>1091</v>
      </c>
      <c r="M45" s="2" t="s">
        <v>228</v>
      </c>
      <c r="N45" s="2" t="s">
        <v>229</v>
      </c>
      <c r="P45" s="364">
        <v>1.6666666666666667</v>
      </c>
      <c r="Q45" s="367" t="str">
        <f t="shared" si="1"/>
        <v/>
      </c>
      <c r="R45" s="433" t="str">
        <f>_xlfn.IFNA(VLOOKUP(L45,'Röda dagar'!$A$5:$G$137,7,FALSE),"")</f>
        <v>07:45</v>
      </c>
      <c r="S45" s="426">
        <f t="shared" si="2"/>
        <v>0.32291666666666669</v>
      </c>
      <c r="T45" s="2"/>
      <c r="U45" s="2"/>
      <c r="V45" s="2"/>
      <c r="W45" s="358"/>
    </row>
    <row r="46" spans="1:24" x14ac:dyDescent="0.25">
      <c r="C46" s="454"/>
      <c r="L46" s="363">
        <f t="shared" si="0"/>
        <v>1093</v>
      </c>
      <c r="M46" s="2" t="s">
        <v>230</v>
      </c>
      <c r="N46" s="2" t="s">
        <v>231</v>
      </c>
      <c r="P46" s="364">
        <v>1.6666666666666667</v>
      </c>
      <c r="Q46" s="367" t="str">
        <f t="shared" si="1"/>
        <v/>
      </c>
      <c r="R46" s="433" t="str">
        <f>_xlfn.IFNA(VLOOKUP(L46,'Röda dagar'!$A$5:$G$137,7,FALSE),"")</f>
        <v>07:15</v>
      </c>
      <c r="S46" s="426">
        <f t="shared" si="2"/>
        <v>0.30208333333333331</v>
      </c>
      <c r="T46" s="2"/>
      <c r="U46" s="2"/>
      <c r="V46" s="2"/>
      <c r="W46" s="358"/>
    </row>
    <row r="47" spans="1:24" x14ac:dyDescent="0.25">
      <c r="C47" s="454"/>
      <c r="L47" s="363">
        <f t="shared" si="0"/>
        <v>1097</v>
      </c>
      <c r="M47" s="2" t="s">
        <v>232</v>
      </c>
      <c r="N47" s="2" t="s">
        <v>233</v>
      </c>
      <c r="P47" s="364">
        <v>1.6666666666666667</v>
      </c>
      <c r="Q47" s="367" t="str">
        <f t="shared" si="1"/>
        <v/>
      </c>
      <c r="R47" s="433" t="str">
        <f>_xlfn.IFNA(VLOOKUP(L47,'Röda dagar'!$A$5:$G$137,7,FALSE),"")</f>
        <v>08:00</v>
      </c>
      <c r="S47" s="426">
        <f t="shared" si="2"/>
        <v>0.33333333333333331</v>
      </c>
      <c r="T47" s="2"/>
      <c r="U47" s="2"/>
      <c r="V47" s="2"/>
      <c r="W47" s="358"/>
    </row>
    <row r="48" spans="1:24" x14ac:dyDescent="0.25">
      <c r="C48" s="454"/>
      <c r="L48" s="363">
        <f t="shared" si="0"/>
        <v>1100</v>
      </c>
      <c r="M48" s="2" t="s">
        <v>234</v>
      </c>
      <c r="N48" s="2" t="s">
        <v>235</v>
      </c>
      <c r="P48" s="364">
        <v>1.6666666666666667</v>
      </c>
      <c r="Q48" s="367" t="str">
        <f t="shared" si="1"/>
        <v/>
      </c>
      <c r="R48" s="434" t="str">
        <f>_xlfn.IFNA(VLOOKUP(L48,'Röda dagar'!$A$5:$G$137,7,FALSE),"")</f>
        <v>01:00</v>
      </c>
      <c r="S48" s="426">
        <f t="shared" si="2"/>
        <v>4.1666666666666664E-2</v>
      </c>
      <c r="T48" s="2"/>
      <c r="U48" s="2"/>
      <c r="V48" s="2"/>
      <c r="W48" s="358"/>
      <c r="X48" s="385"/>
    </row>
    <row r="49" spans="12:23" x14ac:dyDescent="0.25">
      <c r="L49" s="363">
        <f t="shared" si="0"/>
        <v>1111</v>
      </c>
      <c r="M49" s="2" t="s">
        <v>236</v>
      </c>
      <c r="N49" s="2" t="s">
        <v>237</v>
      </c>
      <c r="P49" s="364">
        <v>1.6666666666666667</v>
      </c>
      <c r="Q49" s="367" t="str">
        <f t="shared" si="1"/>
        <v/>
      </c>
      <c r="R49" s="433" t="str">
        <f>_xlfn.IFNA(VLOOKUP(L49,'Röda dagar'!$A$5:$G$137,7,FALSE),"")</f>
        <v>08:00</v>
      </c>
      <c r="S49" s="426">
        <f t="shared" si="2"/>
        <v>0.33333333333333331</v>
      </c>
      <c r="T49" s="2"/>
      <c r="U49" s="2"/>
      <c r="V49" s="2"/>
      <c r="W49" s="358"/>
    </row>
    <row r="50" spans="12:23" x14ac:dyDescent="0.25">
      <c r="L50" s="363">
        <f t="shared" si="0"/>
        <v>1112</v>
      </c>
      <c r="M50" s="2" t="s">
        <v>238</v>
      </c>
      <c r="N50" s="2" t="s">
        <v>239</v>
      </c>
      <c r="P50" s="364">
        <v>1.6666666666666667</v>
      </c>
      <c r="Q50" s="367" t="str">
        <f t="shared" si="1"/>
        <v/>
      </c>
      <c r="R50" s="433" t="str">
        <f>_xlfn.IFNA(VLOOKUP(L50,'Röda dagar'!$A$5:$G$137,7,FALSE),"")</f>
        <v>08:00</v>
      </c>
      <c r="S50" s="426">
        <f t="shared" si="2"/>
        <v>0.33333333333333331</v>
      </c>
      <c r="T50" s="2"/>
      <c r="U50" s="2"/>
      <c r="V50" s="2"/>
      <c r="W50" s="358"/>
    </row>
    <row r="51" spans="12:23" x14ac:dyDescent="0.25">
      <c r="L51" s="363">
        <f t="shared" si="0"/>
        <v>1113</v>
      </c>
      <c r="M51" s="2" t="s">
        <v>240</v>
      </c>
      <c r="N51" s="2" t="s">
        <v>241</v>
      </c>
      <c r="P51" s="364">
        <v>1.6666666666666667</v>
      </c>
      <c r="Q51" s="367" t="str">
        <f t="shared" si="1"/>
        <v/>
      </c>
      <c r="R51" s="433" t="str">
        <f>_xlfn.IFNA(VLOOKUP(L51,'Röda dagar'!$A$5:$G$137,7,FALSE),"")</f>
        <v>08:00</v>
      </c>
      <c r="S51" s="426">
        <f t="shared" si="2"/>
        <v>0.33333333333333331</v>
      </c>
      <c r="T51" s="2"/>
      <c r="U51" s="2"/>
      <c r="V51" s="2"/>
      <c r="W51" s="358"/>
    </row>
    <row r="52" spans="12:23" x14ac:dyDescent="0.25">
      <c r="L52" s="363">
        <f t="shared" si="0"/>
        <v>1114</v>
      </c>
      <c r="M52" s="2" t="s">
        <v>242</v>
      </c>
      <c r="N52" s="2" t="s">
        <v>243</v>
      </c>
      <c r="P52" s="364">
        <v>1.6666666666666667</v>
      </c>
      <c r="Q52" s="367" t="str">
        <f t="shared" si="1"/>
        <v/>
      </c>
      <c r="R52" s="433" t="str">
        <f>_xlfn.IFNA(VLOOKUP(L52,'Röda dagar'!$A$5:$G$137,7,FALSE),"")</f>
        <v>08:00</v>
      </c>
      <c r="S52" s="426">
        <f t="shared" si="2"/>
        <v>0.33333333333333331</v>
      </c>
      <c r="T52" s="2"/>
      <c r="U52" s="2"/>
      <c r="V52" s="2"/>
      <c r="W52" s="358"/>
    </row>
    <row r="53" spans="12:23" x14ac:dyDescent="0.25">
      <c r="L53" s="363">
        <f t="shared" si="0"/>
        <v>1117</v>
      </c>
      <c r="M53" s="2" t="s">
        <v>244</v>
      </c>
      <c r="N53" s="2" t="s">
        <v>245</v>
      </c>
      <c r="P53" s="364">
        <v>1.6666666666666667</v>
      </c>
      <c r="Q53" s="367" t="str">
        <f t="shared" si="1"/>
        <v/>
      </c>
      <c r="R53" s="433" t="str">
        <f>_xlfn.IFNA(VLOOKUP(L53,'Röda dagar'!$A$5:$G$137,7,FALSE),"")</f>
        <v>08:00</v>
      </c>
      <c r="S53" s="426">
        <f t="shared" si="2"/>
        <v>0.33333333333333331</v>
      </c>
      <c r="T53" s="2"/>
      <c r="U53" s="2"/>
      <c r="V53" s="2"/>
      <c r="W53" s="358"/>
    </row>
    <row r="54" spans="12:23" x14ac:dyDescent="0.25">
      <c r="L54" s="363">
        <f t="shared" si="0"/>
        <v>1119</v>
      </c>
      <c r="M54" s="2" t="s">
        <v>246</v>
      </c>
      <c r="N54" s="2" t="s">
        <v>247</v>
      </c>
      <c r="P54" s="364">
        <v>1.6666666666666667</v>
      </c>
      <c r="Q54" s="367" t="str">
        <f t="shared" si="1"/>
        <v/>
      </c>
      <c r="R54" s="433" t="str">
        <f>_xlfn.IFNA(VLOOKUP(L54,'Röda dagar'!$A$5:$G$137,7,FALSE),"")</f>
        <v>08:00</v>
      </c>
      <c r="S54" s="426">
        <f t="shared" si="2"/>
        <v>0.33333333333333331</v>
      </c>
      <c r="T54" s="2"/>
      <c r="U54" s="2"/>
      <c r="V54" s="2"/>
      <c r="W54" s="358"/>
    </row>
    <row r="55" spans="12:23" x14ac:dyDescent="0.25">
      <c r="L55" s="363">
        <f t="shared" si="0"/>
        <v>1121</v>
      </c>
      <c r="M55" s="2" t="s">
        <v>248</v>
      </c>
      <c r="N55" s="2" t="s">
        <v>249</v>
      </c>
      <c r="P55" s="364">
        <v>1.6666666666666667</v>
      </c>
      <c r="Q55" s="367" t="str">
        <f t="shared" si="1"/>
        <v/>
      </c>
      <c r="R55" s="433" t="str">
        <f>_xlfn.IFNA(VLOOKUP(L55,'Röda dagar'!$A$5:$G$137,7,FALSE),"")</f>
        <v>08:00</v>
      </c>
      <c r="S55" s="426">
        <f t="shared" si="2"/>
        <v>0.33333333333333331</v>
      </c>
      <c r="T55" s="2"/>
      <c r="U55" s="2"/>
      <c r="V55" s="2"/>
      <c r="W55" s="358"/>
    </row>
    <row r="56" spans="12:23" x14ac:dyDescent="0.25">
      <c r="L56" s="363">
        <f t="shared" si="0"/>
        <v>1125</v>
      </c>
      <c r="M56" s="2" t="s">
        <v>250</v>
      </c>
      <c r="N56" s="2" t="s">
        <v>251</v>
      </c>
      <c r="P56" s="364">
        <v>1.6666666666666667</v>
      </c>
      <c r="Q56" s="367" t="str">
        <f t="shared" si="1"/>
        <v/>
      </c>
      <c r="R56" s="433" t="str">
        <f>_xlfn.IFNA(VLOOKUP(L56,'Röda dagar'!$A$5:$G$137,7,FALSE),"")</f>
        <v>08:00</v>
      </c>
      <c r="S56" s="426">
        <f t="shared" si="2"/>
        <v>0.33333333333333331</v>
      </c>
      <c r="T56" s="2"/>
      <c r="U56" s="2"/>
      <c r="V56" s="2"/>
      <c r="W56" s="358"/>
    </row>
    <row r="57" spans="12:23" x14ac:dyDescent="0.25">
      <c r="L57" s="363">
        <f t="shared" si="0"/>
        <v>1128</v>
      </c>
      <c r="M57" s="2" t="s">
        <v>252</v>
      </c>
      <c r="N57" s="2" t="s">
        <v>253</v>
      </c>
      <c r="P57" s="364">
        <v>1.6666666666666667</v>
      </c>
      <c r="Q57" s="367" t="str">
        <f t="shared" si="1"/>
        <v/>
      </c>
      <c r="R57" s="433" t="str">
        <f>_xlfn.IFNA(VLOOKUP(L57,'Röda dagar'!$A$5:$G$137,7,FALSE),"")</f>
        <v>08:00</v>
      </c>
      <c r="S57" s="426">
        <f t="shared" si="2"/>
        <v>0.33333333333333331</v>
      </c>
      <c r="T57" s="2"/>
      <c r="U57" s="2"/>
      <c r="V57" s="2"/>
      <c r="W57" s="358"/>
    </row>
    <row r="58" spans="12:23" x14ac:dyDescent="0.25">
      <c r="L58" s="363">
        <f t="shared" si="0"/>
        <v>1130</v>
      </c>
      <c r="M58" s="2" t="s">
        <v>254</v>
      </c>
      <c r="N58" s="2" t="s">
        <v>255</v>
      </c>
      <c r="P58" s="364">
        <v>1.6666666666666667</v>
      </c>
      <c r="Q58" s="367" t="str">
        <f t="shared" si="1"/>
        <v/>
      </c>
      <c r="R58" s="433" t="str">
        <f>_xlfn.IFNA(VLOOKUP(L58,'Röda dagar'!$A$5:$G$137,7,FALSE),"")</f>
        <v>08:00</v>
      </c>
      <c r="S58" s="426">
        <f t="shared" si="2"/>
        <v>0.33333333333333331</v>
      </c>
      <c r="T58" s="2"/>
      <c r="U58" s="2"/>
      <c r="V58" s="2"/>
      <c r="W58" s="358"/>
    </row>
    <row r="59" spans="12:23" x14ac:dyDescent="0.25">
      <c r="L59" s="363">
        <f t="shared" si="0"/>
        <v>1132</v>
      </c>
      <c r="M59" s="2" t="s">
        <v>256</v>
      </c>
      <c r="N59" s="2" t="s">
        <v>257</v>
      </c>
      <c r="P59" s="364">
        <v>1.6666666666666667</v>
      </c>
      <c r="Q59" s="367" t="str">
        <f t="shared" si="1"/>
        <v/>
      </c>
      <c r="R59" s="433" t="str">
        <f>_xlfn.IFNA(VLOOKUP(L59,'Röda dagar'!$A$5:$G$137,7,FALSE),"")</f>
        <v>08:00</v>
      </c>
      <c r="S59" s="426">
        <f t="shared" si="2"/>
        <v>0.33333333333333331</v>
      </c>
      <c r="T59" s="2"/>
      <c r="U59" s="2"/>
      <c r="V59" s="2"/>
      <c r="W59" s="358"/>
    </row>
    <row r="60" spans="12:23" x14ac:dyDescent="0.25">
      <c r="L60" s="363">
        <f t="shared" si="0"/>
        <v>1142</v>
      </c>
      <c r="M60" s="2" t="s">
        <v>258</v>
      </c>
      <c r="N60" s="2" t="s">
        <v>259</v>
      </c>
      <c r="P60" s="364">
        <v>1.6666666666666667</v>
      </c>
      <c r="Q60" s="367" t="str">
        <f t="shared" si="1"/>
        <v>Utesäljare</v>
      </c>
      <c r="R60" s="433" t="str">
        <f>_xlfn.IFNA(VLOOKUP(L60,'Röda dagar'!$A$5:$G$137,7,FALSE),"")</f>
        <v>08:00</v>
      </c>
      <c r="S60" s="426">
        <f t="shared" si="2"/>
        <v>0.33333333333333331</v>
      </c>
      <c r="T60" s="2"/>
      <c r="U60" s="2"/>
      <c r="V60" s="2"/>
      <c r="W60" s="358"/>
    </row>
    <row r="61" spans="12:23" x14ac:dyDescent="0.25">
      <c r="L61" s="363">
        <f t="shared" si="0"/>
        <v>1143</v>
      </c>
      <c r="M61" s="2" t="s">
        <v>260</v>
      </c>
      <c r="N61" s="2" t="s">
        <v>261</v>
      </c>
      <c r="P61" s="364">
        <v>1.6666666666666667</v>
      </c>
      <c r="Q61" s="367" t="str">
        <f t="shared" si="1"/>
        <v/>
      </c>
      <c r="R61" s="433" t="str">
        <f>_xlfn.IFNA(VLOOKUP(L61,'Röda dagar'!$A$5:$G$137,7,FALSE),"")</f>
        <v>07:45</v>
      </c>
      <c r="S61" s="426">
        <f t="shared" si="2"/>
        <v>0.32291666666666669</v>
      </c>
      <c r="T61" s="2"/>
      <c r="U61" s="2"/>
      <c r="V61" s="2"/>
      <c r="W61" s="358"/>
    </row>
    <row r="62" spans="12:23" x14ac:dyDescent="0.25">
      <c r="L62" s="363">
        <f t="shared" si="0"/>
        <v>1145</v>
      </c>
      <c r="M62" s="2" t="s">
        <v>262</v>
      </c>
      <c r="N62" s="2" t="s">
        <v>263</v>
      </c>
      <c r="P62" s="364">
        <v>1.6666666666666667</v>
      </c>
      <c r="Q62" s="367" t="str">
        <f t="shared" si="1"/>
        <v/>
      </c>
      <c r="R62" s="433" t="str">
        <f>_xlfn.IFNA(VLOOKUP(L62,'Röda dagar'!$A$5:$G$137,7,FALSE),"")</f>
        <v>07:45</v>
      </c>
      <c r="S62" s="426">
        <f t="shared" si="2"/>
        <v>0.32291666666666669</v>
      </c>
      <c r="T62" s="2"/>
      <c r="U62" s="2"/>
      <c r="V62" s="2"/>
      <c r="W62" s="358"/>
    </row>
    <row r="63" spans="12:23" x14ac:dyDescent="0.25">
      <c r="L63" s="363">
        <f t="shared" si="0"/>
        <v>1146</v>
      </c>
      <c r="M63" s="2" t="s">
        <v>264</v>
      </c>
      <c r="N63" s="2" t="s">
        <v>265</v>
      </c>
      <c r="P63" s="364">
        <v>1.6666666666666667</v>
      </c>
      <c r="Q63" s="367" t="str">
        <f t="shared" si="1"/>
        <v/>
      </c>
      <c r="R63" s="433" t="str">
        <f>_xlfn.IFNA(VLOOKUP(L63,'Röda dagar'!$A$5:$G$137,7,FALSE),"")</f>
        <v>08:00</v>
      </c>
      <c r="S63" s="426">
        <f t="shared" si="2"/>
        <v>0.33333333333333331</v>
      </c>
      <c r="T63" s="2"/>
      <c r="U63" s="2"/>
      <c r="V63" s="2"/>
      <c r="W63" s="358"/>
    </row>
    <row r="64" spans="12:23" x14ac:dyDescent="0.25">
      <c r="L64" s="363">
        <f t="shared" si="0"/>
        <v>1148</v>
      </c>
      <c r="M64" s="2" t="s">
        <v>266</v>
      </c>
      <c r="N64" s="2" t="s">
        <v>267</v>
      </c>
      <c r="P64" s="364">
        <v>1.6666666666666667</v>
      </c>
      <c r="Q64" s="367" t="str">
        <f t="shared" si="1"/>
        <v/>
      </c>
      <c r="R64" s="433" t="str">
        <f>_xlfn.IFNA(VLOOKUP(L64,'Röda dagar'!$A$5:$G$137,7,FALSE),"")</f>
        <v>08:00</v>
      </c>
      <c r="S64" s="426">
        <f t="shared" si="2"/>
        <v>0.33333333333333331</v>
      </c>
      <c r="T64" s="2"/>
      <c r="U64" s="2"/>
      <c r="V64" s="2"/>
      <c r="W64" s="358"/>
    </row>
    <row r="65" spans="12:24" x14ac:dyDescent="0.25">
      <c r="L65" s="363">
        <f t="shared" si="0"/>
        <v>1149</v>
      </c>
      <c r="M65" s="2" t="s">
        <v>268</v>
      </c>
      <c r="N65" s="2" t="s">
        <v>269</v>
      </c>
      <c r="P65" s="364">
        <v>1.3333333333333333</v>
      </c>
      <c r="Q65" s="367" t="str">
        <f t="shared" si="1"/>
        <v/>
      </c>
      <c r="R65" s="433" t="str">
        <f>_xlfn.IFNA(VLOOKUP(L65,'Röda dagar'!$A$5:$G$137,7,FALSE),"")</f>
        <v>08:00</v>
      </c>
      <c r="S65" s="426">
        <f t="shared" si="2"/>
        <v>0.33333333333333331</v>
      </c>
      <c r="T65" s="361">
        <v>5</v>
      </c>
      <c r="U65" s="2"/>
      <c r="V65" s="2"/>
      <c r="W65" s="358"/>
    </row>
    <row r="66" spans="12:24" x14ac:dyDescent="0.25">
      <c r="L66" s="363">
        <f t="shared" si="0"/>
        <v>1150</v>
      </c>
      <c r="M66" s="2" t="s">
        <v>270</v>
      </c>
      <c r="N66" s="2" t="s">
        <v>271</v>
      </c>
      <c r="P66" s="364">
        <v>1.6666666666666667</v>
      </c>
      <c r="Q66" s="367" t="str">
        <f t="shared" si="1"/>
        <v/>
      </c>
      <c r="R66" s="433" t="str">
        <f>_xlfn.IFNA(VLOOKUP(L66,'Röda dagar'!$A$5:$G$137,7,FALSE),"")</f>
        <v>07:45</v>
      </c>
      <c r="S66" s="426">
        <f t="shared" si="2"/>
        <v>0.32291666666666669</v>
      </c>
      <c r="T66" s="2"/>
      <c r="U66" s="2"/>
      <c r="V66" s="2"/>
      <c r="W66" s="358"/>
    </row>
    <row r="67" spans="12:24" x14ac:dyDescent="0.25">
      <c r="L67" s="399">
        <f t="shared" ref="L67:L103" si="3">M67*1</f>
        <v>1152</v>
      </c>
      <c r="M67" s="400" t="s">
        <v>272</v>
      </c>
      <c r="N67" s="400" t="s">
        <v>273</v>
      </c>
      <c r="O67" s="400"/>
      <c r="P67" s="401">
        <v>1.6666666666666667</v>
      </c>
      <c r="Q67" s="402" t="str">
        <f t="shared" ref="Q67:Q103" si="4">IF(OR(L67=1142,L67=1199,L67=1202,L67=1223),"Utesäljare","")</f>
        <v/>
      </c>
      <c r="R67" s="433" t="str">
        <f>_xlfn.IFNA(VLOOKUP(L67,'Röda dagar'!$A$5:$G$137,7,FALSE),"")</f>
        <v/>
      </c>
      <c r="S67" s="426" t="str">
        <f t="shared" si="2"/>
        <v/>
      </c>
      <c r="T67" s="2"/>
      <c r="U67" s="2"/>
      <c r="V67" s="2"/>
      <c r="W67" s="358"/>
    </row>
    <row r="68" spans="12:24" x14ac:dyDescent="0.25">
      <c r="L68" s="363">
        <f t="shared" si="3"/>
        <v>1153</v>
      </c>
      <c r="M68" s="2" t="s">
        <v>274</v>
      </c>
      <c r="N68" s="2" t="s">
        <v>275</v>
      </c>
      <c r="P68" s="364">
        <v>1.6666666666666667</v>
      </c>
      <c r="Q68" s="367" t="str">
        <f t="shared" si="4"/>
        <v/>
      </c>
      <c r="R68" s="433" t="str">
        <f>_xlfn.IFNA(VLOOKUP(L68,'Röda dagar'!$A$5:$G$137,7,FALSE),"")</f>
        <v>07:15</v>
      </c>
      <c r="S68" s="426">
        <f t="shared" si="2"/>
        <v>0.30208333333333331</v>
      </c>
      <c r="T68" s="2"/>
      <c r="U68" s="2"/>
      <c r="V68" s="2"/>
      <c r="W68" s="358"/>
    </row>
    <row r="69" spans="12:24" x14ac:dyDescent="0.25">
      <c r="L69" s="399">
        <f t="shared" si="3"/>
        <v>1155</v>
      </c>
      <c r="M69" s="400" t="s">
        <v>276</v>
      </c>
      <c r="N69" s="400" t="s">
        <v>277</v>
      </c>
      <c r="O69" s="400"/>
      <c r="P69" s="401"/>
      <c r="Q69" s="402" t="str">
        <f t="shared" si="4"/>
        <v/>
      </c>
      <c r="R69" s="433" t="str">
        <f>_xlfn.IFNA(VLOOKUP(L69,'Röda dagar'!$A$5:$G$137,7,FALSE),"")</f>
        <v/>
      </c>
      <c r="S69" s="426" t="str">
        <f t="shared" ref="S69:S132" si="5">IF(R69="","",TIME(HOUR(R69),IF(MINUTE(R69)&lt;8,0,IF(MINUTE(R69)&lt;23,15,IF(MINUTE(R69)&lt;38,30,IF(MINUTE(R69)&lt;53,45,0)))),0))</f>
        <v/>
      </c>
      <c r="T69" s="2"/>
      <c r="U69" s="2"/>
      <c r="V69" s="2"/>
      <c r="W69" s="358"/>
    </row>
    <row r="70" spans="12:24" x14ac:dyDescent="0.25">
      <c r="L70" s="363">
        <f t="shared" si="3"/>
        <v>1156</v>
      </c>
      <c r="M70" s="2" t="s">
        <v>278</v>
      </c>
      <c r="N70" s="2" t="s">
        <v>279</v>
      </c>
      <c r="P70" s="364">
        <v>0.33333333333333331</v>
      </c>
      <c r="Q70" s="367" t="str">
        <f t="shared" si="4"/>
        <v/>
      </c>
      <c r="R70" s="433" t="str">
        <f>_xlfn.IFNA(VLOOKUP(L70,'Röda dagar'!$A$5:$G$137,7,FALSE),"")</f>
        <v>04:00</v>
      </c>
      <c r="S70" s="426">
        <f t="shared" si="5"/>
        <v>0.16666666666666666</v>
      </c>
      <c r="T70" s="2">
        <v>1</v>
      </c>
      <c r="U70" s="2">
        <v>3</v>
      </c>
      <c r="V70" s="2">
        <v>4</v>
      </c>
      <c r="W70" s="358"/>
    </row>
    <row r="71" spans="12:24" x14ac:dyDescent="0.25">
      <c r="L71" s="363">
        <f t="shared" si="3"/>
        <v>1164</v>
      </c>
      <c r="M71" s="2" t="s">
        <v>280</v>
      </c>
      <c r="N71" s="2" t="s">
        <v>281</v>
      </c>
      <c r="P71" s="364">
        <v>1.25</v>
      </c>
      <c r="Q71" s="367" t="str">
        <f t="shared" si="4"/>
        <v/>
      </c>
      <c r="R71" s="434" t="str">
        <f>_xlfn.IFNA(VLOOKUP(L71,'Röda dagar'!$A$5:$G$137,7,FALSE),"")</f>
        <v>05:00</v>
      </c>
      <c r="S71" s="426">
        <f t="shared" si="5"/>
        <v>0.20833333333333334</v>
      </c>
      <c r="T71" s="2"/>
      <c r="U71" s="2"/>
      <c r="V71" s="2"/>
      <c r="W71" s="358"/>
      <c r="X71" s="407"/>
    </row>
    <row r="72" spans="12:24" x14ac:dyDescent="0.25">
      <c r="L72" s="399">
        <f t="shared" si="3"/>
        <v>1165</v>
      </c>
      <c r="M72" s="400" t="s">
        <v>282</v>
      </c>
      <c r="N72" s="400" t="s">
        <v>283</v>
      </c>
      <c r="O72" s="400"/>
      <c r="P72" s="401">
        <v>1.6666666666666667</v>
      </c>
      <c r="Q72" s="402" t="str">
        <f t="shared" si="4"/>
        <v/>
      </c>
      <c r="R72" s="433" t="str">
        <f>_xlfn.IFNA(VLOOKUP(L72,'Röda dagar'!$A$5:$G$137,7,FALSE),"")</f>
        <v/>
      </c>
      <c r="S72" s="426" t="str">
        <f t="shared" si="5"/>
        <v/>
      </c>
      <c r="T72" s="2"/>
      <c r="U72" s="2"/>
      <c r="V72" s="2"/>
      <c r="W72" s="358"/>
    </row>
    <row r="73" spans="12:24" x14ac:dyDescent="0.25">
      <c r="L73" s="363">
        <f t="shared" si="3"/>
        <v>1171</v>
      </c>
      <c r="M73" s="2" t="s">
        <v>284</v>
      </c>
      <c r="N73" s="2" t="s">
        <v>285</v>
      </c>
      <c r="P73" s="364">
        <v>1.6666666666666667</v>
      </c>
      <c r="Q73" s="367" t="str">
        <f t="shared" si="4"/>
        <v/>
      </c>
      <c r="R73" s="433" t="str">
        <f>_xlfn.IFNA(VLOOKUP(L73,'Röda dagar'!$A$5:$G$137,7,FALSE),"")</f>
        <v>07:45</v>
      </c>
      <c r="S73" s="426">
        <f t="shared" si="5"/>
        <v>0.32291666666666669</v>
      </c>
      <c r="T73" s="2"/>
      <c r="U73" s="2"/>
      <c r="V73" s="2"/>
      <c r="W73" s="358"/>
    </row>
    <row r="74" spans="12:24" x14ac:dyDescent="0.25">
      <c r="L74" s="363">
        <f t="shared" si="3"/>
        <v>1173</v>
      </c>
      <c r="M74" s="2" t="s">
        <v>286</v>
      </c>
      <c r="N74" s="2" t="s">
        <v>287</v>
      </c>
      <c r="P74" s="364">
        <v>1.6666666666666667</v>
      </c>
      <c r="Q74" s="367" t="str">
        <f t="shared" si="4"/>
        <v/>
      </c>
      <c r="R74" s="433" t="str">
        <f>_xlfn.IFNA(VLOOKUP(L74,'Röda dagar'!$A$5:$G$137,7,FALSE),"")</f>
        <v>08:00</v>
      </c>
      <c r="S74" s="426">
        <f t="shared" si="5"/>
        <v>0.33333333333333331</v>
      </c>
      <c r="T74" s="2"/>
      <c r="U74" s="2"/>
      <c r="V74" s="2"/>
      <c r="W74" s="358"/>
    </row>
    <row r="75" spans="12:24" x14ac:dyDescent="0.25">
      <c r="L75" s="363">
        <f t="shared" si="3"/>
        <v>1177</v>
      </c>
      <c r="M75" s="2" t="s">
        <v>288</v>
      </c>
      <c r="N75" s="2" t="s">
        <v>289</v>
      </c>
      <c r="P75" s="364">
        <v>1.6666666666666667</v>
      </c>
      <c r="Q75" s="367" t="str">
        <f t="shared" si="4"/>
        <v/>
      </c>
      <c r="R75" s="433" t="str">
        <f>_xlfn.IFNA(VLOOKUP(L75,'Röda dagar'!$A$5:$G$137,7,FALSE),"")</f>
        <v>08:00</v>
      </c>
      <c r="S75" s="426">
        <f t="shared" si="5"/>
        <v>0.33333333333333331</v>
      </c>
      <c r="T75" s="2"/>
      <c r="U75" s="2"/>
      <c r="V75" s="2"/>
      <c r="W75" s="358"/>
    </row>
    <row r="76" spans="12:24" x14ac:dyDescent="0.25">
      <c r="L76" s="363">
        <f t="shared" si="3"/>
        <v>1178</v>
      </c>
      <c r="M76" s="2" t="s">
        <v>290</v>
      </c>
      <c r="N76" s="2" t="s">
        <v>291</v>
      </c>
      <c r="P76" s="364">
        <v>1.6666666666666667</v>
      </c>
      <c r="Q76" s="367" t="str">
        <f t="shared" si="4"/>
        <v/>
      </c>
      <c r="R76" s="433" t="str">
        <f>_xlfn.IFNA(VLOOKUP(L76,'Röda dagar'!$A$5:$G$137,7,FALSE),"")</f>
        <v>07:45</v>
      </c>
      <c r="S76" s="426">
        <f t="shared" si="5"/>
        <v>0.32291666666666669</v>
      </c>
      <c r="T76" s="2"/>
      <c r="U76" s="2"/>
      <c r="V76" s="2"/>
      <c r="W76" s="358"/>
    </row>
    <row r="77" spans="12:24" x14ac:dyDescent="0.25">
      <c r="L77" s="363">
        <f t="shared" si="3"/>
        <v>1179</v>
      </c>
      <c r="M77" s="2" t="s">
        <v>292</v>
      </c>
      <c r="N77" s="2" t="s">
        <v>293</v>
      </c>
      <c r="P77" s="364">
        <v>1.6666666666666667</v>
      </c>
      <c r="Q77" s="367" t="str">
        <f t="shared" si="4"/>
        <v/>
      </c>
      <c r="R77" s="433" t="str">
        <f>_xlfn.IFNA(VLOOKUP(L77,'Röda dagar'!$A$5:$G$137,7,FALSE),"")</f>
        <v>08:00</v>
      </c>
      <c r="S77" s="426">
        <f t="shared" si="5"/>
        <v>0.33333333333333331</v>
      </c>
      <c r="T77" s="2"/>
      <c r="U77" s="2"/>
      <c r="V77" s="2"/>
      <c r="W77" s="358"/>
    </row>
    <row r="78" spans="12:24" x14ac:dyDescent="0.25">
      <c r="L78" s="363">
        <f t="shared" si="3"/>
        <v>1180</v>
      </c>
      <c r="M78" s="2" t="s">
        <v>294</v>
      </c>
      <c r="N78" s="2" t="s">
        <v>295</v>
      </c>
      <c r="P78" s="364">
        <v>1.6666666666666667</v>
      </c>
      <c r="Q78" s="367" t="str">
        <f t="shared" si="4"/>
        <v/>
      </c>
      <c r="R78" s="433" t="str">
        <f>_xlfn.IFNA(VLOOKUP(L78,'Röda dagar'!$A$5:$G$137,7,FALSE),"")</f>
        <v>08:00</v>
      </c>
      <c r="S78" s="426">
        <f t="shared" si="5"/>
        <v>0.33333333333333331</v>
      </c>
      <c r="T78" s="2"/>
      <c r="U78" s="2"/>
      <c r="V78" s="2"/>
      <c r="W78" s="358"/>
    </row>
    <row r="79" spans="12:24" x14ac:dyDescent="0.25">
      <c r="L79" s="363">
        <f t="shared" si="3"/>
        <v>1181</v>
      </c>
      <c r="M79" s="2" t="s">
        <v>296</v>
      </c>
      <c r="N79" s="2" t="s">
        <v>297</v>
      </c>
      <c r="P79" s="364">
        <v>1.6666666666666667</v>
      </c>
      <c r="Q79" s="367" t="str">
        <f t="shared" si="4"/>
        <v/>
      </c>
      <c r="R79" s="433" t="str">
        <f>_xlfn.IFNA(VLOOKUP(L79,'Röda dagar'!$A$5:$G$137,7,FALSE),"")</f>
        <v>08:00</v>
      </c>
      <c r="S79" s="426">
        <f t="shared" si="5"/>
        <v>0.33333333333333331</v>
      </c>
      <c r="T79" s="2"/>
      <c r="U79" s="2"/>
      <c r="V79" s="2"/>
      <c r="W79" s="358"/>
    </row>
    <row r="80" spans="12:24" x14ac:dyDescent="0.25">
      <c r="L80" s="363">
        <f t="shared" si="3"/>
        <v>1188</v>
      </c>
      <c r="M80" s="2" t="s">
        <v>298</v>
      </c>
      <c r="N80" s="2" t="s">
        <v>299</v>
      </c>
      <c r="P80" s="364">
        <v>1.6666666666666667</v>
      </c>
      <c r="Q80" s="367" t="str">
        <f t="shared" si="4"/>
        <v/>
      </c>
      <c r="R80" s="433" t="str">
        <f>_xlfn.IFNA(VLOOKUP(L80,'Röda dagar'!$A$5:$G$137,7,FALSE),"")</f>
        <v>08:00</v>
      </c>
      <c r="S80" s="426">
        <f t="shared" si="5"/>
        <v>0.33333333333333331</v>
      </c>
      <c r="T80" s="2"/>
      <c r="U80" s="2"/>
      <c r="V80" s="2"/>
      <c r="W80" s="358"/>
    </row>
    <row r="81" spans="12:23" x14ac:dyDescent="0.25">
      <c r="L81" s="363">
        <f t="shared" si="3"/>
        <v>1190</v>
      </c>
      <c r="M81" s="2" t="s">
        <v>300</v>
      </c>
      <c r="N81" s="2" t="s">
        <v>301</v>
      </c>
      <c r="P81" s="364">
        <v>1.6666666666666667</v>
      </c>
      <c r="Q81" s="367" t="str">
        <f t="shared" si="4"/>
        <v/>
      </c>
      <c r="R81" s="433" t="str">
        <f>_xlfn.IFNA(VLOOKUP(L81,'Röda dagar'!$A$5:$G$137,7,FALSE),"")</f>
        <v>08:00</v>
      </c>
      <c r="S81" s="426">
        <f t="shared" si="5"/>
        <v>0.33333333333333331</v>
      </c>
      <c r="T81" s="2"/>
      <c r="U81" s="2"/>
      <c r="V81" s="2"/>
      <c r="W81" s="358"/>
    </row>
    <row r="82" spans="12:23" x14ac:dyDescent="0.25">
      <c r="L82" s="363">
        <f t="shared" si="3"/>
        <v>1191</v>
      </c>
      <c r="M82" s="2" t="s">
        <v>302</v>
      </c>
      <c r="N82" s="2" t="s">
        <v>303</v>
      </c>
      <c r="P82" s="364">
        <v>1.6666666666666667</v>
      </c>
      <c r="Q82" s="367" t="str">
        <f t="shared" si="4"/>
        <v/>
      </c>
      <c r="R82" s="433" t="str">
        <f>_xlfn.IFNA(VLOOKUP(L82,'Röda dagar'!$A$5:$G$137,7,FALSE),"")</f>
        <v>07:45</v>
      </c>
      <c r="S82" s="426">
        <f t="shared" si="5"/>
        <v>0.32291666666666669</v>
      </c>
      <c r="T82" s="2"/>
      <c r="U82" s="2"/>
      <c r="V82" s="2"/>
      <c r="W82" s="358"/>
    </row>
    <row r="83" spans="12:23" x14ac:dyDescent="0.25">
      <c r="L83" s="363">
        <f t="shared" si="3"/>
        <v>1192</v>
      </c>
      <c r="M83" s="2" t="s">
        <v>304</v>
      </c>
      <c r="N83" s="2" t="s">
        <v>305</v>
      </c>
      <c r="P83" s="364">
        <v>1.6666666666666667</v>
      </c>
      <c r="Q83" s="367" t="str">
        <f t="shared" si="4"/>
        <v/>
      </c>
      <c r="R83" s="433" t="str">
        <f>_xlfn.IFNA(VLOOKUP(L83,'Röda dagar'!$A$5:$G$137,7,FALSE),"")</f>
        <v>08:00</v>
      </c>
      <c r="S83" s="426">
        <f t="shared" si="5"/>
        <v>0.33333333333333331</v>
      </c>
      <c r="T83" s="2"/>
      <c r="U83" s="2"/>
      <c r="V83" s="2"/>
      <c r="W83" s="358"/>
    </row>
    <row r="84" spans="12:23" x14ac:dyDescent="0.25">
      <c r="L84" s="363">
        <f t="shared" si="3"/>
        <v>1193</v>
      </c>
      <c r="M84" s="2" t="s">
        <v>306</v>
      </c>
      <c r="N84" s="2" t="s">
        <v>307</v>
      </c>
      <c r="P84" s="364">
        <v>1.6666666666666667</v>
      </c>
      <c r="Q84" s="367" t="str">
        <f t="shared" si="4"/>
        <v/>
      </c>
      <c r="R84" s="433" t="str">
        <f>_xlfn.IFNA(VLOOKUP(L84,'Röda dagar'!$A$5:$G$137,7,FALSE),"")</f>
        <v>08:00</v>
      </c>
      <c r="S84" s="426">
        <f t="shared" si="5"/>
        <v>0.33333333333333331</v>
      </c>
      <c r="T84" s="2"/>
      <c r="U84" s="2"/>
      <c r="V84" s="2"/>
      <c r="W84" s="358"/>
    </row>
    <row r="85" spans="12:23" x14ac:dyDescent="0.25">
      <c r="L85" s="363">
        <f t="shared" si="3"/>
        <v>1194</v>
      </c>
      <c r="M85" s="2" t="s">
        <v>308</v>
      </c>
      <c r="N85" s="2" t="s">
        <v>309</v>
      </c>
      <c r="P85" s="364">
        <v>1.6666666666666667</v>
      </c>
      <c r="Q85" s="367" t="str">
        <f t="shared" si="4"/>
        <v/>
      </c>
      <c r="R85" s="433" t="str">
        <f>_xlfn.IFNA(VLOOKUP(L85,'Röda dagar'!$A$5:$G$137,7,FALSE),"")</f>
        <v>08:00</v>
      </c>
      <c r="S85" s="426">
        <f t="shared" si="5"/>
        <v>0.33333333333333331</v>
      </c>
      <c r="T85" s="2"/>
      <c r="U85" s="2"/>
      <c r="V85" s="2"/>
      <c r="W85" s="358"/>
    </row>
    <row r="86" spans="12:23" x14ac:dyDescent="0.25">
      <c r="L86" s="403">
        <f t="shared" si="3"/>
        <v>1196</v>
      </c>
      <c r="M86" s="404" t="s">
        <v>310</v>
      </c>
      <c r="N86" s="404" t="s">
        <v>311</v>
      </c>
      <c r="O86" s="404"/>
      <c r="P86" s="405">
        <v>0</v>
      </c>
      <c r="Q86" s="406" t="str">
        <f t="shared" si="4"/>
        <v/>
      </c>
      <c r="R86" s="433" t="str">
        <f>_xlfn.IFNA(VLOOKUP(L86,'Röda dagar'!$A$5:$G$137,7,FALSE),"")</f>
        <v/>
      </c>
      <c r="S86" s="426" t="str">
        <f t="shared" si="5"/>
        <v/>
      </c>
      <c r="T86" s="2"/>
      <c r="U86" s="2"/>
      <c r="V86" s="2"/>
      <c r="W86" s="358"/>
    </row>
    <row r="87" spans="12:23" x14ac:dyDescent="0.25">
      <c r="L87" s="363">
        <f t="shared" si="3"/>
        <v>1198</v>
      </c>
      <c r="M87" s="2" t="s">
        <v>312</v>
      </c>
      <c r="N87" s="2" t="s">
        <v>313</v>
      </c>
      <c r="P87" s="364">
        <v>1.6666666666666667</v>
      </c>
      <c r="Q87" s="367" t="str">
        <f t="shared" si="4"/>
        <v/>
      </c>
      <c r="R87" s="433" t="str">
        <f>_xlfn.IFNA(VLOOKUP(L87,'Röda dagar'!$A$5:$G$137,7,FALSE),"")</f>
        <v>08:00</v>
      </c>
      <c r="S87" s="426">
        <f t="shared" si="5"/>
        <v>0.33333333333333331</v>
      </c>
      <c r="T87" s="2"/>
      <c r="U87" s="2"/>
      <c r="V87" s="2"/>
      <c r="W87" s="358"/>
    </row>
    <row r="88" spans="12:23" x14ac:dyDescent="0.25">
      <c r="L88" s="363">
        <f t="shared" si="3"/>
        <v>1199</v>
      </c>
      <c r="M88" s="2" t="s">
        <v>314</v>
      </c>
      <c r="N88" s="2" t="s">
        <v>315</v>
      </c>
      <c r="P88" s="364">
        <v>1.6666666666666667</v>
      </c>
      <c r="Q88" s="367" t="str">
        <f t="shared" si="4"/>
        <v>Utesäljare</v>
      </c>
      <c r="R88" s="433" t="str">
        <f>_xlfn.IFNA(VLOOKUP(L88,'Röda dagar'!$A$5:$G$137,7,FALSE),"")</f>
        <v>08:00</v>
      </c>
      <c r="S88" s="426">
        <f t="shared" si="5"/>
        <v>0.33333333333333331</v>
      </c>
      <c r="T88" s="2"/>
      <c r="U88" s="2"/>
      <c r="V88" s="2"/>
      <c r="W88" s="358"/>
    </row>
    <row r="89" spans="12:23" x14ac:dyDescent="0.25">
      <c r="L89" s="363">
        <f t="shared" si="3"/>
        <v>1200</v>
      </c>
      <c r="M89" s="2" t="s">
        <v>316</v>
      </c>
      <c r="N89" s="2" t="s">
        <v>317</v>
      </c>
      <c r="P89" s="364">
        <v>1.6666666666666667</v>
      </c>
      <c r="Q89" s="367" t="str">
        <f t="shared" si="4"/>
        <v/>
      </c>
      <c r="R89" s="433" t="str">
        <f>_xlfn.IFNA(VLOOKUP(L89,'Röda dagar'!$A$5:$G$137,7,FALSE),"")</f>
        <v>06:30</v>
      </c>
      <c r="S89" s="426">
        <f t="shared" si="5"/>
        <v>0.27083333333333331</v>
      </c>
      <c r="T89" s="2"/>
      <c r="U89" s="2"/>
      <c r="V89" s="2"/>
      <c r="W89" s="358"/>
    </row>
    <row r="90" spans="12:23" x14ac:dyDescent="0.25">
      <c r="L90" s="363">
        <f t="shared" si="3"/>
        <v>1201</v>
      </c>
      <c r="M90" s="2" t="s">
        <v>318</v>
      </c>
      <c r="N90" s="2" t="s">
        <v>319</v>
      </c>
      <c r="P90" s="364">
        <v>1.6666666666666667</v>
      </c>
      <c r="Q90" s="367" t="str">
        <f t="shared" si="4"/>
        <v/>
      </c>
      <c r="R90" s="433" t="str">
        <f>_xlfn.IFNA(VLOOKUP(L90,'Röda dagar'!$A$5:$G$137,7,FALSE),"")</f>
        <v>08:00</v>
      </c>
      <c r="S90" s="426">
        <f t="shared" si="5"/>
        <v>0.33333333333333331</v>
      </c>
      <c r="T90" s="2"/>
      <c r="U90" s="2"/>
      <c r="V90" s="2"/>
      <c r="W90" s="358"/>
    </row>
    <row r="91" spans="12:23" x14ac:dyDescent="0.25">
      <c r="L91" s="363">
        <f t="shared" si="3"/>
        <v>1202</v>
      </c>
      <c r="M91" s="2" t="s">
        <v>320</v>
      </c>
      <c r="N91" s="2" t="s">
        <v>321</v>
      </c>
      <c r="P91" s="364">
        <v>1.6666666666666667</v>
      </c>
      <c r="Q91" s="367" t="str">
        <f t="shared" si="4"/>
        <v>Utesäljare</v>
      </c>
      <c r="R91" s="433" t="str">
        <f>_xlfn.IFNA(VLOOKUP(L91,'Röda dagar'!$A$5:$G$137,7,FALSE),"")</f>
        <v>08:00</v>
      </c>
      <c r="S91" s="426">
        <f t="shared" si="5"/>
        <v>0.33333333333333331</v>
      </c>
      <c r="T91" s="2"/>
      <c r="U91" s="2"/>
      <c r="V91" s="2"/>
      <c r="W91" s="358"/>
    </row>
    <row r="92" spans="12:23" x14ac:dyDescent="0.25">
      <c r="L92" s="363">
        <f t="shared" si="3"/>
        <v>1203</v>
      </c>
      <c r="M92" s="2" t="s">
        <v>322</v>
      </c>
      <c r="N92" s="2" t="s">
        <v>323</v>
      </c>
      <c r="P92" s="364">
        <v>1.6666666666666667</v>
      </c>
      <c r="Q92" s="367" t="str">
        <f t="shared" si="4"/>
        <v/>
      </c>
      <c r="R92" s="433" t="str">
        <f>_xlfn.IFNA(VLOOKUP(L92,'Röda dagar'!$A$5:$G$137,7,FALSE),"")</f>
        <v>08:00</v>
      </c>
      <c r="S92" s="426">
        <f t="shared" si="5"/>
        <v>0.33333333333333331</v>
      </c>
      <c r="T92" s="2"/>
      <c r="U92" s="2"/>
      <c r="V92" s="2"/>
      <c r="W92" s="358"/>
    </row>
    <row r="93" spans="12:23" x14ac:dyDescent="0.25">
      <c r="L93" s="363">
        <f t="shared" si="3"/>
        <v>1204</v>
      </c>
      <c r="M93" s="2" t="s">
        <v>324</v>
      </c>
      <c r="N93" s="2" t="s">
        <v>325</v>
      </c>
      <c r="P93" s="364">
        <v>1.6666666666666667</v>
      </c>
      <c r="Q93" s="367" t="str">
        <f t="shared" si="4"/>
        <v/>
      </c>
      <c r="R93" s="433" t="str">
        <f>_xlfn.IFNA(VLOOKUP(L93,'Röda dagar'!$A$5:$G$137,7,FALSE),"")</f>
        <v>08:00</v>
      </c>
      <c r="S93" s="426">
        <f t="shared" si="5"/>
        <v>0.33333333333333331</v>
      </c>
      <c r="T93" s="2"/>
      <c r="U93" s="2"/>
      <c r="V93" s="2"/>
      <c r="W93" s="358"/>
    </row>
    <row r="94" spans="12:23" x14ac:dyDescent="0.25">
      <c r="L94" s="363">
        <f t="shared" si="3"/>
        <v>1208</v>
      </c>
      <c r="M94" s="2" t="s">
        <v>326</v>
      </c>
      <c r="N94" s="2" t="s">
        <v>327</v>
      </c>
      <c r="P94" s="364">
        <v>1.6666666666666667</v>
      </c>
      <c r="Q94" s="367" t="str">
        <f t="shared" si="4"/>
        <v/>
      </c>
      <c r="R94" s="433" t="str">
        <f>_xlfn.IFNA(VLOOKUP(L94,'Röda dagar'!$A$5:$G$137,7,FALSE),"")</f>
        <v>08:00</v>
      </c>
      <c r="S94" s="426">
        <f t="shared" si="5"/>
        <v>0.33333333333333331</v>
      </c>
      <c r="T94" s="2"/>
      <c r="U94" s="2"/>
      <c r="V94" s="2"/>
      <c r="W94" s="358"/>
    </row>
    <row r="95" spans="12:23" x14ac:dyDescent="0.25">
      <c r="L95" s="363">
        <f t="shared" si="3"/>
        <v>1209</v>
      </c>
      <c r="M95" s="2" t="s">
        <v>328</v>
      </c>
      <c r="N95" s="2" t="s">
        <v>329</v>
      </c>
      <c r="P95" s="364">
        <v>1.6666666666666667</v>
      </c>
      <c r="Q95" s="367" t="str">
        <f t="shared" si="4"/>
        <v/>
      </c>
      <c r="R95" s="426" t="str">
        <f>_xlfn.IFNA(VLOOKUP(L95,'Röda dagar'!$A$5:$G$137,7,FALSE),"")</f>
        <v>07:45</v>
      </c>
      <c r="S95" s="426">
        <f t="shared" si="5"/>
        <v>0.32291666666666669</v>
      </c>
      <c r="T95" s="2"/>
      <c r="U95" s="2"/>
      <c r="V95" s="2"/>
      <c r="W95" s="358"/>
    </row>
    <row r="96" spans="12:23" x14ac:dyDescent="0.25">
      <c r="L96" s="363">
        <f t="shared" si="3"/>
        <v>1210</v>
      </c>
      <c r="M96" s="2" t="s">
        <v>330</v>
      </c>
      <c r="N96" s="2" t="s">
        <v>331</v>
      </c>
      <c r="P96" s="364">
        <v>1.6666666666666667</v>
      </c>
      <c r="Q96" s="367" t="str">
        <f t="shared" si="4"/>
        <v/>
      </c>
      <c r="R96" s="434" t="str">
        <f>_xlfn.IFNA(VLOOKUP(L96,'Röda dagar'!$A$5:$G$137,7,FALSE),"")</f>
        <v>07:15</v>
      </c>
      <c r="S96" s="426">
        <f t="shared" si="5"/>
        <v>0.30208333333333331</v>
      </c>
      <c r="T96" s="2"/>
      <c r="U96" s="2"/>
      <c r="V96" s="2"/>
      <c r="W96" s="358"/>
    </row>
    <row r="97" spans="3:24" x14ac:dyDescent="0.25">
      <c r="C97" s="454"/>
      <c r="L97" s="363">
        <f t="shared" si="3"/>
        <v>1211</v>
      </c>
      <c r="M97" s="2" t="s">
        <v>332</v>
      </c>
      <c r="N97" s="2" t="s">
        <v>333</v>
      </c>
      <c r="P97" s="364">
        <v>1.6666666666666667</v>
      </c>
      <c r="Q97" s="367" t="str">
        <f t="shared" si="4"/>
        <v/>
      </c>
      <c r="R97" s="433" t="str">
        <f>_xlfn.IFNA(VLOOKUP(L97,'Röda dagar'!$A$5:$G$137,7,FALSE),"")</f>
        <v>07:45</v>
      </c>
      <c r="S97" s="426">
        <f t="shared" si="5"/>
        <v>0.32291666666666669</v>
      </c>
      <c r="T97" s="2"/>
      <c r="U97" s="2"/>
      <c r="V97" s="2"/>
      <c r="W97" s="358"/>
    </row>
    <row r="98" spans="3:24" x14ac:dyDescent="0.25">
      <c r="C98" s="454"/>
      <c r="L98" s="363">
        <f t="shared" si="3"/>
        <v>1212</v>
      </c>
      <c r="M98" s="2" t="s">
        <v>334</v>
      </c>
      <c r="N98" s="2" t="s">
        <v>335</v>
      </c>
      <c r="P98" s="364">
        <v>1.6666666666666667</v>
      </c>
      <c r="Q98" s="367" t="str">
        <f t="shared" si="4"/>
        <v/>
      </c>
      <c r="R98" s="433" t="str">
        <f>_xlfn.IFNA(VLOOKUP(L98,'Röda dagar'!$A$5:$G$137,7,FALSE),"")</f>
        <v>08:00</v>
      </c>
      <c r="S98" s="426">
        <f t="shared" si="5"/>
        <v>0.33333333333333331</v>
      </c>
      <c r="T98" s="2"/>
      <c r="U98" s="2"/>
      <c r="V98" s="2"/>
      <c r="W98" s="358"/>
    </row>
    <row r="99" spans="3:24" x14ac:dyDescent="0.25">
      <c r="C99" s="454"/>
      <c r="L99" s="363">
        <f t="shared" si="3"/>
        <v>1213</v>
      </c>
      <c r="M99" s="2" t="s">
        <v>336</v>
      </c>
      <c r="N99" s="2" t="s">
        <v>337</v>
      </c>
      <c r="P99" s="364">
        <v>1.6666666666666667</v>
      </c>
      <c r="Q99" s="367" t="str">
        <f t="shared" si="4"/>
        <v/>
      </c>
      <c r="R99" s="433" t="str">
        <f>_xlfn.IFNA(VLOOKUP(L99,'Röda dagar'!$A$5:$G$137,7,FALSE),"")</f>
        <v>08:00</v>
      </c>
      <c r="S99" s="426">
        <f t="shared" si="5"/>
        <v>0.33333333333333331</v>
      </c>
      <c r="T99" s="2"/>
      <c r="U99" s="2"/>
      <c r="V99" s="2"/>
      <c r="W99" s="358"/>
    </row>
    <row r="100" spans="3:24" x14ac:dyDescent="0.25">
      <c r="C100" s="454"/>
      <c r="L100" s="363">
        <f t="shared" si="3"/>
        <v>1216</v>
      </c>
      <c r="M100" s="2" t="s">
        <v>338</v>
      </c>
      <c r="N100" s="2" t="s">
        <v>339</v>
      </c>
      <c r="P100" s="364">
        <v>1.6666666666666667</v>
      </c>
      <c r="Q100" s="367" t="str">
        <f t="shared" si="4"/>
        <v/>
      </c>
      <c r="R100" s="433" t="str">
        <f>_xlfn.IFNA(VLOOKUP(L100,'Röda dagar'!$A$5:$G$137,7,FALSE),"")</f>
        <v>08:00</v>
      </c>
      <c r="S100" s="426">
        <f t="shared" si="5"/>
        <v>0.33333333333333331</v>
      </c>
      <c r="T100" s="2"/>
      <c r="U100" s="2"/>
      <c r="V100" s="2"/>
      <c r="W100" s="358"/>
    </row>
    <row r="101" spans="3:24" x14ac:dyDescent="0.25">
      <c r="C101" s="454"/>
      <c r="L101" s="363">
        <f t="shared" si="3"/>
        <v>1217</v>
      </c>
      <c r="M101" s="2" t="s">
        <v>340</v>
      </c>
      <c r="N101" s="2" t="s">
        <v>341</v>
      </c>
      <c r="P101" s="364">
        <v>1.6666666666666667</v>
      </c>
      <c r="Q101" s="367" t="str">
        <f t="shared" si="4"/>
        <v/>
      </c>
      <c r="R101" s="433" t="str">
        <f>_xlfn.IFNA(VLOOKUP(L101,'Röda dagar'!$A$5:$G$137,7,FALSE),"")</f>
        <v>08:00</v>
      </c>
      <c r="S101" s="426">
        <f t="shared" si="5"/>
        <v>0.33333333333333331</v>
      </c>
      <c r="T101" s="2"/>
      <c r="U101" s="2"/>
      <c r="V101" s="2"/>
      <c r="W101" s="358"/>
    </row>
    <row r="102" spans="3:24" x14ac:dyDescent="0.25">
      <c r="C102" s="454"/>
      <c r="L102" s="363">
        <f t="shared" si="3"/>
        <v>1218</v>
      </c>
      <c r="M102" s="2" t="s">
        <v>342</v>
      </c>
      <c r="N102" s="2" t="s">
        <v>343</v>
      </c>
      <c r="P102" s="364">
        <v>1.6666666666666667</v>
      </c>
      <c r="Q102" s="367" t="str">
        <f t="shared" si="4"/>
        <v/>
      </c>
      <c r="R102" s="433" t="str">
        <f>_xlfn.IFNA(VLOOKUP(L102,'Röda dagar'!$A$5:$G$137,7,FALSE),"")</f>
        <v>08:00</v>
      </c>
      <c r="S102" s="426">
        <f t="shared" si="5"/>
        <v>0.33333333333333331</v>
      </c>
      <c r="T102" s="2"/>
      <c r="U102" s="2"/>
      <c r="V102" s="2"/>
      <c r="W102" s="358"/>
    </row>
    <row r="103" spans="3:24" x14ac:dyDescent="0.25">
      <c r="C103" s="454"/>
      <c r="L103" s="363">
        <f t="shared" si="3"/>
        <v>1219</v>
      </c>
      <c r="M103" s="2" t="s">
        <v>344</v>
      </c>
      <c r="N103" s="2" t="s">
        <v>345</v>
      </c>
      <c r="P103" s="364">
        <v>1.6666666666666667</v>
      </c>
      <c r="Q103" s="367" t="str">
        <f t="shared" si="4"/>
        <v/>
      </c>
      <c r="R103" s="433" t="str">
        <f>_xlfn.IFNA(VLOOKUP(L103,'Röda dagar'!$A$5:$G$137,7,FALSE),"")</f>
        <v>08:00</v>
      </c>
      <c r="S103" s="426">
        <f t="shared" si="5"/>
        <v>0.33333333333333331</v>
      </c>
      <c r="T103" s="2"/>
      <c r="U103" s="2"/>
      <c r="V103" s="2"/>
      <c r="W103" s="358"/>
    </row>
    <row r="104" spans="3:24" x14ac:dyDescent="0.25">
      <c r="C104" s="454"/>
      <c r="L104" s="363">
        <f t="shared" ref="L104:L122" si="6">M104*1</f>
        <v>1223</v>
      </c>
      <c r="M104" s="2" t="s">
        <v>346</v>
      </c>
      <c r="N104" s="2" t="s">
        <v>347</v>
      </c>
      <c r="P104" s="364">
        <v>1.6666666666666667</v>
      </c>
      <c r="Q104" s="367" t="str">
        <f t="shared" ref="Q104:Q125" si="7">IF(OR(L104=1142,L104=1199,L104=1202,L104=1223),"Utesäljare","")</f>
        <v>Utesäljare</v>
      </c>
      <c r="R104" s="433" t="str">
        <f>_xlfn.IFNA(VLOOKUP(L104,'Röda dagar'!$A$5:$G$137,7,FALSE),"")</f>
        <v>08:00</v>
      </c>
      <c r="S104" s="426">
        <f t="shared" si="5"/>
        <v>0.33333333333333331</v>
      </c>
      <c r="T104" s="2"/>
      <c r="U104" s="2"/>
      <c r="V104" s="2"/>
      <c r="W104" s="358"/>
    </row>
    <row r="105" spans="3:24" x14ac:dyDescent="0.25">
      <c r="C105" s="454"/>
      <c r="L105" s="363">
        <f t="shared" si="6"/>
        <v>1224</v>
      </c>
      <c r="M105" s="2" t="s">
        <v>348</v>
      </c>
      <c r="N105" s="2" t="s">
        <v>349</v>
      </c>
      <c r="P105" s="364">
        <v>1.6666666666666667</v>
      </c>
      <c r="Q105" s="367" t="str">
        <f t="shared" si="7"/>
        <v/>
      </c>
      <c r="R105" s="433" t="str">
        <f>_xlfn.IFNA(VLOOKUP(L105,'Röda dagar'!$A$5:$G$137,7,FALSE),"")</f>
        <v>07:45</v>
      </c>
      <c r="S105" s="426">
        <f t="shared" si="5"/>
        <v>0.32291666666666669</v>
      </c>
      <c r="T105" s="2"/>
      <c r="U105" s="2"/>
      <c r="V105" s="2"/>
      <c r="W105" s="358"/>
    </row>
    <row r="106" spans="3:24" x14ac:dyDescent="0.25">
      <c r="C106" s="454"/>
      <c r="L106" s="363">
        <f t="shared" si="6"/>
        <v>1225</v>
      </c>
      <c r="M106" s="2" t="s">
        <v>350</v>
      </c>
      <c r="N106" s="2" t="s">
        <v>351</v>
      </c>
      <c r="P106" s="364">
        <v>1.6666666666666667</v>
      </c>
      <c r="Q106" s="367" t="str">
        <f t="shared" si="7"/>
        <v/>
      </c>
      <c r="R106" s="433" t="str">
        <f>_xlfn.IFNA(VLOOKUP(L106,'Röda dagar'!$A$5:$G$137,7,FALSE),"")</f>
        <v>08:00</v>
      </c>
      <c r="S106" s="426">
        <f t="shared" si="5"/>
        <v>0.33333333333333331</v>
      </c>
      <c r="T106" s="2"/>
      <c r="U106" s="2"/>
      <c r="V106" s="2"/>
      <c r="W106" s="358"/>
    </row>
    <row r="107" spans="3:24" x14ac:dyDescent="0.25">
      <c r="C107" s="454"/>
      <c r="L107" s="363">
        <f t="shared" si="6"/>
        <v>1226</v>
      </c>
      <c r="M107" s="2" t="s">
        <v>352</v>
      </c>
      <c r="N107" s="2" t="s">
        <v>353</v>
      </c>
      <c r="P107" s="364">
        <v>1.6666666666666667</v>
      </c>
      <c r="Q107" s="367" t="str">
        <f t="shared" si="7"/>
        <v/>
      </c>
      <c r="R107" s="434" t="str">
        <f>_xlfn.IFNA(VLOOKUP(L107,'Röda dagar'!$A$5:$G$137,7,FALSE),"")</f>
        <v>07:45</v>
      </c>
      <c r="S107" s="426">
        <f t="shared" si="5"/>
        <v>0.32291666666666669</v>
      </c>
      <c r="T107" s="2"/>
      <c r="U107" s="2"/>
      <c r="V107" s="2"/>
      <c r="W107" s="358"/>
    </row>
    <row r="108" spans="3:24" x14ac:dyDescent="0.25">
      <c r="C108" s="454"/>
      <c r="L108" s="363">
        <f t="shared" si="6"/>
        <v>1227</v>
      </c>
      <c r="M108" s="2" t="s">
        <v>354</v>
      </c>
      <c r="N108" s="2" t="s">
        <v>355</v>
      </c>
      <c r="P108" s="364">
        <v>1.6666666666666667</v>
      </c>
      <c r="Q108" s="367" t="str">
        <f t="shared" si="7"/>
        <v/>
      </c>
      <c r="R108" s="433" t="str">
        <f>_xlfn.IFNA(VLOOKUP(L108,'Röda dagar'!$A$5:$G$137,7,FALSE),"")</f>
        <v>08:00</v>
      </c>
      <c r="S108" s="426">
        <f t="shared" si="5"/>
        <v>0.33333333333333331</v>
      </c>
      <c r="T108" s="2"/>
      <c r="U108" s="2"/>
      <c r="V108" s="2"/>
      <c r="W108" s="358"/>
      <c r="X108" s="407"/>
    </row>
    <row r="109" spans="3:24" x14ac:dyDescent="0.25">
      <c r="C109" s="454"/>
      <c r="L109" s="363">
        <f t="shared" si="6"/>
        <v>1229</v>
      </c>
      <c r="M109" s="2" t="s">
        <v>356</v>
      </c>
      <c r="N109" s="2" t="s">
        <v>357</v>
      </c>
      <c r="P109" s="364">
        <v>1.6666666666666667</v>
      </c>
      <c r="Q109" s="367" t="str">
        <f t="shared" si="7"/>
        <v/>
      </c>
      <c r="R109" s="433" t="str">
        <f>_xlfn.IFNA(VLOOKUP(L109,'Röda dagar'!$A$5:$G$137,7,FALSE),"")</f>
        <v>08:00</v>
      </c>
      <c r="S109" s="426">
        <f t="shared" si="5"/>
        <v>0.33333333333333331</v>
      </c>
      <c r="T109" s="2"/>
      <c r="U109" s="2"/>
      <c r="V109" s="2"/>
      <c r="W109" s="358"/>
    </row>
    <row r="110" spans="3:24" x14ac:dyDescent="0.25">
      <c r="C110" s="454"/>
      <c r="L110" s="363">
        <f t="shared" si="6"/>
        <v>1235</v>
      </c>
      <c r="M110" s="2" t="s">
        <v>358</v>
      </c>
      <c r="N110" s="2" t="s">
        <v>359</v>
      </c>
      <c r="P110" s="364">
        <v>1.6666666666666667</v>
      </c>
      <c r="Q110" s="367" t="str">
        <f t="shared" si="7"/>
        <v/>
      </c>
      <c r="R110" s="433" t="str">
        <f>_xlfn.IFNA(VLOOKUP(L110,'Röda dagar'!$A$5:$G$137,7,FALSE),"")</f>
        <v>08:00</v>
      </c>
      <c r="S110" s="426">
        <f t="shared" si="5"/>
        <v>0.33333333333333331</v>
      </c>
      <c r="T110" s="2"/>
      <c r="U110" s="2"/>
      <c r="V110" s="2"/>
      <c r="W110" s="358"/>
    </row>
    <row r="111" spans="3:24" x14ac:dyDescent="0.25">
      <c r="C111" s="454"/>
      <c r="L111" s="363">
        <f t="shared" si="6"/>
        <v>1236</v>
      </c>
      <c r="M111" s="2" t="s">
        <v>360</v>
      </c>
      <c r="N111" s="2" t="s">
        <v>361</v>
      </c>
      <c r="P111" s="364">
        <v>1.6666666666666667</v>
      </c>
      <c r="Q111" s="367" t="str">
        <f t="shared" si="7"/>
        <v/>
      </c>
      <c r="R111" s="433" t="str">
        <f>_xlfn.IFNA(VLOOKUP(L111,'Röda dagar'!$A$5:$G$137,7,FALSE),"")</f>
        <v>08:00</v>
      </c>
      <c r="S111" s="426">
        <f t="shared" si="5"/>
        <v>0.33333333333333331</v>
      </c>
      <c r="T111" s="2"/>
      <c r="U111" s="2"/>
      <c r="V111" s="2"/>
      <c r="W111" s="358"/>
    </row>
    <row r="112" spans="3:24" x14ac:dyDescent="0.25">
      <c r="C112" s="454"/>
      <c r="L112" s="363">
        <f t="shared" si="6"/>
        <v>1237</v>
      </c>
      <c r="M112" s="2" t="s">
        <v>362</v>
      </c>
      <c r="N112" s="2" t="s">
        <v>363</v>
      </c>
      <c r="P112" s="364">
        <v>1.6666666666666667</v>
      </c>
      <c r="Q112" s="367" t="str">
        <f t="shared" si="7"/>
        <v/>
      </c>
      <c r="R112" s="433" t="str">
        <f>_xlfn.IFNA(VLOOKUP(L112,'Röda dagar'!$A$5:$G$137,7,FALSE),"")</f>
        <v>08:00</v>
      </c>
      <c r="S112" s="426">
        <f t="shared" si="5"/>
        <v>0.33333333333333331</v>
      </c>
      <c r="T112" s="2"/>
      <c r="U112" s="2"/>
      <c r="V112" s="2"/>
      <c r="W112" s="358"/>
    </row>
    <row r="113" spans="12:24" x14ac:dyDescent="0.25">
      <c r="L113" s="363">
        <f t="shared" si="6"/>
        <v>1240</v>
      </c>
      <c r="M113" s="2" t="s">
        <v>364</v>
      </c>
      <c r="N113" s="2" t="s">
        <v>365</v>
      </c>
      <c r="P113" s="364">
        <v>1.6666666666666667</v>
      </c>
      <c r="Q113" s="367" t="str">
        <f t="shared" si="7"/>
        <v/>
      </c>
      <c r="R113" s="434" t="str">
        <f>_xlfn.IFNA(VLOOKUP(L113,'Röda dagar'!$A$5:$G$137,7,FALSE),"")</f>
        <v>08:00</v>
      </c>
      <c r="S113" s="426">
        <f t="shared" si="5"/>
        <v>0.33333333333333331</v>
      </c>
      <c r="T113" s="2"/>
      <c r="U113" s="2"/>
      <c r="V113" s="2"/>
      <c r="W113" s="358"/>
    </row>
    <row r="114" spans="12:24" x14ac:dyDescent="0.25">
      <c r="L114" s="363">
        <f t="shared" si="6"/>
        <v>1241</v>
      </c>
      <c r="M114" s="2" t="s">
        <v>366</v>
      </c>
      <c r="N114" s="2" t="s">
        <v>367</v>
      </c>
      <c r="P114" s="364">
        <v>1.6666666666666667</v>
      </c>
      <c r="Q114" s="367" t="str">
        <f t="shared" si="7"/>
        <v/>
      </c>
      <c r="R114" s="433" t="str">
        <f>_xlfn.IFNA(VLOOKUP(L114,'Röda dagar'!$A$5:$G$137,7,FALSE),"")</f>
        <v>08:00</v>
      </c>
      <c r="S114" s="426">
        <f t="shared" si="5"/>
        <v>0.33333333333333331</v>
      </c>
      <c r="T114" s="2"/>
      <c r="U114" s="2"/>
      <c r="V114" s="2"/>
      <c r="W114" s="358"/>
      <c r="X114" s="407"/>
    </row>
    <row r="115" spans="12:24" x14ac:dyDescent="0.25">
      <c r="L115" s="363">
        <f t="shared" si="6"/>
        <v>1242</v>
      </c>
      <c r="M115" s="2" t="s">
        <v>368</v>
      </c>
      <c r="N115" s="2" t="s">
        <v>369</v>
      </c>
      <c r="P115" s="364">
        <v>1.6666666666666667</v>
      </c>
      <c r="Q115" s="367" t="str">
        <f t="shared" si="7"/>
        <v/>
      </c>
      <c r="R115" s="433" t="str">
        <f>_xlfn.IFNA(VLOOKUP(L115,'Röda dagar'!$A$5:$G$137,7,FALSE),"")</f>
        <v>08:00</v>
      </c>
      <c r="S115" s="426">
        <f t="shared" si="5"/>
        <v>0.33333333333333331</v>
      </c>
      <c r="T115" s="2"/>
      <c r="U115" s="2"/>
      <c r="V115" s="2"/>
      <c r="W115" s="358"/>
      <c r="X115" s="407"/>
    </row>
    <row r="116" spans="12:24" x14ac:dyDescent="0.25">
      <c r="L116" s="363">
        <f t="shared" si="6"/>
        <v>1243</v>
      </c>
      <c r="M116" s="2" t="s">
        <v>370</v>
      </c>
      <c r="N116" s="2" t="s">
        <v>371</v>
      </c>
      <c r="P116" s="364">
        <v>1.6666666666666667</v>
      </c>
      <c r="Q116" s="367" t="str">
        <f t="shared" si="7"/>
        <v/>
      </c>
      <c r="R116" s="434" t="str">
        <f>_xlfn.IFNA(VLOOKUP(L116,'Röda dagar'!$A$5:$G$137,7,FALSE),"")</f>
        <v>07:45</v>
      </c>
      <c r="S116" s="426">
        <f t="shared" si="5"/>
        <v>0.32291666666666669</v>
      </c>
      <c r="T116" s="2"/>
      <c r="U116" s="2"/>
      <c r="V116" s="2"/>
      <c r="W116" s="358"/>
    </row>
    <row r="117" spans="12:24" x14ac:dyDescent="0.25">
      <c r="L117" s="363">
        <f t="shared" si="6"/>
        <v>1244</v>
      </c>
      <c r="M117" s="2" t="s">
        <v>372</v>
      </c>
      <c r="N117" s="2" t="s">
        <v>373</v>
      </c>
      <c r="P117" s="364">
        <v>1.6666666666666667</v>
      </c>
      <c r="Q117" s="367" t="str">
        <f t="shared" si="7"/>
        <v/>
      </c>
      <c r="R117" s="434" t="str">
        <f>_xlfn.IFNA(VLOOKUP(L117,'Röda dagar'!$A$5:$G$137,7,FALSE),"")</f>
        <v>07:45</v>
      </c>
      <c r="S117" s="426">
        <f t="shared" si="5"/>
        <v>0.32291666666666669</v>
      </c>
      <c r="T117" s="2"/>
      <c r="U117" s="2"/>
      <c r="V117" s="2"/>
      <c r="W117" s="358"/>
      <c r="X117" s="407"/>
    </row>
    <row r="118" spans="12:24" x14ac:dyDescent="0.25">
      <c r="L118" s="363">
        <f t="shared" si="6"/>
        <v>1246</v>
      </c>
      <c r="M118" s="2" t="s">
        <v>374</v>
      </c>
      <c r="N118" s="2" t="s">
        <v>375</v>
      </c>
      <c r="P118" s="364">
        <v>1.6666666666666667</v>
      </c>
      <c r="Q118" s="367" t="str">
        <f t="shared" si="7"/>
        <v/>
      </c>
      <c r="R118" s="434" t="str">
        <f>_xlfn.IFNA(VLOOKUP(L118,'Röda dagar'!$A$5:$G$137,7,FALSE),"")</f>
        <v>08:00</v>
      </c>
      <c r="S118" s="426">
        <f t="shared" si="5"/>
        <v>0.33333333333333331</v>
      </c>
      <c r="T118" s="2"/>
      <c r="U118" s="2"/>
      <c r="V118" s="2"/>
      <c r="W118" s="358"/>
      <c r="X118" s="407"/>
    </row>
    <row r="119" spans="12:24" x14ac:dyDescent="0.25">
      <c r="L119" s="363">
        <f t="shared" si="6"/>
        <v>1247</v>
      </c>
      <c r="M119" s="2" t="s">
        <v>376</v>
      </c>
      <c r="N119" s="2" t="s">
        <v>377</v>
      </c>
      <c r="P119" s="364">
        <v>1.6666666666666667</v>
      </c>
      <c r="Q119" s="367" t="str">
        <f t="shared" si="7"/>
        <v/>
      </c>
      <c r="R119" s="434" t="str">
        <f>_xlfn.IFNA(VLOOKUP(L119,'Röda dagar'!$A$5:$G$137,7,FALSE),"")</f>
        <v>08:00</v>
      </c>
      <c r="S119" s="426">
        <f t="shared" si="5"/>
        <v>0.33333333333333331</v>
      </c>
      <c r="T119" s="2"/>
      <c r="U119" s="2"/>
      <c r="V119" s="2"/>
      <c r="W119" s="358"/>
    </row>
    <row r="120" spans="12:24" x14ac:dyDescent="0.25">
      <c r="L120" s="403">
        <f t="shared" si="6"/>
        <v>1248</v>
      </c>
      <c r="M120" s="404" t="s">
        <v>378</v>
      </c>
      <c r="N120" s="404" t="s">
        <v>379</v>
      </c>
      <c r="O120" s="404"/>
      <c r="P120" s="405">
        <v>1.6666666666666667</v>
      </c>
      <c r="Q120" s="406" t="str">
        <f t="shared" si="7"/>
        <v/>
      </c>
      <c r="R120" s="433" t="str">
        <f>_xlfn.IFNA(VLOOKUP(L120,'Röda dagar'!$A$5:$G$137,7,FALSE),"")</f>
        <v/>
      </c>
      <c r="S120" s="426" t="str">
        <f t="shared" si="5"/>
        <v/>
      </c>
      <c r="T120" s="2"/>
      <c r="U120" s="2"/>
      <c r="V120" s="2"/>
      <c r="W120" s="358"/>
      <c r="X120" s="407"/>
    </row>
    <row r="121" spans="12:24" x14ac:dyDescent="0.25">
      <c r="L121" s="363">
        <f t="shared" si="6"/>
        <v>1249</v>
      </c>
      <c r="M121" s="2" t="s">
        <v>380</v>
      </c>
      <c r="N121" s="2" t="s">
        <v>381</v>
      </c>
      <c r="P121" s="364">
        <v>1.6666666666666667</v>
      </c>
      <c r="Q121" s="367" t="str">
        <f t="shared" si="7"/>
        <v/>
      </c>
      <c r="R121" s="433" t="str">
        <f>_xlfn.IFNA(VLOOKUP(L121,'Röda dagar'!$A$5:$G$137,7,FALSE),"")</f>
        <v/>
      </c>
      <c r="S121" s="426" t="str">
        <f t="shared" si="5"/>
        <v/>
      </c>
      <c r="T121" s="2"/>
      <c r="U121" s="2"/>
      <c r="V121" s="2"/>
      <c r="W121" s="358"/>
      <c r="X121" s="407"/>
    </row>
    <row r="122" spans="12:24" x14ac:dyDescent="0.25">
      <c r="L122" s="363">
        <f t="shared" si="6"/>
        <v>1251</v>
      </c>
      <c r="M122" s="11">
        <v>1251</v>
      </c>
      <c r="N122" s="366" t="s">
        <v>382</v>
      </c>
      <c r="P122" s="364">
        <v>1.6666666666666667</v>
      </c>
      <c r="Q122" s="367" t="str">
        <f t="shared" si="7"/>
        <v/>
      </c>
      <c r="R122" s="433" t="str">
        <f>_xlfn.IFNA(VLOOKUP(L122,'Röda dagar'!$A$5:$G$137,7,FALSE),"")</f>
        <v>08:00</v>
      </c>
      <c r="S122" s="426">
        <f t="shared" si="5"/>
        <v>0.33333333333333331</v>
      </c>
      <c r="T122" s="2"/>
      <c r="U122" s="2"/>
      <c r="V122" s="2"/>
      <c r="W122" s="358"/>
    </row>
    <row r="123" spans="12:24" x14ac:dyDescent="0.25">
      <c r="L123" s="2">
        <v>1252</v>
      </c>
      <c r="M123" s="11">
        <v>1252</v>
      </c>
      <c r="N123" s="2" t="s">
        <v>383</v>
      </c>
      <c r="P123" s="364">
        <v>1.6666666666666667</v>
      </c>
      <c r="Q123" s="367" t="str">
        <f t="shared" si="7"/>
        <v/>
      </c>
      <c r="R123" s="433" t="str">
        <f>_xlfn.IFNA(VLOOKUP(L123,'Röda dagar'!$A$5:$G$137,7,FALSE),"")</f>
        <v>08:00</v>
      </c>
      <c r="S123" s="426">
        <f t="shared" si="5"/>
        <v>0.33333333333333331</v>
      </c>
      <c r="T123" s="2"/>
      <c r="U123" s="2"/>
      <c r="V123" s="2"/>
      <c r="W123" s="358"/>
    </row>
    <row r="124" spans="12:24" x14ac:dyDescent="0.25">
      <c r="L124" s="2">
        <v>1253</v>
      </c>
      <c r="M124" s="11">
        <v>1253</v>
      </c>
      <c r="N124" s="2" t="s">
        <v>384</v>
      </c>
      <c r="P124" s="364">
        <v>1.6666666666666667</v>
      </c>
      <c r="Q124" s="367" t="str">
        <f t="shared" si="7"/>
        <v/>
      </c>
      <c r="R124" s="433" t="str">
        <f>_xlfn.IFNA(VLOOKUP(L124,'Röda dagar'!$A$5:$G$137,7,FALSE),"")</f>
        <v>08:00</v>
      </c>
      <c r="S124" s="426">
        <f t="shared" si="5"/>
        <v>0.33333333333333331</v>
      </c>
      <c r="T124" s="2"/>
      <c r="U124" s="2"/>
      <c r="V124" s="2"/>
      <c r="W124" s="358"/>
    </row>
    <row r="125" spans="12:24" x14ac:dyDescent="0.25">
      <c r="L125" s="363">
        <v>1254</v>
      </c>
      <c r="M125" s="11">
        <v>1254</v>
      </c>
      <c r="N125" s="366" t="s">
        <v>385</v>
      </c>
      <c r="P125" s="364">
        <v>1.6666666666666667</v>
      </c>
      <c r="Q125" s="367" t="str">
        <f t="shared" si="7"/>
        <v/>
      </c>
      <c r="R125" s="433" t="str">
        <f>_xlfn.IFNA(VLOOKUP(L125,'Röda dagar'!$A$5:$G$137,7,FALSE),"")</f>
        <v>08:00</v>
      </c>
      <c r="S125" s="426">
        <f t="shared" si="5"/>
        <v>0.33333333333333331</v>
      </c>
      <c r="T125" s="2"/>
      <c r="U125" s="2"/>
      <c r="V125" s="2"/>
      <c r="W125" s="358"/>
    </row>
    <row r="126" spans="12:24" x14ac:dyDescent="0.25">
      <c r="L126" s="363">
        <v>1255</v>
      </c>
      <c r="M126" s="11">
        <v>1255</v>
      </c>
      <c r="N126" s="365" t="s">
        <v>386</v>
      </c>
      <c r="P126" s="364">
        <v>1.6666666666666667</v>
      </c>
      <c r="Q126" s="367" t="str">
        <f t="shared" ref="Q126:Q129" si="8">IF(OR(L126=1142,L126=1199,L126=1202),"Utesäljare","")</f>
        <v/>
      </c>
      <c r="R126" s="433" t="str">
        <f>_xlfn.IFNA(VLOOKUP(L126,'Röda dagar'!$A$5:$G$137,7,FALSE),"")</f>
        <v>08:00</v>
      </c>
      <c r="S126" s="426">
        <f t="shared" si="5"/>
        <v>0.33333333333333331</v>
      </c>
      <c r="T126" s="2"/>
      <c r="U126" s="2"/>
      <c r="V126" s="2"/>
      <c r="W126" s="358"/>
    </row>
    <row r="127" spans="12:24" x14ac:dyDescent="0.25">
      <c r="L127" s="363">
        <v>1256</v>
      </c>
      <c r="M127" s="11">
        <v>1256</v>
      </c>
      <c r="N127" s="365" t="s">
        <v>387</v>
      </c>
      <c r="P127" s="364">
        <v>1.6666666666666667</v>
      </c>
      <c r="Q127" s="367" t="str">
        <f t="shared" si="8"/>
        <v/>
      </c>
      <c r="R127" s="433" t="str">
        <f>_xlfn.IFNA(VLOOKUP(L127,'Röda dagar'!$A$5:$G$137,7,FALSE),"")</f>
        <v>08:00</v>
      </c>
      <c r="S127" s="426">
        <f t="shared" si="5"/>
        <v>0.33333333333333331</v>
      </c>
      <c r="T127" s="2"/>
      <c r="U127" s="2"/>
      <c r="V127" s="2"/>
      <c r="W127" s="358"/>
    </row>
    <row r="128" spans="12:24" x14ac:dyDescent="0.25">
      <c r="L128" s="363">
        <v>1257</v>
      </c>
      <c r="M128" s="11">
        <v>1257</v>
      </c>
      <c r="N128" s="366" t="s">
        <v>388</v>
      </c>
      <c r="P128" s="364">
        <v>1.6666666666666667</v>
      </c>
      <c r="Q128" s="367" t="str">
        <f t="shared" si="8"/>
        <v/>
      </c>
      <c r="R128" s="433" t="str">
        <f>_xlfn.IFNA(VLOOKUP(L128,'Röda dagar'!$A$5:$G$137,7,FALSE),"")</f>
        <v>08:00</v>
      </c>
      <c r="S128" s="426">
        <f t="shared" si="5"/>
        <v>0.33333333333333331</v>
      </c>
      <c r="T128" s="2"/>
      <c r="U128" s="2"/>
      <c r="V128" s="2"/>
      <c r="W128" s="358"/>
    </row>
    <row r="129" spans="12:23" x14ac:dyDescent="0.25">
      <c r="L129" s="436">
        <v>1258</v>
      </c>
      <c r="M129" s="437">
        <v>1258</v>
      </c>
      <c r="N129" s="438" t="s">
        <v>389</v>
      </c>
      <c r="O129" s="439"/>
      <c r="P129" s="440">
        <v>1.6666666666666667</v>
      </c>
      <c r="Q129" s="441" t="str">
        <f t="shared" si="8"/>
        <v/>
      </c>
      <c r="R129" s="442" t="str">
        <f>_xlfn.IFNA(VLOOKUP(L129,'Röda dagar'!$A$5:$G$137,7,FALSE),"")</f>
        <v>08:00</v>
      </c>
      <c r="S129" s="443">
        <f t="shared" si="5"/>
        <v>0.33333333333333331</v>
      </c>
      <c r="T129" s="2"/>
      <c r="U129" s="2"/>
      <c r="V129" s="2"/>
      <c r="W129" s="358"/>
    </row>
    <row r="130" spans="12:23" x14ac:dyDescent="0.25">
      <c r="L130" s="363">
        <v>1259</v>
      </c>
      <c r="M130" s="423">
        <v>1259</v>
      </c>
      <c r="N130" s="365" t="s">
        <v>390</v>
      </c>
      <c r="P130" s="364">
        <v>1.6666666666666667</v>
      </c>
      <c r="Q130" s="367" t="str">
        <f>IF(OR(L130=1142,L130=1199,L130=1202),"Utesäljare","")</f>
        <v/>
      </c>
      <c r="R130" s="433" t="str">
        <f>_xlfn.IFNA(VLOOKUP(L130,'Röda dagar'!$A$5:$G$137,7,FALSE),"")</f>
        <v>08:00</v>
      </c>
      <c r="S130" s="426">
        <f t="shared" si="5"/>
        <v>0.33333333333333331</v>
      </c>
      <c r="T130" s="2"/>
      <c r="U130" s="2"/>
      <c r="V130" s="2"/>
      <c r="W130" s="358"/>
    </row>
    <row r="131" spans="12:23" x14ac:dyDescent="0.25">
      <c r="L131" s="363">
        <v>1260</v>
      </c>
      <c r="M131" s="423">
        <v>1260</v>
      </c>
      <c r="N131" s="365" t="s">
        <v>391</v>
      </c>
      <c r="P131" s="364">
        <v>1.6666666666666667</v>
      </c>
      <c r="Q131" s="367" t="str">
        <f>IF(OR(L131=1142,L131=1199,L131=1202),"Utesäljare","")</f>
        <v/>
      </c>
      <c r="R131" s="433" t="str">
        <f>_xlfn.IFNA(VLOOKUP(L131,'Röda dagar'!$A$5:$G$137,7,FALSE),"")</f>
        <v>08:00</v>
      </c>
      <c r="S131" s="426">
        <f t="shared" si="5"/>
        <v>0.33333333333333331</v>
      </c>
      <c r="T131" s="2"/>
      <c r="U131" s="2"/>
      <c r="V131" s="2"/>
      <c r="W131" s="358"/>
    </row>
    <row r="132" spans="12:23" x14ac:dyDescent="0.25">
      <c r="L132" s="363">
        <v>1261</v>
      </c>
      <c r="M132" s="423">
        <v>1261</v>
      </c>
      <c r="N132" s="365" t="s">
        <v>392</v>
      </c>
      <c r="P132" s="364">
        <v>1.6666666666666667</v>
      </c>
      <c r="Q132" s="367" t="str">
        <f>IF(OR(L132=1142,L132=1199,L132=1202),"Utesäljare","")</f>
        <v/>
      </c>
      <c r="R132" s="433" t="str">
        <f>_xlfn.IFNA(VLOOKUP(L132,'Röda dagar'!$A$5:$G$137,7,FALSE),"")</f>
        <v>08:00</v>
      </c>
      <c r="S132" s="426">
        <f t="shared" si="5"/>
        <v>0.33333333333333331</v>
      </c>
      <c r="T132" s="2"/>
      <c r="U132" s="2"/>
      <c r="V132" s="2"/>
      <c r="W132" s="358"/>
    </row>
    <row r="133" spans="12:23" x14ac:dyDescent="0.25">
      <c r="L133" s="363">
        <v>1262</v>
      </c>
      <c r="M133" s="423">
        <v>1262</v>
      </c>
      <c r="N133" s="365" t="s">
        <v>436</v>
      </c>
      <c r="P133" s="364">
        <v>1.6666666666666667</v>
      </c>
      <c r="Q133" s="367" t="str">
        <f>IF(OR(L133=1142,L133=1199,L133=1202),"Utesäljare","")</f>
        <v/>
      </c>
      <c r="R133" s="433" t="str">
        <f>_xlfn.IFNA(VLOOKUP(L133,'Röda dagar'!$A$5:$G$137,7,FALSE),"")</f>
        <v>08:00</v>
      </c>
      <c r="S133" s="426">
        <f t="shared" ref="S133:S174" si="9">IF(R133="","",TIME(HOUR(R133),IF(MINUTE(R133)&lt;8,0,IF(MINUTE(R133)&lt;23,15,IF(MINUTE(R133)&lt;38,30,IF(MINUTE(R133)&lt;53,45,0)))),0))</f>
        <v>0.33333333333333331</v>
      </c>
      <c r="T133" s="2"/>
      <c r="U133" s="2"/>
      <c r="V133" s="2"/>
      <c r="W133" s="358"/>
    </row>
    <row r="134" spans="12:23" x14ac:dyDescent="0.25">
      <c r="L134" s="363">
        <v>1263</v>
      </c>
      <c r="M134" s="423">
        <v>1263</v>
      </c>
      <c r="N134" s="365" t="s">
        <v>437</v>
      </c>
      <c r="P134" s="364">
        <v>1.6666666666666667</v>
      </c>
      <c r="Q134" s="367" t="str">
        <f>IF(OR(L134=1142,L134=1199,L134=1202),"Utesäljare","")</f>
        <v/>
      </c>
      <c r="R134" s="433" t="str">
        <f>_xlfn.IFNA(VLOOKUP(L134,'Röda dagar'!$A$5:$G$137,7,FALSE),"")</f>
        <v>08:00</v>
      </c>
      <c r="S134" s="426">
        <f t="shared" si="9"/>
        <v>0.33333333333333331</v>
      </c>
      <c r="T134" s="2"/>
      <c r="U134" s="2"/>
      <c r="V134" s="2"/>
      <c r="W134" s="358"/>
    </row>
    <row r="135" spans="12:23" x14ac:dyDescent="0.25">
      <c r="L135" s="363">
        <v>1264</v>
      </c>
      <c r="M135" s="423">
        <v>1264</v>
      </c>
      <c r="N135" s="680" t="s">
        <v>438</v>
      </c>
      <c r="P135" s="364">
        <v>1.6666666666666667</v>
      </c>
      <c r="R135" s="433" t="str">
        <f>_xlfn.IFNA(VLOOKUP(L135,'Röda dagar'!$A$5:$G$137,7,FALSE),"")</f>
        <v>08:00</v>
      </c>
      <c r="S135" s="426">
        <f t="shared" si="9"/>
        <v>0.33333333333333331</v>
      </c>
      <c r="T135" s="2"/>
      <c r="U135" s="2"/>
      <c r="V135" s="2"/>
      <c r="W135" s="358"/>
    </row>
    <row r="136" spans="12:23" x14ac:dyDescent="0.25">
      <c r="L136" s="363">
        <v>1265</v>
      </c>
      <c r="M136" s="423">
        <v>1265</v>
      </c>
      <c r="N136" s="680" t="s">
        <v>439</v>
      </c>
      <c r="P136" s="364">
        <v>1.6666666666666667</v>
      </c>
      <c r="R136" s="433" t="str">
        <f>_xlfn.IFNA(VLOOKUP(L136,'Röda dagar'!$A$5:$G$137,7,FALSE),"")</f>
        <v>08:00</v>
      </c>
      <c r="S136" s="426">
        <f t="shared" si="9"/>
        <v>0.33333333333333331</v>
      </c>
      <c r="T136" s="2"/>
      <c r="U136" s="2"/>
      <c r="V136" s="2"/>
      <c r="W136" s="358"/>
    </row>
    <row r="137" spans="12:23" x14ac:dyDescent="0.25">
      <c r="L137" s="363">
        <f t="shared" ref="L137:L174" si="10">M137*1</f>
        <v>0</v>
      </c>
      <c r="N137" s="366"/>
      <c r="Q137" s="367" t="str">
        <f t="shared" ref="Q137:Q174" si="11">IF(OR(L137=1142,L137=1199,L137=1202),"Utesäljare","")</f>
        <v/>
      </c>
      <c r="R137" s="433" t="str">
        <f>_xlfn.IFNA(VLOOKUP(L137,'Röda dagar'!$A$5:$G$137,7,FALSE),"")</f>
        <v/>
      </c>
      <c r="S137" s="426" t="str">
        <f t="shared" si="9"/>
        <v/>
      </c>
      <c r="T137" s="2"/>
      <c r="U137" s="2"/>
      <c r="V137" s="2"/>
      <c r="W137" s="358"/>
    </row>
    <row r="138" spans="12:23" x14ac:dyDescent="0.25">
      <c r="L138" s="363">
        <f t="shared" si="10"/>
        <v>0</v>
      </c>
      <c r="N138" s="366"/>
      <c r="Q138" s="367" t="str">
        <f t="shared" si="11"/>
        <v/>
      </c>
      <c r="R138" s="433" t="str">
        <f>_xlfn.IFNA(VLOOKUP(L138,'Röda dagar'!$A$5:$G$137,7,FALSE),"")</f>
        <v/>
      </c>
      <c r="S138" s="426" t="str">
        <f t="shared" si="9"/>
        <v/>
      </c>
      <c r="T138" s="2"/>
      <c r="U138" s="2"/>
      <c r="V138" s="2"/>
      <c r="W138" s="358"/>
    </row>
    <row r="139" spans="12:23" x14ac:dyDescent="0.25">
      <c r="L139" s="363">
        <f t="shared" si="10"/>
        <v>0</v>
      </c>
      <c r="N139" s="366"/>
      <c r="Q139" s="367" t="str">
        <f t="shared" si="11"/>
        <v/>
      </c>
      <c r="R139" s="433" t="str">
        <f>_xlfn.IFNA(VLOOKUP(L139,'Röda dagar'!$A$5:$G$137,7,FALSE),"")</f>
        <v/>
      </c>
      <c r="S139" s="426" t="str">
        <f t="shared" si="9"/>
        <v/>
      </c>
      <c r="T139" s="2"/>
      <c r="U139" s="2"/>
      <c r="V139" s="2"/>
      <c r="W139" s="358"/>
    </row>
    <row r="140" spans="12:23" x14ac:dyDescent="0.25">
      <c r="L140" s="363">
        <f t="shared" si="10"/>
        <v>0</v>
      </c>
      <c r="N140" s="366"/>
      <c r="Q140" s="367" t="str">
        <f t="shared" si="11"/>
        <v/>
      </c>
      <c r="R140" s="433" t="str">
        <f>_xlfn.IFNA(VLOOKUP(L140,'Röda dagar'!$A$5:$G$137,7,FALSE),"")</f>
        <v/>
      </c>
      <c r="S140" s="426" t="str">
        <f t="shared" si="9"/>
        <v/>
      </c>
      <c r="T140" s="2"/>
      <c r="U140" s="2"/>
      <c r="V140" s="2"/>
      <c r="W140" s="358"/>
    </row>
    <row r="141" spans="12:23" x14ac:dyDescent="0.25">
      <c r="L141" s="363">
        <f t="shared" si="10"/>
        <v>0</v>
      </c>
      <c r="N141" s="366"/>
      <c r="Q141" s="367" t="str">
        <f t="shared" si="11"/>
        <v/>
      </c>
      <c r="R141" s="433" t="str">
        <f>_xlfn.IFNA(VLOOKUP(L141,'Röda dagar'!$A$5:$G$137,7,FALSE),"")</f>
        <v/>
      </c>
      <c r="S141" s="426" t="str">
        <f t="shared" si="9"/>
        <v/>
      </c>
      <c r="T141" s="2"/>
      <c r="U141" s="2"/>
      <c r="V141" s="2"/>
      <c r="W141" s="358"/>
    </row>
    <row r="142" spans="12:23" x14ac:dyDescent="0.25">
      <c r="L142" s="363">
        <f t="shared" si="10"/>
        <v>0</v>
      </c>
      <c r="N142" s="366"/>
      <c r="Q142" s="367" t="str">
        <f t="shared" si="11"/>
        <v/>
      </c>
      <c r="R142" s="433" t="str">
        <f>_xlfn.IFNA(VLOOKUP(L142,'Röda dagar'!$A$5:$G$137,7,FALSE),"")</f>
        <v/>
      </c>
      <c r="S142" s="426" t="str">
        <f t="shared" si="9"/>
        <v/>
      </c>
      <c r="T142" s="2"/>
      <c r="U142" s="2"/>
      <c r="V142" s="2"/>
      <c r="W142" s="358"/>
    </row>
    <row r="143" spans="12:23" x14ac:dyDescent="0.25">
      <c r="L143" s="363">
        <f t="shared" si="10"/>
        <v>0</v>
      </c>
      <c r="N143" s="366"/>
      <c r="Q143" s="367" t="str">
        <f t="shared" si="11"/>
        <v/>
      </c>
      <c r="R143" s="433" t="str">
        <f>_xlfn.IFNA(VLOOKUP(L143,'Röda dagar'!$A$5:$G$137,7,FALSE),"")</f>
        <v/>
      </c>
      <c r="S143" s="426" t="str">
        <f t="shared" si="9"/>
        <v/>
      </c>
      <c r="T143" s="2"/>
      <c r="U143" s="2"/>
      <c r="V143" s="2"/>
      <c r="W143" s="358"/>
    </row>
    <row r="144" spans="12:23" x14ac:dyDescent="0.25">
      <c r="L144" s="363">
        <f t="shared" si="10"/>
        <v>0</v>
      </c>
      <c r="N144" s="366"/>
      <c r="Q144" s="367" t="str">
        <f t="shared" si="11"/>
        <v/>
      </c>
      <c r="R144" s="433" t="str">
        <f>_xlfn.IFNA(VLOOKUP(L144,'Röda dagar'!$A$5:$G$137,7,FALSE),"")</f>
        <v/>
      </c>
      <c r="S144" s="426" t="str">
        <f t="shared" si="9"/>
        <v/>
      </c>
      <c r="T144" s="2"/>
      <c r="U144" s="2"/>
      <c r="V144" s="2"/>
      <c r="W144" s="358"/>
    </row>
    <row r="145" spans="12:23" x14ac:dyDescent="0.25">
      <c r="L145" s="363">
        <f t="shared" si="10"/>
        <v>0</v>
      </c>
      <c r="N145" s="366"/>
      <c r="Q145" s="367" t="str">
        <f t="shared" si="11"/>
        <v/>
      </c>
      <c r="R145" s="433" t="str">
        <f>_xlfn.IFNA(VLOOKUP(L145,'Röda dagar'!$A$5:$G$137,7,FALSE),"")</f>
        <v/>
      </c>
      <c r="S145" s="426" t="str">
        <f t="shared" si="9"/>
        <v/>
      </c>
      <c r="T145" s="2"/>
      <c r="U145" s="2"/>
      <c r="V145" s="2"/>
      <c r="W145" s="358"/>
    </row>
    <row r="146" spans="12:23" x14ac:dyDescent="0.25">
      <c r="L146" s="363">
        <f t="shared" si="10"/>
        <v>0</v>
      </c>
      <c r="N146" s="366"/>
      <c r="Q146" s="367" t="str">
        <f t="shared" si="11"/>
        <v/>
      </c>
      <c r="R146" s="433" t="str">
        <f>_xlfn.IFNA(VLOOKUP(L146,'Röda dagar'!$A$5:$G$137,7,FALSE),"")</f>
        <v/>
      </c>
      <c r="S146" s="426" t="str">
        <f t="shared" si="9"/>
        <v/>
      </c>
      <c r="T146" s="2"/>
      <c r="U146" s="2"/>
      <c r="V146" s="2"/>
      <c r="W146" s="358"/>
    </row>
    <row r="147" spans="12:23" x14ac:dyDescent="0.25">
      <c r="L147" s="363">
        <f t="shared" si="10"/>
        <v>0</v>
      </c>
      <c r="N147" s="366"/>
      <c r="Q147" s="367" t="str">
        <f t="shared" si="11"/>
        <v/>
      </c>
      <c r="R147" s="433" t="str">
        <f>_xlfn.IFNA(VLOOKUP(L147,'Röda dagar'!$A$5:$G$137,7,FALSE),"")</f>
        <v/>
      </c>
      <c r="S147" s="426" t="str">
        <f t="shared" si="9"/>
        <v/>
      </c>
      <c r="T147" s="2"/>
      <c r="U147" s="2"/>
      <c r="V147" s="2"/>
      <c r="W147" s="358"/>
    </row>
    <row r="148" spans="12:23" x14ac:dyDescent="0.25">
      <c r="L148" s="363">
        <f t="shared" si="10"/>
        <v>0</v>
      </c>
      <c r="N148" s="366"/>
      <c r="Q148" s="367" t="str">
        <f t="shared" si="11"/>
        <v/>
      </c>
      <c r="R148" s="433" t="str">
        <f>_xlfn.IFNA(VLOOKUP(L148,'Röda dagar'!$A$5:$G$137,7,FALSE),"")</f>
        <v/>
      </c>
      <c r="S148" s="426" t="str">
        <f t="shared" si="9"/>
        <v/>
      </c>
      <c r="T148" s="2"/>
      <c r="U148" s="2"/>
      <c r="V148" s="2"/>
      <c r="W148" s="358"/>
    </row>
    <row r="149" spans="12:23" x14ac:dyDescent="0.25">
      <c r="L149" s="363">
        <f t="shared" si="10"/>
        <v>0</v>
      </c>
      <c r="N149" s="366"/>
      <c r="Q149" s="367" t="str">
        <f t="shared" si="11"/>
        <v/>
      </c>
      <c r="R149" s="433" t="str">
        <f>_xlfn.IFNA(VLOOKUP(L149,'Röda dagar'!$A$5:$G$137,7,FALSE),"")</f>
        <v/>
      </c>
      <c r="S149" s="426" t="str">
        <f t="shared" si="9"/>
        <v/>
      </c>
      <c r="T149" s="2"/>
      <c r="U149" s="2"/>
      <c r="V149" s="2"/>
      <c r="W149" s="358"/>
    </row>
    <row r="150" spans="12:23" x14ac:dyDescent="0.25">
      <c r="L150" s="363">
        <f t="shared" si="10"/>
        <v>0</v>
      </c>
      <c r="N150" s="366"/>
      <c r="Q150" s="367" t="str">
        <f t="shared" si="11"/>
        <v/>
      </c>
      <c r="R150" s="433" t="str">
        <f>_xlfn.IFNA(VLOOKUP(L150,'Röda dagar'!$A$5:$G$137,7,FALSE),"")</f>
        <v/>
      </c>
      <c r="S150" s="426" t="str">
        <f t="shared" si="9"/>
        <v/>
      </c>
      <c r="T150" s="2"/>
      <c r="U150" s="2"/>
      <c r="V150" s="2"/>
      <c r="W150" s="358"/>
    </row>
    <row r="151" spans="12:23" x14ac:dyDescent="0.25">
      <c r="L151" s="363">
        <f t="shared" si="10"/>
        <v>0</v>
      </c>
      <c r="N151" s="366"/>
      <c r="Q151" s="367" t="str">
        <f t="shared" si="11"/>
        <v/>
      </c>
      <c r="R151" s="433" t="str">
        <f>_xlfn.IFNA(VLOOKUP(L151,'Röda dagar'!$A$5:$G$137,7,FALSE),"")</f>
        <v/>
      </c>
      <c r="S151" s="426" t="str">
        <f t="shared" si="9"/>
        <v/>
      </c>
      <c r="T151" s="2"/>
      <c r="U151" s="2"/>
      <c r="V151" s="2"/>
      <c r="W151" s="358"/>
    </row>
    <row r="152" spans="12:23" x14ac:dyDescent="0.25">
      <c r="L152" s="363">
        <f t="shared" si="10"/>
        <v>0</v>
      </c>
      <c r="N152" s="366"/>
      <c r="Q152" s="367" t="str">
        <f t="shared" si="11"/>
        <v/>
      </c>
      <c r="R152" s="433" t="str">
        <f>_xlfn.IFNA(VLOOKUP(L152,'Röda dagar'!$A$5:$G$137,7,FALSE),"")</f>
        <v/>
      </c>
      <c r="S152" s="426" t="str">
        <f t="shared" si="9"/>
        <v/>
      </c>
      <c r="T152" s="2"/>
      <c r="U152" s="2"/>
      <c r="V152" s="2"/>
      <c r="W152" s="358"/>
    </row>
    <row r="153" spans="12:23" x14ac:dyDescent="0.25">
      <c r="L153" s="363">
        <f t="shared" si="10"/>
        <v>0</v>
      </c>
      <c r="N153" s="366"/>
      <c r="Q153" s="367" t="str">
        <f t="shared" si="11"/>
        <v/>
      </c>
      <c r="R153" s="433" t="str">
        <f>_xlfn.IFNA(VLOOKUP(L153,'Röda dagar'!$A$5:$G$137,7,FALSE),"")</f>
        <v/>
      </c>
      <c r="S153" s="426" t="str">
        <f t="shared" si="9"/>
        <v/>
      </c>
      <c r="T153" s="2"/>
      <c r="U153" s="2"/>
      <c r="V153" s="2"/>
      <c r="W153" s="358"/>
    </row>
    <row r="154" spans="12:23" x14ac:dyDescent="0.25">
      <c r="L154" s="363">
        <f t="shared" si="10"/>
        <v>0</v>
      </c>
      <c r="N154" s="366"/>
      <c r="Q154" s="367" t="str">
        <f t="shared" si="11"/>
        <v/>
      </c>
      <c r="R154" s="433" t="str">
        <f>_xlfn.IFNA(VLOOKUP(L154,'Röda dagar'!$A$5:$G$137,7,FALSE),"")</f>
        <v/>
      </c>
      <c r="S154" s="426" t="str">
        <f t="shared" si="9"/>
        <v/>
      </c>
      <c r="T154" s="2"/>
      <c r="U154" s="2"/>
      <c r="V154" s="2"/>
      <c r="W154" s="358"/>
    </row>
    <row r="155" spans="12:23" x14ac:dyDescent="0.25">
      <c r="L155" s="363">
        <f t="shared" si="10"/>
        <v>0</v>
      </c>
      <c r="N155" s="366"/>
      <c r="Q155" s="367" t="str">
        <f t="shared" si="11"/>
        <v/>
      </c>
      <c r="R155" s="433" t="str">
        <f>_xlfn.IFNA(VLOOKUP(L155,'Röda dagar'!$A$5:$G$137,7,FALSE),"")</f>
        <v/>
      </c>
      <c r="S155" s="426" t="str">
        <f t="shared" si="9"/>
        <v/>
      </c>
      <c r="T155" s="2"/>
      <c r="U155" s="2"/>
      <c r="V155" s="2"/>
      <c r="W155" s="358"/>
    </row>
    <row r="156" spans="12:23" x14ac:dyDescent="0.25">
      <c r="L156" s="363">
        <f t="shared" si="10"/>
        <v>0</v>
      </c>
      <c r="N156" s="366"/>
      <c r="Q156" s="367" t="str">
        <f t="shared" si="11"/>
        <v/>
      </c>
      <c r="R156" s="433" t="str">
        <f>_xlfn.IFNA(VLOOKUP(L156,'Röda dagar'!$A$5:$G$137,7,FALSE),"")</f>
        <v/>
      </c>
      <c r="S156" s="426" t="str">
        <f t="shared" si="9"/>
        <v/>
      </c>
      <c r="T156" s="2"/>
      <c r="U156" s="2"/>
      <c r="V156" s="2"/>
      <c r="W156" s="358"/>
    </row>
    <row r="157" spans="12:23" x14ac:dyDescent="0.25">
      <c r="L157" s="363">
        <f t="shared" si="10"/>
        <v>0</v>
      </c>
      <c r="N157" s="366"/>
      <c r="Q157" s="367" t="str">
        <f t="shared" si="11"/>
        <v/>
      </c>
      <c r="R157" s="433" t="str">
        <f>_xlfn.IFNA(VLOOKUP(L157,'Röda dagar'!$A$5:$G$137,7,FALSE),"")</f>
        <v/>
      </c>
      <c r="S157" s="426" t="str">
        <f t="shared" si="9"/>
        <v/>
      </c>
      <c r="T157" s="2"/>
      <c r="U157" s="2"/>
      <c r="V157" s="2"/>
      <c r="W157" s="358"/>
    </row>
    <row r="158" spans="12:23" x14ac:dyDescent="0.25">
      <c r="L158" s="363">
        <f t="shared" si="10"/>
        <v>0</v>
      </c>
      <c r="N158" s="366"/>
      <c r="Q158" s="367" t="str">
        <f t="shared" si="11"/>
        <v/>
      </c>
      <c r="R158" s="433" t="str">
        <f>_xlfn.IFNA(VLOOKUP(L158,'Röda dagar'!$A$5:$G$137,7,FALSE),"")</f>
        <v/>
      </c>
      <c r="S158" s="426" t="str">
        <f t="shared" si="9"/>
        <v/>
      </c>
      <c r="T158" s="2"/>
      <c r="U158" s="2"/>
      <c r="V158" s="2"/>
      <c r="W158" s="358"/>
    </row>
    <row r="159" spans="12:23" x14ac:dyDescent="0.25">
      <c r="L159" s="363">
        <f t="shared" si="10"/>
        <v>0</v>
      </c>
      <c r="N159" s="366"/>
      <c r="Q159" s="367" t="str">
        <f t="shared" si="11"/>
        <v/>
      </c>
      <c r="R159" s="433" t="str">
        <f>_xlfn.IFNA(VLOOKUP(L159,'Röda dagar'!$A$5:$G$137,7,FALSE),"")</f>
        <v/>
      </c>
      <c r="S159" s="426" t="str">
        <f t="shared" si="9"/>
        <v/>
      </c>
      <c r="T159" s="2"/>
      <c r="U159" s="2"/>
      <c r="V159" s="2"/>
      <c r="W159" s="358"/>
    </row>
    <row r="160" spans="12:23" x14ac:dyDescent="0.25">
      <c r="L160" s="363">
        <f t="shared" si="10"/>
        <v>0</v>
      </c>
      <c r="N160" s="366"/>
      <c r="Q160" s="367" t="str">
        <f t="shared" si="11"/>
        <v/>
      </c>
      <c r="R160" s="433" t="str">
        <f>_xlfn.IFNA(VLOOKUP(L160,'Röda dagar'!$A$5:$G$137,7,FALSE),"")</f>
        <v/>
      </c>
      <c r="S160" s="426" t="str">
        <f t="shared" si="9"/>
        <v/>
      </c>
      <c r="T160" s="2"/>
      <c r="U160" s="2"/>
      <c r="V160" s="2"/>
      <c r="W160" s="358"/>
    </row>
    <row r="161" spans="12:23" x14ac:dyDescent="0.25">
      <c r="L161" s="363">
        <f t="shared" si="10"/>
        <v>0</v>
      </c>
      <c r="N161" s="366"/>
      <c r="Q161" s="367" t="str">
        <f t="shared" si="11"/>
        <v/>
      </c>
      <c r="R161" s="433" t="str">
        <f>_xlfn.IFNA(VLOOKUP(L161,'Röda dagar'!$A$5:$G$137,7,FALSE),"")</f>
        <v/>
      </c>
      <c r="S161" s="426" t="str">
        <f t="shared" si="9"/>
        <v/>
      </c>
      <c r="T161" s="2"/>
      <c r="U161" s="2"/>
      <c r="V161" s="2"/>
      <c r="W161" s="358"/>
    </row>
    <row r="162" spans="12:23" x14ac:dyDescent="0.25">
      <c r="L162" s="363">
        <f t="shared" si="10"/>
        <v>0</v>
      </c>
      <c r="N162" s="366"/>
      <c r="Q162" s="367" t="str">
        <f t="shared" si="11"/>
        <v/>
      </c>
      <c r="R162" s="433" t="str">
        <f>_xlfn.IFNA(VLOOKUP(L162,'Röda dagar'!$A$5:$G$137,7,FALSE),"")</f>
        <v/>
      </c>
      <c r="S162" s="426" t="str">
        <f t="shared" si="9"/>
        <v/>
      </c>
      <c r="T162" s="2"/>
      <c r="U162" s="2"/>
      <c r="V162" s="2"/>
      <c r="W162" s="358"/>
    </row>
    <row r="163" spans="12:23" x14ac:dyDescent="0.25">
      <c r="L163" s="363">
        <f t="shared" si="10"/>
        <v>0</v>
      </c>
      <c r="N163" s="366"/>
      <c r="Q163" s="367" t="str">
        <f t="shared" si="11"/>
        <v/>
      </c>
      <c r="R163" s="433" t="str">
        <f>_xlfn.IFNA(VLOOKUP(L163,'Röda dagar'!$A$5:$G$137,7,FALSE),"")</f>
        <v/>
      </c>
      <c r="S163" s="426" t="str">
        <f t="shared" si="9"/>
        <v/>
      </c>
      <c r="T163" s="2"/>
      <c r="U163" s="2"/>
      <c r="V163" s="2"/>
      <c r="W163" s="358"/>
    </row>
    <row r="164" spans="12:23" x14ac:dyDescent="0.25">
      <c r="L164" s="363">
        <f t="shared" si="10"/>
        <v>0</v>
      </c>
      <c r="N164" s="366"/>
      <c r="Q164" s="367" t="str">
        <f t="shared" si="11"/>
        <v/>
      </c>
      <c r="R164" s="433" t="str">
        <f>_xlfn.IFNA(VLOOKUP(L164,'Röda dagar'!$A$5:$G$137,7,FALSE),"")</f>
        <v/>
      </c>
      <c r="S164" s="426" t="str">
        <f t="shared" si="9"/>
        <v/>
      </c>
      <c r="T164" s="2"/>
      <c r="U164" s="2"/>
      <c r="V164" s="2"/>
      <c r="W164" s="358"/>
    </row>
    <row r="165" spans="12:23" x14ac:dyDescent="0.25">
      <c r="L165" s="363">
        <f t="shared" si="10"/>
        <v>0</v>
      </c>
      <c r="N165" s="366"/>
      <c r="Q165" s="367" t="str">
        <f t="shared" si="11"/>
        <v/>
      </c>
      <c r="R165" s="433" t="str">
        <f>_xlfn.IFNA(VLOOKUP(L165,'Röda dagar'!$A$5:$G$137,7,FALSE),"")</f>
        <v/>
      </c>
      <c r="S165" s="426" t="str">
        <f t="shared" si="9"/>
        <v/>
      </c>
      <c r="T165" s="2"/>
      <c r="U165" s="2"/>
      <c r="V165" s="2"/>
      <c r="W165" s="358"/>
    </row>
    <row r="166" spans="12:23" x14ac:dyDescent="0.25">
      <c r="L166" s="363">
        <f t="shared" si="10"/>
        <v>0</v>
      </c>
      <c r="N166" s="366"/>
      <c r="Q166" s="367" t="str">
        <f t="shared" si="11"/>
        <v/>
      </c>
      <c r="R166" s="433" t="str">
        <f>_xlfn.IFNA(VLOOKUP(L166,'Röda dagar'!$A$5:$G$137,7,FALSE),"")</f>
        <v/>
      </c>
      <c r="S166" s="426" t="str">
        <f t="shared" si="9"/>
        <v/>
      </c>
      <c r="T166" s="2"/>
      <c r="U166" s="2"/>
      <c r="V166" s="2"/>
      <c r="W166" s="358"/>
    </row>
    <row r="167" spans="12:23" x14ac:dyDescent="0.25">
      <c r="L167" s="363">
        <f t="shared" si="10"/>
        <v>0</v>
      </c>
      <c r="N167" s="366"/>
      <c r="Q167" s="367" t="str">
        <f t="shared" si="11"/>
        <v/>
      </c>
      <c r="R167" s="433" t="str">
        <f>_xlfn.IFNA(VLOOKUP(L167,'Röda dagar'!$A$5:$G$137,7,FALSE),"")</f>
        <v/>
      </c>
      <c r="S167" s="426" t="str">
        <f t="shared" si="9"/>
        <v/>
      </c>
      <c r="T167" s="2"/>
      <c r="U167" s="2"/>
      <c r="V167" s="2"/>
      <c r="W167" s="358"/>
    </row>
    <row r="168" spans="12:23" x14ac:dyDescent="0.25">
      <c r="L168" s="363">
        <f t="shared" si="10"/>
        <v>0</v>
      </c>
      <c r="N168" s="366"/>
      <c r="Q168" s="367" t="str">
        <f t="shared" si="11"/>
        <v/>
      </c>
      <c r="R168" s="433" t="str">
        <f>_xlfn.IFNA(VLOOKUP(L168,'Röda dagar'!$A$5:$G$137,7,FALSE),"")</f>
        <v/>
      </c>
      <c r="S168" s="426" t="str">
        <f t="shared" si="9"/>
        <v/>
      </c>
      <c r="T168" s="2"/>
      <c r="U168" s="2"/>
      <c r="V168" s="2"/>
      <c r="W168" s="358"/>
    </row>
    <row r="169" spans="12:23" x14ac:dyDescent="0.25">
      <c r="L169" s="363">
        <f t="shared" si="10"/>
        <v>0</v>
      </c>
      <c r="N169" s="366"/>
      <c r="Q169" s="367" t="str">
        <f t="shared" si="11"/>
        <v/>
      </c>
      <c r="R169" s="433" t="str">
        <f>_xlfn.IFNA(VLOOKUP(L169,'Röda dagar'!$A$5:$G$137,7,FALSE),"")</f>
        <v/>
      </c>
      <c r="S169" s="426" t="str">
        <f t="shared" si="9"/>
        <v/>
      </c>
      <c r="T169" s="2"/>
      <c r="U169" s="2"/>
      <c r="V169" s="2"/>
      <c r="W169" s="358"/>
    </row>
    <row r="170" spans="12:23" x14ac:dyDescent="0.25">
      <c r="L170" s="363">
        <f t="shared" si="10"/>
        <v>0</v>
      </c>
      <c r="N170" s="366"/>
      <c r="Q170" s="367" t="str">
        <f t="shared" si="11"/>
        <v/>
      </c>
      <c r="R170" s="433" t="str">
        <f>_xlfn.IFNA(VLOOKUP(L170,'Röda dagar'!$A$5:$G$137,7,FALSE),"")</f>
        <v/>
      </c>
      <c r="S170" s="426" t="str">
        <f t="shared" si="9"/>
        <v/>
      </c>
      <c r="T170" s="2"/>
      <c r="U170" s="2"/>
      <c r="V170" s="2"/>
      <c r="W170" s="358"/>
    </row>
    <row r="171" spans="12:23" x14ac:dyDescent="0.25">
      <c r="L171" s="363">
        <f t="shared" si="10"/>
        <v>0</v>
      </c>
      <c r="N171" s="366"/>
      <c r="Q171" s="367" t="str">
        <f t="shared" si="11"/>
        <v/>
      </c>
      <c r="R171" s="433" t="str">
        <f>_xlfn.IFNA(VLOOKUP(L171,'Röda dagar'!$A$5:$G$137,7,FALSE),"")</f>
        <v/>
      </c>
      <c r="S171" s="426" t="str">
        <f t="shared" si="9"/>
        <v/>
      </c>
      <c r="T171" s="2"/>
      <c r="U171" s="2"/>
      <c r="V171" s="2"/>
      <c r="W171" s="358"/>
    </row>
    <row r="172" spans="12:23" x14ac:dyDescent="0.25">
      <c r="L172" s="363">
        <f t="shared" si="10"/>
        <v>0</v>
      </c>
      <c r="N172" s="366"/>
      <c r="Q172" s="367" t="str">
        <f t="shared" si="11"/>
        <v/>
      </c>
      <c r="R172" s="433" t="str">
        <f>_xlfn.IFNA(VLOOKUP(L172,'Röda dagar'!$A$5:$G$137,7,FALSE),"")</f>
        <v/>
      </c>
      <c r="S172" s="426" t="str">
        <f t="shared" si="9"/>
        <v/>
      </c>
      <c r="T172" s="2"/>
      <c r="U172" s="2"/>
      <c r="V172" s="2"/>
      <c r="W172" s="358"/>
    </row>
    <row r="173" spans="12:23" x14ac:dyDescent="0.25">
      <c r="L173" s="363">
        <f t="shared" si="10"/>
        <v>0</v>
      </c>
      <c r="N173" s="366"/>
      <c r="Q173" s="367" t="str">
        <f t="shared" si="11"/>
        <v/>
      </c>
      <c r="R173" s="433" t="str">
        <f>_xlfn.IFNA(VLOOKUP(L173,'Röda dagar'!$A$5:$G$137,7,FALSE),"")</f>
        <v/>
      </c>
      <c r="S173" s="426" t="str">
        <f t="shared" si="9"/>
        <v/>
      </c>
      <c r="T173" s="2"/>
      <c r="U173" s="2"/>
      <c r="V173" s="2"/>
      <c r="W173" s="358"/>
    </row>
    <row r="174" spans="12:23" x14ac:dyDescent="0.25">
      <c r="L174" s="363">
        <f t="shared" si="10"/>
        <v>0</v>
      </c>
      <c r="N174" s="366"/>
      <c r="Q174" s="367" t="str">
        <f t="shared" si="11"/>
        <v/>
      </c>
      <c r="R174" s="433" t="str">
        <f>_xlfn.IFNA(VLOOKUP(L174,'Röda dagar'!$A$5:$G$137,7,FALSE),"")</f>
        <v/>
      </c>
      <c r="S174" s="426" t="str">
        <f t="shared" si="9"/>
        <v/>
      </c>
      <c r="T174" s="359"/>
      <c r="U174" s="359"/>
      <c r="V174" s="359"/>
      <c r="W174" s="360"/>
    </row>
  </sheetData>
  <mergeCells count="8">
    <mergeCell ref="T1:W1"/>
    <mergeCell ref="A34:C34"/>
    <mergeCell ref="N1:O1"/>
    <mergeCell ref="A1:B1"/>
    <mergeCell ref="A3:B3"/>
    <mergeCell ref="A4:B4"/>
    <mergeCell ref="A2:B2"/>
    <mergeCell ref="H1:I1"/>
  </mergeCells>
  <phoneticPr fontId="14" type="noConversion"/>
  <conditionalFormatting sqref="A16:A18 A20:A31">
    <cfRule type="duplicateValues" dxfId="75" priority="9"/>
  </conditionalFormatting>
  <conditionalFormatting sqref="A26">
    <cfRule type="duplicateValues" dxfId="74" priority="8"/>
  </conditionalFormatting>
  <conditionalFormatting sqref="A19">
    <cfRule type="duplicateValues" dxfId="73" priority="7"/>
  </conditionalFormatting>
  <conditionalFormatting sqref="A33 A35:A41">
    <cfRule type="duplicateValues" dxfId="72" priority="67"/>
  </conditionalFormatting>
  <conditionalFormatting sqref="P2:P5 P7:P122 P124:P201">
    <cfRule type="containsBlanks" dxfId="1" priority="69">
      <formula>LEN(TRIM(P2))=0</formula>
    </cfRule>
    <cfRule type="cellIs" dxfId="0" priority="70" operator="between">
      <formula>0</formula>
      <formula>1.625</formula>
    </cfRule>
  </conditionalFormatting>
  <conditionalFormatting sqref="P6">
    <cfRule type="containsBlanks" dxfId="71" priority="1">
      <formula>LEN(TRIM(P6))=0</formula>
    </cfRule>
    <cfRule type="cellIs" dxfId="70" priority="2" operator="between">
      <formula>0</formula>
      <formula>1.625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C0D5-A677-420B-8A02-B20B24F6A76A}">
  <sheetPr codeName="Blad5">
    <pageSetUpPr fitToPage="1"/>
  </sheetPr>
  <dimension ref="A1:O30"/>
  <sheetViews>
    <sheetView workbookViewId="0">
      <selection activeCell="C9" sqref="C9:D9"/>
    </sheetView>
  </sheetViews>
  <sheetFormatPr defaultColWidth="9.109375" defaultRowHeight="13.2" x14ac:dyDescent="0.25"/>
  <cols>
    <col min="1" max="1" width="15.6640625" style="4" customWidth="1"/>
    <col min="2" max="2" width="14.33203125" style="4" customWidth="1"/>
    <col min="3" max="3" width="12.33203125" style="4" customWidth="1"/>
    <col min="4" max="4" width="9.109375" style="4"/>
    <col min="5" max="5" width="10.109375" style="4" bestFit="1" customWidth="1"/>
    <col min="6" max="14" width="9.109375" style="4"/>
    <col min="15" max="15" width="28.33203125" style="4" customWidth="1"/>
    <col min="16" max="16384" width="9.109375" style="4"/>
  </cols>
  <sheetData>
    <row r="1" spans="1:15" ht="18" x14ac:dyDescent="0.35">
      <c r="A1" s="17" t="s">
        <v>0</v>
      </c>
      <c r="B1" s="50"/>
    </row>
    <row r="2" spans="1:15" ht="14.4" x14ac:dyDescent="0.3">
      <c r="A2" s="18" t="s">
        <v>7</v>
      </c>
      <c r="B2" s="604">
        <f>Tidrapport!C2</f>
        <v>0</v>
      </c>
      <c r="C2" s="604"/>
    </row>
    <row r="3" spans="1:15" ht="14.4" x14ac:dyDescent="0.3">
      <c r="A3" s="18" t="s">
        <v>11</v>
      </c>
      <c r="B3" s="604" t="str">
        <f>Tidrapport!C3</f>
        <v/>
      </c>
      <c r="C3" s="604"/>
    </row>
    <row r="4" spans="1:15" ht="14.4" x14ac:dyDescent="0.3">
      <c r="A4" s="18" t="s">
        <v>14</v>
      </c>
      <c r="B4" s="139">
        <f>Tidrapport!C4</f>
        <v>42870</v>
      </c>
      <c r="C4" s="140">
        <f>Tidrapport!E4</f>
        <v>42900</v>
      </c>
    </row>
    <row r="5" spans="1:15" ht="12.75" customHeight="1" x14ac:dyDescent="0.25"/>
    <row r="6" spans="1:15" ht="18.600000000000001" thickBot="1" x14ac:dyDescent="0.4">
      <c r="A6" s="51" t="s">
        <v>96</v>
      </c>
      <c r="D6" s="22"/>
      <c r="E6" s="21"/>
      <c r="F6" s="21"/>
      <c r="G6" s="52"/>
      <c r="H6" s="22"/>
      <c r="I6" s="52"/>
      <c r="J6" s="53"/>
      <c r="K6" s="21"/>
      <c r="L6" s="21"/>
      <c r="M6" s="21"/>
      <c r="N6" s="21"/>
      <c r="O6" s="21"/>
    </row>
    <row r="7" spans="1:15" ht="19.5" customHeight="1" x14ac:dyDescent="0.25">
      <c r="A7" s="562" t="s">
        <v>67</v>
      </c>
      <c r="B7" s="563"/>
      <c r="C7" s="615" t="s">
        <v>126</v>
      </c>
      <c r="D7" s="616"/>
      <c r="E7" s="617" t="s">
        <v>129</v>
      </c>
      <c r="F7" s="618"/>
      <c r="G7" s="574" t="s">
        <v>94</v>
      </c>
      <c r="H7" s="575"/>
      <c r="I7" s="576"/>
      <c r="J7" s="539" t="s">
        <v>69</v>
      </c>
      <c r="K7" s="572" t="s">
        <v>122</v>
      </c>
      <c r="L7" s="573"/>
      <c r="M7" s="592"/>
      <c r="N7" s="619" t="s">
        <v>69</v>
      </c>
      <c r="O7" s="621" t="s">
        <v>97</v>
      </c>
    </row>
    <row r="8" spans="1:15" ht="19.5" customHeight="1" thickBot="1" x14ac:dyDescent="0.3">
      <c r="A8" s="564"/>
      <c r="B8" s="565"/>
      <c r="C8" s="65" t="s">
        <v>27</v>
      </c>
      <c r="D8" s="23" t="s">
        <v>393</v>
      </c>
      <c r="E8" s="24" t="s">
        <v>27</v>
      </c>
      <c r="F8" s="25" t="s">
        <v>393</v>
      </c>
      <c r="G8" s="26" t="s">
        <v>88</v>
      </c>
      <c r="H8" s="27" t="s">
        <v>31</v>
      </c>
      <c r="I8" s="28" t="s">
        <v>89</v>
      </c>
      <c r="J8" s="540"/>
      <c r="K8" s="29" t="s">
        <v>88</v>
      </c>
      <c r="L8" s="30" t="s">
        <v>90</v>
      </c>
      <c r="M8" s="31" t="s">
        <v>89</v>
      </c>
      <c r="N8" s="620"/>
      <c r="O8" s="622"/>
    </row>
    <row r="9" spans="1:15" ht="19.5" customHeight="1" x14ac:dyDescent="0.3">
      <c r="A9" s="623"/>
      <c r="B9" s="624"/>
      <c r="C9" s="32"/>
      <c r="D9" s="33"/>
      <c r="E9" s="34"/>
      <c r="F9" s="35"/>
      <c r="G9" s="36"/>
      <c r="H9" s="36"/>
      <c r="I9" s="36"/>
      <c r="J9" s="37"/>
      <c r="K9" s="38"/>
      <c r="L9" s="38"/>
      <c r="M9" s="38"/>
      <c r="N9" s="38"/>
      <c r="O9" s="54"/>
    </row>
    <row r="10" spans="1:15" ht="19.5" customHeight="1" x14ac:dyDescent="0.3">
      <c r="A10" s="625"/>
      <c r="B10" s="626"/>
      <c r="C10" s="39"/>
      <c r="D10" s="40"/>
      <c r="E10" s="41"/>
      <c r="F10" s="42"/>
      <c r="G10" s="43"/>
      <c r="H10" s="43"/>
      <c r="I10" s="43"/>
      <c r="J10" s="44"/>
      <c r="K10" s="45"/>
      <c r="L10" s="45"/>
      <c r="M10" s="45"/>
      <c r="N10" s="45"/>
      <c r="O10" s="55"/>
    </row>
    <row r="11" spans="1:15" ht="19.5" customHeight="1" x14ac:dyDescent="0.3">
      <c r="A11" s="605"/>
      <c r="B11" s="606"/>
      <c r="C11" s="39"/>
      <c r="D11" s="40"/>
      <c r="E11" s="41"/>
      <c r="F11" s="42"/>
      <c r="G11" s="43"/>
      <c r="H11" s="43"/>
      <c r="I11" s="43"/>
      <c r="J11" s="44"/>
      <c r="K11" s="45"/>
      <c r="L11" s="45"/>
      <c r="M11" s="45"/>
      <c r="N11" s="45"/>
      <c r="O11" s="55"/>
    </row>
    <row r="12" spans="1:15" ht="19.5" customHeight="1" x14ac:dyDescent="0.3">
      <c r="A12" s="605"/>
      <c r="B12" s="606"/>
      <c r="C12" s="39"/>
      <c r="D12" s="40"/>
      <c r="E12" s="41"/>
      <c r="F12" s="42"/>
      <c r="G12" s="43"/>
      <c r="H12" s="43"/>
      <c r="I12" s="43"/>
      <c r="J12" s="44"/>
      <c r="K12" s="45"/>
      <c r="L12" s="45"/>
      <c r="M12" s="45"/>
      <c r="N12" s="45"/>
      <c r="O12" s="55"/>
    </row>
    <row r="13" spans="1:15" ht="19.5" customHeight="1" x14ac:dyDescent="0.3">
      <c r="A13" s="605"/>
      <c r="B13" s="606"/>
      <c r="C13" s="39"/>
      <c r="D13" s="40"/>
      <c r="E13" s="41"/>
      <c r="F13" s="42"/>
      <c r="G13" s="43"/>
      <c r="H13" s="43"/>
      <c r="I13" s="43"/>
      <c r="J13" s="44"/>
      <c r="K13" s="45"/>
      <c r="L13" s="45"/>
      <c r="M13" s="45"/>
      <c r="N13" s="45"/>
      <c r="O13" s="55"/>
    </row>
    <row r="14" spans="1:15" ht="19.5" customHeight="1" x14ac:dyDescent="0.3">
      <c r="A14" s="605"/>
      <c r="B14" s="606"/>
      <c r="C14" s="39"/>
      <c r="D14" s="40"/>
      <c r="E14" s="41"/>
      <c r="F14" s="42"/>
      <c r="G14" s="43"/>
      <c r="H14" s="43"/>
      <c r="I14" s="43"/>
      <c r="J14" s="44"/>
      <c r="K14" s="45"/>
      <c r="L14" s="45"/>
      <c r="M14" s="45"/>
      <c r="N14" s="45"/>
      <c r="O14" s="55"/>
    </row>
    <row r="15" spans="1:15" ht="19.5" customHeight="1" x14ac:dyDescent="0.3">
      <c r="A15" s="605"/>
      <c r="B15" s="606"/>
      <c r="C15" s="39"/>
      <c r="D15" s="40"/>
      <c r="E15" s="41"/>
      <c r="F15" s="42"/>
      <c r="G15" s="43"/>
      <c r="H15" s="43"/>
      <c r="I15" s="43"/>
      <c r="J15" s="44"/>
      <c r="K15" s="45"/>
      <c r="L15" s="45"/>
      <c r="M15" s="45"/>
      <c r="N15" s="45"/>
      <c r="O15" s="55"/>
    </row>
    <row r="16" spans="1:15" ht="19.5" customHeight="1" x14ac:dyDescent="0.3">
      <c r="A16" s="605"/>
      <c r="B16" s="606"/>
      <c r="C16" s="39"/>
      <c r="D16" s="40"/>
      <c r="E16" s="41"/>
      <c r="F16" s="42"/>
      <c r="G16" s="43"/>
      <c r="H16" s="43"/>
      <c r="I16" s="43"/>
      <c r="J16" s="44"/>
      <c r="K16" s="45"/>
      <c r="L16" s="45"/>
      <c r="M16" s="45"/>
      <c r="N16" s="45"/>
      <c r="O16" s="55"/>
    </row>
    <row r="17" spans="1:15" ht="19.5" customHeight="1" x14ac:dyDescent="0.3">
      <c r="A17" s="605"/>
      <c r="B17" s="606"/>
      <c r="C17" s="39"/>
      <c r="D17" s="40"/>
      <c r="E17" s="41"/>
      <c r="F17" s="42"/>
      <c r="G17" s="43"/>
      <c r="H17" s="43"/>
      <c r="I17" s="43"/>
      <c r="J17" s="44"/>
      <c r="K17" s="45"/>
      <c r="L17" s="45"/>
      <c r="M17" s="45"/>
      <c r="N17" s="45"/>
      <c r="O17" s="55"/>
    </row>
    <row r="18" spans="1:15" ht="19.5" customHeight="1" x14ac:dyDescent="0.3">
      <c r="A18" s="605"/>
      <c r="B18" s="606"/>
      <c r="C18" s="39"/>
      <c r="D18" s="40"/>
      <c r="E18" s="41"/>
      <c r="F18" s="42"/>
      <c r="G18" s="43"/>
      <c r="H18" s="43"/>
      <c r="I18" s="43"/>
      <c r="J18" s="44"/>
      <c r="K18" s="45"/>
      <c r="L18" s="45"/>
      <c r="M18" s="45"/>
      <c r="N18" s="45"/>
      <c r="O18" s="55"/>
    </row>
    <row r="19" spans="1:15" ht="19.5" customHeight="1" x14ac:dyDescent="0.25">
      <c r="A19" s="609"/>
      <c r="B19" s="610"/>
      <c r="C19" s="39"/>
      <c r="D19" s="40"/>
      <c r="E19" s="41"/>
      <c r="F19" s="42"/>
      <c r="G19" s="43"/>
      <c r="H19" s="464"/>
      <c r="I19" s="43"/>
      <c r="J19" s="44"/>
      <c r="K19" s="45"/>
      <c r="L19" s="45"/>
      <c r="M19" s="45"/>
      <c r="N19" s="45"/>
      <c r="O19" s="55"/>
    </row>
    <row r="20" spans="1:15" ht="19.5" customHeight="1" x14ac:dyDescent="0.25">
      <c r="A20" s="611"/>
      <c r="B20" s="612"/>
      <c r="C20" s="46"/>
      <c r="D20" s="464"/>
      <c r="E20" s="42"/>
      <c r="F20" s="42"/>
      <c r="G20" s="43"/>
      <c r="H20" s="464"/>
      <c r="I20" s="43"/>
      <c r="J20" s="44"/>
      <c r="K20" s="42"/>
      <c r="L20" s="42"/>
      <c r="M20" s="42"/>
      <c r="N20" s="42"/>
      <c r="O20" s="55"/>
    </row>
    <row r="21" spans="1:15" ht="19.5" customHeight="1" x14ac:dyDescent="0.25">
      <c r="A21" s="613"/>
      <c r="B21" s="614"/>
      <c r="C21" s="46"/>
      <c r="D21" s="46"/>
      <c r="E21" s="47"/>
      <c r="F21" s="47"/>
      <c r="G21" s="46"/>
      <c r="H21" s="46"/>
      <c r="I21" s="46"/>
      <c r="J21" s="46"/>
      <c r="K21" s="47"/>
      <c r="L21" s="47"/>
      <c r="M21" s="47"/>
      <c r="N21" s="47"/>
      <c r="O21" s="56"/>
    </row>
    <row r="22" spans="1:15" ht="19.5" customHeight="1" x14ac:dyDescent="0.25">
      <c r="A22" s="613"/>
      <c r="B22" s="614"/>
      <c r="C22" s="46"/>
      <c r="D22" s="46"/>
      <c r="E22" s="47"/>
      <c r="F22" s="47"/>
      <c r="G22" s="46"/>
      <c r="H22" s="46"/>
      <c r="I22" s="46"/>
      <c r="J22" s="46"/>
      <c r="K22" s="47"/>
      <c r="L22" s="47"/>
      <c r="M22" s="47"/>
      <c r="N22" s="47"/>
      <c r="O22" s="56"/>
    </row>
    <row r="23" spans="1:15" ht="19.5" customHeight="1" x14ac:dyDescent="0.25">
      <c r="A23" s="613"/>
      <c r="B23" s="614"/>
      <c r="C23" s="46"/>
      <c r="D23" s="46"/>
      <c r="E23" s="47"/>
      <c r="F23" s="47"/>
      <c r="G23" s="46"/>
      <c r="H23" s="46"/>
      <c r="I23" s="46"/>
      <c r="J23" s="46"/>
      <c r="K23" s="47"/>
      <c r="L23" s="47"/>
      <c r="M23" s="47"/>
      <c r="N23" s="47"/>
      <c r="O23" s="56"/>
    </row>
    <row r="24" spans="1:15" ht="19.5" customHeight="1" x14ac:dyDescent="0.25">
      <c r="A24" s="613"/>
      <c r="B24" s="614"/>
      <c r="C24" s="46"/>
      <c r="D24" s="46"/>
      <c r="E24" s="47"/>
      <c r="F24" s="47"/>
      <c r="G24" s="46"/>
      <c r="H24" s="46"/>
      <c r="I24" s="46"/>
      <c r="J24" s="46"/>
      <c r="K24" s="47"/>
      <c r="L24" s="47"/>
      <c r="M24" s="47"/>
      <c r="N24" s="47"/>
      <c r="O24" s="56"/>
    </row>
    <row r="25" spans="1:15" ht="19.5" customHeight="1" x14ac:dyDescent="0.25">
      <c r="A25" s="613"/>
      <c r="B25" s="614"/>
      <c r="C25" s="46"/>
      <c r="D25" s="46"/>
      <c r="E25" s="47"/>
      <c r="F25" s="47"/>
      <c r="G25" s="46"/>
      <c r="H25" s="46"/>
      <c r="I25" s="46"/>
      <c r="J25" s="46"/>
      <c r="K25" s="47"/>
      <c r="L25" s="47"/>
      <c r="M25" s="47"/>
      <c r="N25" s="47"/>
      <c r="O25" s="56"/>
    </row>
    <row r="26" spans="1:15" ht="19.5" customHeight="1" x14ac:dyDescent="0.25">
      <c r="A26" s="613"/>
      <c r="B26" s="614"/>
      <c r="C26" s="46"/>
      <c r="D26" s="46"/>
      <c r="E26" s="47"/>
      <c r="F26" s="47"/>
      <c r="G26" s="46"/>
      <c r="H26" s="46"/>
      <c r="I26" s="46"/>
      <c r="J26" s="46"/>
      <c r="K26" s="47"/>
      <c r="L26" s="47"/>
      <c r="M26" s="47"/>
      <c r="N26" s="47"/>
      <c r="O26" s="56"/>
    </row>
    <row r="27" spans="1:15" ht="19.5" customHeight="1" x14ac:dyDescent="0.25">
      <c r="A27" s="613"/>
      <c r="B27" s="614"/>
      <c r="C27" s="46"/>
      <c r="D27" s="46"/>
      <c r="E27" s="47"/>
      <c r="F27" s="47"/>
      <c r="G27" s="46"/>
      <c r="H27" s="46"/>
      <c r="I27" s="46"/>
      <c r="J27" s="46"/>
      <c r="K27" s="47"/>
      <c r="L27" s="47"/>
      <c r="M27" s="47"/>
      <c r="N27" s="47"/>
      <c r="O27" s="56"/>
    </row>
    <row r="28" spans="1:15" ht="19.5" customHeight="1" x14ac:dyDescent="0.25">
      <c r="A28" s="613"/>
      <c r="B28" s="614"/>
      <c r="C28" s="46"/>
      <c r="D28" s="46"/>
      <c r="E28" s="47"/>
      <c r="F28" s="47"/>
      <c r="G28" s="46"/>
      <c r="H28" s="46"/>
      <c r="I28" s="46"/>
      <c r="J28" s="46"/>
      <c r="K28" s="47"/>
      <c r="L28" s="47"/>
      <c r="M28" s="47"/>
      <c r="N28" s="47"/>
      <c r="O28" s="56"/>
    </row>
    <row r="29" spans="1:15" ht="19.5" customHeight="1" x14ac:dyDescent="0.25">
      <c r="A29" s="613"/>
      <c r="B29" s="614"/>
      <c r="C29" s="46"/>
      <c r="D29" s="46"/>
      <c r="E29" s="47"/>
      <c r="F29" s="47"/>
      <c r="G29" s="46"/>
      <c r="H29" s="46"/>
      <c r="I29" s="46"/>
      <c r="J29" s="46"/>
      <c r="K29" s="47"/>
      <c r="L29" s="47"/>
      <c r="M29" s="47"/>
      <c r="N29" s="47"/>
      <c r="O29" s="56"/>
    </row>
    <row r="30" spans="1:15" ht="19.5" customHeight="1" thickBot="1" x14ac:dyDescent="0.3">
      <c r="A30" s="607"/>
      <c r="B30" s="608"/>
      <c r="C30" s="48"/>
      <c r="D30" s="48"/>
      <c r="E30" s="49"/>
      <c r="F30" s="49"/>
      <c r="G30" s="48"/>
      <c r="H30" s="48"/>
      <c r="I30" s="48"/>
      <c r="J30" s="48"/>
      <c r="K30" s="49"/>
      <c r="L30" s="49"/>
      <c r="M30" s="49"/>
      <c r="N30" s="49"/>
      <c r="O30" s="57"/>
    </row>
  </sheetData>
  <mergeCells count="32">
    <mergeCell ref="O7:O8"/>
    <mergeCell ref="J7:J8"/>
    <mergeCell ref="K7:M7"/>
    <mergeCell ref="A13:B13"/>
    <mergeCell ref="A14:B14"/>
    <mergeCell ref="A12:B12"/>
    <mergeCell ref="A7:B8"/>
    <mergeCell ref="A9:B9"/>
    <mergeCell ref="A10:B10"/>
    <mergeCell ref="A11:B11"/>
    <mergeCell ref="A18:B18"/>
    <mergeCell ref="C7:D7"/>
    <mergeCell ref="E7:F7"/>
    <mergeCell ref="G7:I7"/>
    <mergeCell ref="N7:N8"/>
    <mergeCell ref="A15:B15"/>
    <mergeCell ref="B2:C2"/>
    <mergeCell ref="B3:C3"/>
    <mergeCell ref="A16:B16"/>
    <mergeCell ref="A17:B17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7" right="0.7" top="0.75" bottom="0.75" header="0.3" footer="0.3"/>
  <pageSetup paperSize="9" scale="51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03EFC-9813-4345-BF23-190B29A2BFCD}">
  <sheetPr codeName="Blad9">
    <pageSetUpPr fitToPage="1"/>
  </sheetPr>
  <dimension ref="A1:AH83"/>
  <sheetViews>
    <sheetView zoomScale="90" zoomScaleNormal="90" workbookViewId="0">
      <pane ySplit="11" topLeftCell="A12" activePane="bottomLeft" state="frozen"/>
      <selection activeCell="A13" sqref="A13"/>
      <selection pane="bottomLeft" activeCell="AA16" sqref="AA16"/>
    </sheetView>
  </sheetViews>
  <sheetFormatPr defaultRowHeight="13.2" x14ac:dyDescent="0.25"/>
  <cols>
    <col min="1" max="1" width="11" style="218" customWidth="1"/>
    <col min="2" max="2" width="5.109375" style="13" customWidth="1"/>
    <col min="3" max="3" width="6.6640625" customWidth="1"/>
    <col min="4" max="4" width="6.44140625" customWidth="1"/>
    <col min="5" max="5" width="7.109375" style="80" customWidth="1"/>
    <col min="6" max="6" width="6.109375" customWidth="1"/>
    <col min="7" max="7" width="6.44140625" customWidth="1"/>
    <col min="8" max="8" width="7" customWidth="1"/>
    <col min="9" max="9" width="6.33203125" style="80" customWidth="1"/>
    <col min="10" max="10" width="6.5546875" style="80" customWidth="1"/>
    <col min="11" max="11" width="6.88671875" style="80" customWidth="1"/>
    <col min="12" max="12" width="7.109375" style="80" customWidth="1"/>
    <col min="13" max="13" width="6.6640625" style="80" customWidth="1"/>
    <col min="14" max="14" width="8" style="80" customWidth="1"/>
    <col min="15" max="15" width="8.44140625" style="143" customWidth="1"/>
    <col min="16" max="16" width="6.6640625" style="80" customWidth="1"/>
    <col min="17" max="17" width="8.88671875" style="80" customWidth="1"/>
    <col min="18" max="18" width="6.6640625" style="80" customWidth="1"/>
    <col min="19" max="19" width="8.5546875" style="80" customWidth="1"/>
    <col min="20" max="20" width="7" style="80" customWidth="1"/>
    <col min="21" max="22" width="6.6640625" style="80" customWidth="1"/>
    <col min="23" max="23" width="7" style="80" customWidth="1"/>
    <col min="24" max="24" width="10" style="80" customWidth="1"/>
    <col min="25" max="25" width="32.44140625" style="218" customWidth="1"/>
    <col min="26" max="26" width="3.6640625" customWidth="1"/>
    <col min="27" max="27" width="9.88671875" style="89" customWidth="1"/>
    <col min="28" max="28" width="12.33203125" bestFit="1" customWidth="1"/>
    <col min="29" max="29" width="9.6640625" customWidth="1"/>
    <col min="30" max="30" width="6.33203125" customWidth="1"/>
    <col min="31" max="31" width="6.6640625" customWidth="1"/>
    <col min="32" max="32" width="7.33203125" customWidth="1"/>
    <col min="33" max="33" width="6.33203125" customWidth="1"/>
  </cols>
  <sheetData>
    <row r="1" spans="1:33" ht="18.75" customHeight="1" thickBot="1" x14ac:dyDescent="0.4">
      <c r="A1" s="9" t="s">
        <v>0</v>
      </c>
      <c r="B1"/>
      <c r="E1" s="454"/>
      <c r="G1" s="512" t="s">
        <v>1</v>
      </c>
      <c r="H1" s="512"/>
      <c r="I1" s="512"/>
      <c r="J1" s="86" t="s">
        <v>2</v>
      </c>
      <c r="K1" s="454"/>
      <c r="L1" s="513" t="s">
        <v>3</v>
      </c>
      <c r="M1" s="513"/>
      <c r="N1" s="238"/>
      <c r="P1" s="143"/>
      <c r="Q1" s="454"/>
      <c r="R1" s="454"/>
      <c r="S1" s="454"/>
      <c r="T1" s="454"/>
      <c r="U1" s="454"/>
      <c r="V1" s="454"/>
      <c r="W1" s="454"/>
      <c r="X1" s="454"/>
      <c r="Y1" s="453"/>
    </row>
    <row r="2" spans="1:33" ht="14.4" x14ac:dyDescent="0.3">
      <c r="A2" s="524" t="s">
        <v>7</v>
      </c>
      <c r="B2" s="644"/>
      <c r="C2" s="645">
        <v>1210</v>
      </c>
      <c r="D2" s="645"/>
      <c r="E2" s="645"/>
      <c r="F2" s="646"/>
      <c r="G2" s="104">
        <f>LEN(C2)</f>
        <v>4</v>
      </c>
      <c r="H2" s="523" t="s">
        <v>12</v>
      </c>
      <c r="I2" s="523"/>
      <c r="J2" s="76" t="str">
        <f>IF(Bilersättning!J31=" ","Nej","Ja")</f>
        <v>Nej</v>
      </c>
      <c r="K2" s="237"/>
      <c r="L2" s="647"/>
      <c r="M2" s="648"/>
      <c r="N2" s="648"/>
      <c r="O2" s="648"/>
      <c r="P2" s="649"/>
      <c r="Q2" s="454"/>
      <c r="R2" s="454"/>
      <c r="S2" s="454"/>
      <c r="T2" s="454"/>
      <c r="U2" s="454"/>
      <c r="V2" s="454"/>
      <c r="W2" s="454"/>
      <c r="X2" s="236" t="str">
        <f>IF(COUNTIF($Z$12:$Z$42,"! A"),"Felkod A","")</f>
        <v/>
      </c>
      <c r="Y2" s="466" t="str">
        <f>IF(X2="","","Arbetad tid och övertid överensstämmer ej")</f>
        <v/>
      </c>
      <c r="Z2" s="466"/>
      <c r="AA2" s="466"/>
      <c r="AB2" s="466"/>
      <c r="AC2" s="75"/>
    </row>
    <row r="3" spans="1:33" ht="14.4" customHeight="1" x14ac:dyDescent="0.3">
      <c r="A3" s="519" t="s">
        <v>11</v>
      </c>
      <c r="B3" s="656"/>
      <c r="C3" s="657" t="str">
        <f>IF(VLOOKUP(C2,Grunddata!L2:N201,3,FALSE)=0,"",VLOOKUP(C2,Grunddata!L2:N201,3,FALSE))</f>
        <v>Malin Westerlund</v>
      </c>
      <c r="D3" s="658"/>
      <c r="E3" s="658"/>
      <c r="F3" s="659"/>
      <c r="I3" s="221" t="s">
        <v>8</v>
      </c>
      <c r="J3" s="76" t="str">
        <f>IF(Utlägg!E39=" ","Nej","Ja")</f>
        <v>Nej</v>
      </c>
      <c r="K3" s="454"/>
      <c r="L3" s="650"/>
      <c r="M3" s="651"/>
      <c r="N3" s="651"/>
      <c r="O3" s="651"/>
      <c r="P3" s="652"/>
      <c r="Q3" s="454"/>
      <c r="R3" s="454"/>
      <c r="S3" s="454"/>
      <c r="T3" s="454"/>
      <c r="U3" s="454"/>
      <c r="V3" s="454"/>
      <c r="W3" s="454"/>
      <c r="X3" s="236" t="str">
        <f>IF(COUNTIF($Z$12:$Z$42,"! B"),"Felkod B","")</f>
        <v/>
      </c>
      <c r="Y3" s="466" t="str">
        <f>IF(X3="","","Arbetad tid + frånvaro överstiger 8 timmar")</f>
        <v/>
      </c>
      <c r="Z3" s="466"/>
      <c r="AA3" s="466"/>
      <c r="AB3" s="466"/>
      <c r="AC3" s="75"/>
    </row>
    <row r="4" spans="1:33" ht="14.4" customHeight="1" thickBot="1" x14ac:dyDescent="0.35">
      <c r="A4" s="521" t="s">
        <v>14</v>
      </c>
      <c r="B4" s="660"/>
      <c r="C4" s="661">
        <f>A12</f>
        <v>42691</v>
      </c>
      <c r="D4" s="662"/>
      <c r="E4" s="662">
        <f>LARGE(A38:A40,1)</f>
        <v>42719</v>
      </c>
      <c r="F4" s="663"/>
      <c r="H4" s="239" t="s">
        <v>394</v>
      </c>
      <c r="I4" s="221" t="s">
        <v>395</v>
      </c>
      <c r="J4" s="89" t="str">
        <f>IF(COUNTA('Inrikes traktamente'!C9:C30)&gt;0,"Ja","Nej")</f>
        <v>Nej</v>
      </c>
      <c r="K4" s="454"/>
      <c r="L4" s="650"/>
      <c r="M4" s="651"/>
      <c r="N4" s="651"/>
      <c r="O4" s="651"/>
      <c r="P4" s="652"/>
      <c r="Q4" s="454"/>
      <c r="R4" s="454"/>
      <c r="S4" s="454"/>
      <c r="T4" s="454"/>
      <c r="U4" s="454"/>
      <c r="V4" s="454"/>
      <c r="W4" s="454"/>
      <c r="X4" s="221" t="str">
        <f>IF(COUNTIF($Z$12:$Z$42,"! C"),"Felkod C","")</f>
        <v/>
      </c>
      <c r="Y4" s="466" t="str">
        <f>IF(X4="","","Semester kan ej kombineras med annat än sjukskrivning")</f>
        <v/>
      </c>
      <c r="Z4" s="466"/>
      <c r="AA4" s="466"/>
      <c r="AB4" s="466"/>
      <c r="AC4" s="75"/>
    </row>
    <row r="5" spans="1:33" ht="13.5" customHeight="1" thickBot="1" x14ac:dyDescent="0.3">
      <c r="A5" s="453"/>
      <c r="E5" s="454"/>
      <c r="I5" s="221" t="s">
        <v>396</v>
      </c>
      <c r="J5" s="89" t="str">
        <f>IF(COUNTA('Utrikes traktamente v1'!A9:B30)&gt;0,"Ja","Nej")</f>
        <v>Nej</v>
      </c>
      <c r="K5" s="454"/>
      <c r="L5" s="653"/>
      <c r="M5" s="654"/>
      <c r="N5" s="654"/>
      <c r="O5" s="654"/>
      <c r="P5" s="655"/>
      <c r="Q5" s="454"/>
      <c r="R5" s="454"/>
      <c r="S5" s="454"/>
      <c r="T5" s="454"/>
      <c r="U5" s="454"/>
      <c r="V5" s="454"/>
      <c r="W5" s="454"/>
      <c r="X5" s="221" t="str">
        <f>IF(COUNTIF($Z$12:$Z$42,"! D"),"Felkod D","")</f>
        <v/>
      </c>
      <c r="Y5" s="475" t="str">
        <f>IF(X5="","","Komp/ATK kan ej tas ut på ledig dag")</f>
        <v/>
      </c>
      <c r="Z5" s="475"/>
      <c r="AA5" s="475"/>
      <c r="AB5" s="475"/>
    </row>
    <row r="6" spans="1:33" ht="12.75" customHeight="1" x14ac:dyDescent="0.25">
      <c r="A6" s="640" t="s">
        <v>397</v>
      </c>
      <c r="B6" s="641"/>
      <c r="C6" s="247" t="s">
        <v>398</v>
      </c>
      <c r="D6" s="248"/>
      <c r="E6" s="249" t="s">
        <v>399</v>
      </c>
      <c r="F6" s="250"/>
      <c r="I6" s="454"/>
      <c r="J6" s="454"/>
      <c r="K6" s="454"/>
      <c r="L6" s="454"/>
      <c r="M6" s="454"/>
      <c r="N6" s="454"/>
      <c r="P6" s="454"/>
      <c r="Q6" s="454"/>
      <c r="R6" s="454"/>
      <c r="S6" s="454"/>
      <c r="T6" s="454"/>
      <c r="U6" s="454"/>
      <c r="V6" s="642" t="s">
        <v>400</v>
      </c>
      <c r="W6" s="643"/>
      <c r="X6" s="221" t="str">
        <f>IF(COUNTIF($Z$12:$Z$42,"! E"),"Felkod E","")</f>
        <v/>
      </c>
      <c r="Y6" s="475" t="str">
        <f>IF(X6="","","Summerad frånvaro överstiger 8 timmar")</f>
        <v/>
      </c>
      <c r="Z6" s="475"/>
      <c r="AA6" s="475"/>
      <c r="AB6" s="475"/>
    </row>
    <row r="7" spans="1:33" ht="15.6" customHeight="1" thickBot="1" x14ac:dyDescent="0.3">
      <c r="A7" s="629" t="s">
        <v>401</v>
      </c>
      <c r="B7" s="630"/>
      <c r="C7" s="631"/>
      <c r="D7" s="246">
        <f>IF(Grunddata!D34&gt;0,VLOOKUP(C2,Grunddata!L2:S174,8,FALSE),"")</f>
        <v>0.30208333333333331</v>
      </c>
      <c r="E7"/>
      <c r="G7" s="632" t="s">
        <v>402</v>
      </c>
      <c r="H7" s="633"/>
      <c r="I7" s="633"/>
      <c r="J7" s="633"/>
      <c r="K7" s="633"/>
      <c r="L7" s="633"/>
      <c r="M7" s="633"/>
      <c r="N7" s="633"/>
      <c r="O7" s="633"/>
      <c r="P7" s="634"/>
      <c r="Q7" s="454"/>
      <c r="R7" s="454"/>
      <c r="S7" s="454"/>
      <c r="T7" s="454"/>
      <c r="U7" s="454"/>
      <c r="V7" s="638">
        <f>IF(F6="",D6+V43,-F6+V43)</f>
        <v>0</v>
      </c>
      <c r="W7" s="639"/>
      <c r="X7" s="221" t="str">
        <f>IF(COUNTIF($AB$12:$AB$42,"! F"),"Felkod F","")</f>
        <v/>
      </c>
      <c r="Y7" s="475" t="str">
        <f>IF(X7="","","Övertid avser tid över ordinarie veckoarbetstid (40 tim) (ignorera om veckan ej är slut)")</f>
        <v/>
      </c>
      <c r="Z7" s="475"/>
      <c r="AA7" s="475"/>
      <c r="AB7" s="475"/>
      <c r="AC7" s="475"/>
      <c r="AD7" s="475"/>
      <c r="AE7" s="475"/>
      <c r="AF7" s="475"/>
      <c r="AG7" s="475"/>
    </row>
    <row r="8" spans="1:33" ht="14.4" customHeight="1" thickBot="1" x14ac:dyDescent="0.3">
      <c r="A8" s="453"/>
      <c r="B8" s="241"/>
      <c r="C8" s="254"/>
      <c r="D8" s="254"/>
      <c r="E8" s="254"/>
      <c r="F8" s="254"/>
      <c r="G8" s="635"/>
      <c r="H8" s="636"/>
      <c r="I8" s="636"/>
      <c r="J8" s="636"/>
      <c r="K8" s="636"/>
      <c r="L8" s="636"/>
      <c r="M8" s="636"/>
      <c r="N8" s="636"/>
      <c r="O8" s="636"/>
      <c r="P8" s="637"/>
      <c r="Q8" s="254"/>
      <c r="R8" s="254"/>
      <c r="S8" s="254"/>
      <c r="T8" s="254"/>
      <c r="U8" s="254"/>
      <c r="V8" s="454"/>
      <c r="W8" s="454"/>
      <c r="X8" s="221"/>
      <c r="Y8" s="83"/>
      <c r="Z8" s="83"/>
      <c r="AA8" s="469" t="s">
        <v>21</v>
      </c>
      <c r="AB8" s="102"/>
    </row>
    <row r="9" spans="1:33" ht="15.75" customHeight="1" thickBot="1" x14ac:dyDescent="0.35">
      <c r="A9" s="91" t="s">
        <v>22</v>
      </c>
      <c r="B9" s="92"/>
      <c r="C9" s="480" t="s">
        <v>23</v>
      </c>
      <c r="D9" s="481"/>
      <c r="E9" s="481"/>
      <c r="F9" s="481"/>
      <c r="G9" s="481"/>
      <c r="H9" s="481"/>
      <c r="I9" s="481"/>
      <c r="J9" s="484"/>
      <c r="K9" s="480" t="s">
        <v>24</v>
      </c>
      <c r="L9" s="481"/>
      <c r="M9" s="481"/>
      <c r="N9" s="481"/>
      <c r="O9" s="481"/>
      <c r="P9" s="484"/>
      <c r="Q9" s="480" t="s">
        <v>25</v>
      </c>
      <c r="R9" s="481"/>
      <c r="S9" s="481"/>
      <c r="T9" s="481"/>
      <c r="U9" s="481"/>
      <c r="V9" s="481"/>
      <c r="W9" s="484"/>
      <c r="X9" s="253" t="s">
        <v>403</v>
      </c>
      <c r="Y9" s="453"/>
      <c r="AA9" s="470"/>
      <c r="AB9" s="102"/>
    </row>
    <row r="10" spans="1:33" ht="15.75" customHeight="1" thickBot="1" x14ac:dyDescent="0.3">
      <c r="A10" s="527" t="s">
        <v>27</v>
      </c>
      <c r="B10" s="472" t="s">
        <v>28</v>
      </c>
      <c r="C10" s="515" t="s">
        <v>29</v>
      </c>
      <c r="D10" s="516"/>
      <c r="E10" s="220" t="s">
        <v>30</v>
      </c>
      <c r="F10" s="485" t="s">
        <v>31</v>
      </c>
      <c r="G10" s="485" t="s">
        <v>32</v>
      </c>
      <c r="H10" s="493" t="s">
        <v>33</v>
      </c>
      <c r="I10" s="485" t="s">
        <v>34</v>
      </c>
      <c r="J10" s="482" t="s">
        <v>35</v>
      </c>
      <c r="K10" s="84" t="s">
        <v>36</v>
      </c>
      <c r="L10" s="84" t="s">
        <v>37</v>
      </c>
      <c r="M10" s="84" t="s">
        <v>38</v>
      </c>
      <c r="N10" s="84" t="s">
        <v>39</v>
      </c>
      <c r="O10" s="144" t="s">
        <v>40</v>
      </c>
      <c r="P10" s="84" t="s">
        <v>41</v>
      </c>
      <c r="Q10" s="84" t="s">
        <v>42</v>
      </c>
      <c r="R10" s="489" t="s">
        <v>43</v>
      </c>
      <c r="S10" s="490"/>
      <c r="T10" s="526"/>
      <c r="U10" s="459" t="s">
        <v>19</v>
      </c>
      <c r="V10" s="489" t="s">
        <v>44</v>
      </c>
      <c r="W10" s="490"/>
      <c r="X10" s="252"/>
      <c r="Y10" s="455"/>
      <c r="Z10" s="67"/>
      <c r="AA10" s="457"/>
      <c r="AB10" s="67"/>
      <c r="AE10" s="7"/>
    </row>
    <row r="11" spans="1:33" ht="30" customHeight="1" thickBot="1" x14ac:dyDescent="0.3">
      <c r="A11" s="528"/>
      <c r="B11" s="473"/>
      <c r="C11" s="199" t="s">
        <v>46</v>
      </c>
      <c r="D11" s="198" t="s">
        <v>47</v>
      </c>
      <c r="E11" s="197" t="s">
        <v>48</v>
      </c>
      <c r="F11" s="486" t="s">
        <v>31</v>
      </c>
      <c r="G11" s="486"/>
      <c r="H11" s="494"/>
      <c r="I11" s="486"/>
      <c r="J11" s="483"/>
      <c r="K11" s="73" t="s">
        <v>49</v>
      </c>
      <c r="L11" s="73" t="s">
        <v>50</v>
      </c>
      <c r="M11" s="73" t="s">
        <v>51</v>
      </c>
      <c r="N11" s="73" t="s">
        <v>52</v>
      </c>
      <c r="O11" s="73" t="s">
        <v>53</v>
      </c>
      <c r="P11" s="73" t="s">
        <v>54</v>
      </c>
      <c r="Q11" s="222" t="s">
        <v>55</v>
      </c>
      <c r="R11" s="196" t="s">
        <v>56</v>
      </c>
      <c r="S11" s="195" t="s">
        <v>57</v>
      </c>
      <c r="T11" s="194" t="s">
        <v>58</v>
      </c>
      <c r="U11" s="194" t="s">
        <v>59</v>
      </c>
      <c r="V11" s="197" t="s">
        <v>60</v>
      </c>
      <c r="W11" s="195" t="s">
        <v>61</v>
      </c>
      <c r="X11" s="251" t="s">
        <v>404</v>
      </c>
      <c r="Y11" s="193" t="s">
        <v>62</v>
      </c>
      <c r="Z11" s="454"/>
      <c r="AB11" s="2"/>
    </row>
    <row r="12" spans="1:33" s="113" customFormat="1" ht="30" customHeight="1" x14ac:dyDescent="0.25">
      <c r="A12" s="213">
        <v>42691</v>
      </c>
      <c r="B12" s="212">
        <f>A12</f>
        <v>42691</v>
      </c>
      <c r="C12" s="211"/>
      <c r="D12" s="211"/>
      <c r="E12" s="210"/>
      <c r="F12" s="210"/>
      <c r="G12" s="209"/>
      <c r="H12" s="447" t="str">
        <f t="shared" ref="H12:H42" si="0">IF(AND(D12="",E12=""),"",(D12-C12+E12-F12-G12))</f>
        <v/>
      </c>
      <c r="I12" s="155" t="str">
        <f>IF($J$1="Ja",IF(F12&gt;0,IF(AND(WEEKDAY(A12,2)&lt;6,COUNTIF(Grunddata!$A$14:$A$17,A12)=0,C12&gt;0),"BL",""),""),"")</f>
        <v/>
      </c>
      <c r="J12" s="207"/>
      <c r="K12" s="206"/>
      <c r="L12" s="210"/>
      <c r="M12" s="210"/>
      <c r="N12" s="210"/>
      <c r="O12" s="205"/>
      <c r="P12" s="204"/>
      <c r="Q12" s="203"/>
      <c r="R12" s="208"/>
      <c r="S12" s="204"/>
      <c r="T12" s="204"/>
      <c r="U12" s="204"/>
      <c r="V12" s="450" t="str">
        <f>IF(OR(Z12="! A",Z12="! B",Z12="! C",Z12="! D",Z12="! E",O12&gt;0,H12="",AND(WEEKDAY(A12,2)&gt;5,H12=""),AND(H12="",K12="",L12="",M12="",N12="",O12="",P12="",R12="",S12="",T12="",U12="")),"",IF(OR(WEEKDAY(A12,2)&gt;5,COUNTIF(Grunddata!$A$15:$A$18,A12)&gt;0),H12-R12-S12,IF(H12+K12+L12+M12+N12+O12+P12-R12-S12+T12+U12=Grunddata!$C$1,"",IF(H12+K12+L12+M12+N12+O12+P12-R12-S12+T12-U12&gt;Grunddata!$C$1,H12+K12+L12+M12+N12+O12+P12-R12-S12+T12-U12-Grunddata!$C$1,""))))</f>
        <v/>
      </c>
      <c r="W12" s="451" t="str">
        <f>IF(OR(Z12="! A",Z12="! B",Z12="! C",Z12="! D",Z12="! E",O12&gt;0,H12="",AND(WEEKDAY(A12,2)&gt;5,H12=""),AND(H12="",K12="",L12="",M12="",N12="",O12="",P12="",R12="",S12="",T12="",U12="")),"",IF(OR(WEEKDAY(A12,2)&gt;5,COUNTIF(Grunddata!$A$15:$A$18,A12)&gt;0),"",IF(H12+K12+L12+M12+N12+O12+P12-R12-S12+T12+U12=Grunddata!$C$1,"",IF(H12+K12+L12+M12+N12+O12+P12-R12-S12+T12-U12&lt;Grunddata!$C$1,H12+K12+L12+M12+N12+O12+P12-R12-S12+T12-U12-Grunddata!$C$1,""))))</f>
        <v/>
      </c>
      <c r="X12" s="202" t="str">
        <f>IF(AND(WEEKDAY(A12,2)&lt;6,COUNTIF(Grunddata!$A$15:$A$21,A12)&gt;0),$D$7,IF(H12="","",IF(V12="",IF(W12="",H12-R12-S12,H12-R12-S12-W12),H12-R12-S12-V12)))</f>
        <v/>
      </c>
      <c r="Y12" s="201"/>
      <c r="Z12" s="200" t="str">
        <f>IF(AND(WEEKDAY(A12,2)&gt;5,OR(U12&gt;0,T12&gt;0)),"! D",IF(O12&gt;0,IF(H12="",IF(COUNTA(L12:N12,P12:U12)&gt;0,"! C",""),"! C"),IF(H12="",IF(COUNTA(R12:S12),"! A",IF(K12+L12+M12+N12+P12+T12+U12&gt;Grunddata!$C$1,"! E","")),IF(AND(H12&gt;Grunddata!$C$1,K12="",L12="",M12="",N12="",O12="",P12=""),"",IF(H12+K12+L12+M12+N12+P12+T12+U12&gt;Grunddata!$C$1,"! B","")))))</f>
        <v/>
      </c>
      <c r="AA12" s="97" t="str">
        <f>IF(WEEKDAY(A12,2)=7,SUM(X6:X12)+SUM(K6:K12)+SUM(L6:L12)+SUM(M6:M12)+SUM(N6:N12)+COUNT(O6:O12)*Grunddata!$C$1+SUM(P6:P12)+SUM(R6:R12)+SUM(S6:S12)+SUM(T6:T12)+SUM(U6:U12)+SUM(V6:V12)+SUM(W6:W12),"")</f>
        <v/>
      </c>
      <c r="AB12" s="214" t="str">
        <f>IF(AND(WEEKDAY(A12,2)=7,SUM(R7:S12)&gt;0),IF(AA12-SUM(R7:S12)&lt;Grunddata!$C$2,"! F",""),"")</f>
        <v/>
      </c>
    </row>
    <row r="13" spans="1:33" s="113" customFormat="1" ht="30" customHeight="1" x14ac:dyDescent="0.25">
      <c r="A13" s="213">
        <v>42692</v>
      </c>
      <c r="B13" s="212">
        <f t="shared" ref="B13:B42" si="1">A13</f>
        <v>42692</v>
      </c>
      <c r="C13" s="211"/>
      <c r="D13" s="211"/>
      <c r="E13" s="210"/>
      <c r="F13" s="210"/>
      <c r="G13" s="209"/>
      <c r="H13" s="447" t="str">
        <f t="shared" si="0"/>
        <v/>
      </c>
      <c r="I13" s="155" t="str">
        <f>IF($J$1="Ja",IF(F13&gt;0,IF(AND(WEEKDAY(A13,2)&lt;6,COUNTIF(Grunddata!$A$14:$A$17,A13)=0,C13&gt;0),"BL",""),""),"")</f>
        <v/>
      </c>
      <c r="J13" s="207"/>
      <c r="K13" s="206"/>
      <c r="L13" s="210"/>
      <c r="M13" s="210"/>
      <c r="N13" s="210"/>
      <c r="O13" s="205"/>
      <c r="P13" s="204"/>
      <c r="Q13" s="203"/>
      <c r="R13" s="208"/>
      <c r="S13" s="204"/>
      <c r="T13" s="204"/>
      <c r="U13" s="204"/>
      <c r="V13" s="450" t="str">
        <f>IF(OR(Z13="! A",Z13="! B",Z13="! C",Z13="! D",Z13="! E",O13&gt;0,H13="",AND(WEEKDAY(A13,2)&gt;5,H13=""),AND(H13="",K13="",L13="",M13="",N13="",O13="",P13="",R13="",S13="",T13="",U13="")),"",IF(OR(WEEKDAY(A13,2)&gt;5,COUNTIF(Grunddata!$A$15:$A$18,A13)&gt;0),H13-R13-S13,IF(H13+K13+L13+M13+N13+O13+P13-R13-S13+T13+U13=Grunddata!$C$1,"",IF(H13+K13+L13+M13+N13+O13+P13-R13-S13+T13-U13&gt;Grunddata!$C$1,H13+K13+L13+M13+N13+O13+P13-R13-S13+T13-U13-Grunddata!$C$1,""))))</f>
        <v/>
      </c>
      <c r="W13" s="451" t="str">
        <f>IF(OR(Z13="! A",Z13="! B",Z13="! C",Z13="! D",Z13="! E",O13&gt;0,H13="",AND(WEEKDAY(A13,2)&gt;5,H13=""),AND(H13="",K13="",L13="",M13="",N13="",O13="",P13="",R13="",S13="",T13="",U13="")),"",IF(OR(WEEKDAY(A13,2)&gt;5,COUNTIF(Grunddata!$A$15:$A$18,A13)&gt;0),"",IF(H13+K13+L13+M13+N13+O13+P13-R13-S13+T13+U13=Grunddata!$C$1,"",IF(H13+K13+L13+M13+N13+O13+P13-R13-S13+T13-U13&lt;Grunddata!$C$1,H13+K13+L13+M13+N13+O13+P13-R13-S13+T13-U13-Grunddata!$C$1,""))))</f>
        <v/>
      </c>
      <c r="X13" s="202" t="str">
        <f>IF(AND(WEEKDAY(A13,2)&lt;6,COUNTIF(Grunddata!$A$15:$A$21,A13)&gt;0),$D$7,IF(H13="","",IF(V13="",IF(W13="",H13-R13-S13,H13-R13-S13-W13),H13-R13-S13-V13)))</f>
        <v/>
      </c>
      <c r="Y13" s="201"/>
      <c r="Z13" s="200" t="str">
        <f>IF(AND(WEEKDAY(A13,2)&gt;5,OR(U13&gt;0,T13&gt;0)),"! D",IF(O13&gt;0,IF(H13="",IF(COUNTA(L13:N13,P13:U13)&gt;0,"! C",""),"! C"),IF(H13="",IF(COUNTA(R13:S13),"! A",IF(K13+L13+M13+N13+P13+T13+U13&gt;Grunddata!$C$1,"! E","")),IF(AND(H13&gt;Grunddata!$C$1,K13="",L13="",M13="",N13="",O13="",P13=""),"",IF(H13+K13+L13+M13+N13+P13+T13+U13&gt;Grunddata!$C$1,"! B","")))))</f>
        <v/>
      </c>
      <c r="AA13" s="97" t="str">
        <f>IF(WEEKDAY(A13,2)=7,SUM(X7:X13)+SUM(K7:K13)+SUM(L7:L13)+SUM(M7:M13)+SUM(N7:N13)+COUNT(O7:O13)*Grunddata!$C$1+SUM(P7:P13)+SUM(R7:R13)+SUM(S7:S13)+SUM(T7:T13)+SUM(U7:U13)+SUM(V7:V13)+SUM(W7:W13),"")</f>
        <v/>
      </c>
      <c r="AB13" s="113" t="str">
        <f>IF(AND(WEEKDAY(A13,2)=7,SUM(R7:S13)&gt;0),IF(AA13-SUM(R7:S13)&lt;Grunddata!$C$2,"! F",""),"")</f>
        <v/>
      </c>
    </row>
    <row r="14" spans="1:33" s="113" customFormat="1" ht="30" customHeight="1" x14ac:dyDescent="0.25">
      <c r="A14" s="213">
        <v>42693</v>
      </c>
      <c r="B14" s="150">
        <f t="shared" si="1"/>
        <v>42693</v>
      </c>
      <c r="C14" s="151"/>
      <c r="D14" s="151"/>
      <c r="E14" s="152"/>
      <c r="F14" s="152"/>
      <c r="G14" s="153"/>
      <c r="H14" s="154" t="str">
        <f t="shared" si="0"/>
        <v/>
      </c>
      <c r="I14" s="155" t="str">
        <f>IF($J$1="Ja",IF(F14&gt;0,IF(AND(WEEKDAY(A14,2)&lt;6,COUNTIF(Grunddata!$A$14:$A$17,A14)=0,C14&gt;0),"BL",""),""),"")</f>
        <v/>
      </c>
      <c r="J14" s="156"/>
      <c r="K14" s="157"/>
      <c r="L14" s="152"/>
      <c r="M14" s="152"/>
      <c r="N14" s="152"/>
      <c r="O14" s="158"/>
      <c r="P14" s="159"/>
      <c r="Q14" s="160"/>
      <c r="R14" s="155"/>
      <c r="S14" s="159"/>
      <c r="T14" s="159"/>
      <c r="U14" s="159"/>
      <c r="V14" s="162" t="str">
        <f>IF(OR(Z14="! A",Z14="! B",Z14="! C",Z14="! D",Z14="! E",O14&gt;0,H14="",AND(WEEKDAY(A14,2)&gt;5,H14=""),AND(H14="",K14="",L14="",M14="",N14="",O14="",P14="",R14="",S14="",T14="",U14="")),"",IF(OR(WEEKDAY(A14,2)&gt;5,COUNTIF(Grunddata!$A$15:$A$18,A14)&gt;0),H14-R14-S14,IF(H14+K14+L14+M14+N14+O14+P14-R14-S14+T14+U14=Grunddata!$C$1,"",IF(H14+K14+L14+M14+N14+O14+P14-R14-S14+T14-U14&gt;Grunddata!$C$1,H14+K14+L14+M14+N14+O14+P14-R14-S14+T14-U14-Grunddata!$C$1,""))))</f>
        <v/>
      </c>
      <c r="W14" s="163" t="str">
        <f>IF(OR(Z14="! A",Z14="! B",Z14="! C",Z14="! D",Z14="! E",O14&gt;0,H14="",AND(WEEKDAY(A14,2)&gt;5,H14=""),AND(H14="",K14="",L14="",M14="",N14="",O14="",P14="",R14="",S14="",T14="",U14="")),"",IF(OR(WEEKDAY(A14,2)&gt;5,COUNTIF(Grunddata!$A$15:$A$18,A14)&gt;0),"",IF(H14+K14+L14+M14+N14+O14+P14-R14-S14+T14+U14=Grunddata!$C$1,"",IF(H14+K14+L14+M14+N14+O14+P14-R14-S14+T14-U14&lt;Grunddata!$C$1,H14+K14+L14+M14+N14+O14+P14-R14-S14+T14-U14-Grunddata!$C$1,""))))</f>
        <v/>
      </c>
      <c r="X14" s="202" t="str">
        <f>IF(AND(WEEKDAY(A14,2)&lt;6,COUNTIF(Grunddata!$A$15:$A$21,A14)&gt;0),$D$7,IF(H14="","",IF(V14="",IF(W14="",H14-R14-S14,H14-R14-S14-W14),H14-R14-S14-V14)))</f>
        <v/>
      </c>
      <c r="Y14" s="164"/>
      <c r="Z14" s="165" t="str">
        <f>IF(AND(WEEKDAY(A14,2)&gt;5,OR(U14&gt;0,T14&gt;0)),"! D",IF(O14&gt;0,IF(H14="",IF(COUNTA(L14:N14,P14:U14)&gt;0,"! C",""),"! C"),IF(H14="",IF(COUNTA(R14:S14),"! A",IF(K14+L14+M14+N14+P14+T14+U14&gt;Grunddata!$C$1,"! E","")),IF(AND(H14&gt;Grunddata!$C$1,K14="",L14="",M14="",N14="",O14="",P14=""),"",IF(H14+K14+L14+M14+N14+P14+T14+U14&gt;Grunddata!$C$1,"! B","")))))</f>
        <v/>
      </c>
      <c r="AA14" s="97" t="str">
        <f>IF(WEEKDAY(A14,2)=7,SUM(X8:X14)+SUM(K8:K14)+SUM(L8:L14)+SUM(M8:M14)+SUM(N8:N14)+COUNT(O8:O14)*Grunddata!$C$1+SUM(P8:P14)+SUM(R8:R14)+SUM(S8:S14)+SUM(T8:T14)+SUM(U8:U14)+SUM(V8:V14)+SUM(W8:W14),"")</f>
        <v/>
      </c>
      <c r="AB14" s="113" t="str">
        <f>IF(AND(WEEKDAY(A14,2)=7,SUM(R8:S14)&gt;0),IF(AA14-SUM(R8:S14)&lt;Grunddata!$C$2,"! F",""),"")</f>
        <v/>
      </c>
    </row>
    <row r="15" spans="1:33" s="113" customFormat="1" ht="30" customHeight="1" x14ac:dyDescent="0.25">
      <c r="A15" s="213">
        <v>42694</v>
      </c>
      <c r="B15" s="150">
        <f t="shared" si="1"/>
        <v>42694</v>
      </c>
      <c r="C15" s="151"/>
      <c r="D15" s="151"/>
      <c r="E15" s="152"/>
      <c r="F15" s="152"/>
      <c r="G15" s="153"/>
      <c r="H15" s="154" t="str">
        <f t="shared" si="0"/>
        <v/>
      </c>
      <c r="I15" s="155" t="str">
        <f>IF($J$1="Ja",IF(F15&gt;0,IF(AND(WEEKDAY(A15,2)&lt;6,COUNTIF(Grunddata!$A$14:$A$17,A15)=0,C15&gt;0),"BL",""),""),"")</f>
        <v/>
      </c>
      <c r="J15" s="156"/>
      <c r="K15" s="157"/>
      <c r="L15" s="152"/>
      <c r="M15" s="152"/>
      <c r="N15" s="152"/>
      <c r="O15" s="158"/>
      <c r="P15" s="159"/>
      <c r="Q15" s="160"/>
      <c r="R15" s="155"/>
      <c r="S15" s="159"/>
      <c r="T15" s="159"/>
      <c r="U15" s="159"/>
      <c r="V15" s="162" t="str">
        <f>IF(OR(Z15="! A",Z15="! B",Z15="! C",Z15="! D",Z15="! E",O15&gt;0,H15="",AND(WEEKDAY(A15,2)&gt;5,H15=""),AND(H15="",K15="",L15="",M15="",N15="",O15="",P15="",R15="",S15="",T15="",U15="")),"",IF(OR(WEEKDAY(A15,2)&gt;5,COUNTIF(Grunddata!$A$15:$A$18,A15)&gt;0),H15-R15-S15,IF(H15+K15+L15+M15+N15+O15+P15-R15-S15+T15+U15=Grunddata!$C$1,"",IF(H15+K15+L15+M15+N15+O15+P15-R15-S15+T15-U15&gt;Grunddata!$C$1,H15+K15+L15+M15+N15+O15+P15-R15-S15+T15-U15-Grunddata!$C$1,""))))</f>
        <v/>
      </c>
      <c r="W15" s="163" t="str">
        <f>IF(OR(Z15="! A",Z15="! B",Z15="! C",Z15="! D",Z15="! E",O15&gt;0,H15="",AND(WEEKDAY(A15,2)&gt;5,H15=""),AND(H15="",K15="",L15="",M15="",N15="",O15="",P15="",R15="",S15="",T15="",U15="")),"",IF(OR(WEEKDAY(A15,2)&gt;5,COUNTIF(Grunddata!$A$15:$A$18,A15)&gt;0),"",IF(H15+K15+L15+M15+N15+O15+P15-R15-S15+T15+U15=Grunddata!$C$1,"",IF(H15+K15+L15+M15+N15+O15+P15-R15-S15+T15-U15&lt;Grunddata!$C$1,H15+K15+L15+M15+N15+O15+P15-R15-S15+T15-U15-Grunddata!$C$1,""))))</f>
        <v/>
      </c>
      <c r="X15" s="202" t="str">
        <f>IF(AND(WEEKDAY(A15,2)&lt;6,COUNTIF(Grunddata!$A$15:$A$21,A15)&gt;0),$D$7,IF(H15="","",IF(V15="",IF(W15="",H15-R15-S15,H15-R15-S15-W15),H15-R15-S15-V15)))</f>
        <v/>
      </c>
      <c r="Y15" s="166"/>
      <c r="Z15" s="165" t="str">
        <f>IF(AND(WEEKDAY(A15,2)&gt;5,OR(U15&gt;0,T15&gt;0)),"! D",IF(O15&gt;0,IF(H15="",IF(COUNTA(L15:N15,P15:U15)&gt;0,"! C",""),"! C"),IF(H15="",IF(COUNTA(R15:S15),"! A",IF(K15+L15+M15+N15+P15+T15+U15&gt;Grunddata!$C$1,"! E","")),IF(AND(H15&gt;Grunddata!$C$1,K15="",L15="",M15="",N15="",O15="",P15=""),"",IF(H15+K15+L15+M15+N15+P15+T15+U15&gt;Grunddata!$C$1,"! B","")))))</f>
        <v/>
      </c>
      <c r="AA15" s="97" t="str">
        <f>IF(WEEKDAY(A15,2)=7,SUM(X9:X15)+SUM(K9:K15)+SUM(L9:L15)+SUM(M9:M15)+SUM(N9:N15)+COUNT(O9:O15)*Grunddata!$C$1+SUM(P9:P15)+SUM(R9:R15)+SUM(S9:S15)+SUM(T9:T15)+SUM(U9:U15)+SUM(V9:V15)+SUM(W9:W15),"")</f>
        <v/>
      </c>
      <c r="AB15" s="113" t="str">
        <f>IF(AND(WEEKDAY(A15,2)=7,SUM(R9:S15)&gt;0),IF(AA15-SUM(R9:S15)&lt;Grunddata!$C$2,"! F",""),"")</f>
        <v/>
      </c>
      <c r="AC15" s="167"/>
      <c r="AD15" s="167"/>
      <c r="AE15" s="167"/>
    </row>
    <row r="16" spans="1:33" s="113" customFormat="1" ht="30" customHeight="1" x14ac:dyDescent="0.25">
      <c r="A16" s="213">
        <v>42695</v>
      </c>
      <c r="B16" s="150">
        <f t="shared" si="1"/>
        <v>42695</v>
      </c>
      <c r="C16" s="151"/>
      <c r="D16" s="151"/>
      <c r="E16" s="152"/>
      <c r="F16" s="152"/>
      <c r="G16" s="153"/>
      <c r="H16" s="154" t="str">
        <f t="shared" si="0"/>
        <v/>
      </c>
      <c r="I16" s="155" t="str">
        <f>IF($J$1="Ja",IF(F16&gt;0,IF(AND(WEEKDAY(A16,2)&lt;6,COUNTIF(Grunddata!$A$14:$A$17,A16)=0,C16&gt;0),"BL",""),""),"")</f>
        <v/>
      </c>
      <c r="J16" s="156"/>
      <c r="K16" s="157"/>
      <c r="L16" s="152"/>
      <c r="M16" s="152"/>
      <c r="N16" s="152"/>
      <c r="O16" s="158"/>
      <c r="P16" s="159"/>
      <c r="Q16" s="160"/>
      <c r="R16" s="155"/>
      <c r="S16" s="159"/>
      <c r="T16" s="159"/>
      <c r="U16" s="159"/>
      <c r="V16" s="162" t="str">
        <f>IF(OR(Z16="! A",Z16="! B",Z16="! C",Z16="! D",Z16="! E",O16&gt;0,H16="",AND(WEEKDAY(A16,2)&gt;5,H16=""),AND(H16="",K16="",L16="",M16="",N16="",O16="",P16="",R16="",S16="",T16="",U16="")),"",IF(OR(WEEKDAY(A16,2)&gt;5,COUNTIF(Grunddata!$A$15:$A$18,A16)&gt;0),H16-R16-S16,IF(H16+K16+L16+M16+N16+O16+P16-R16-S16+T16+U16=Grunddata!$C$1,"",IF(H16+K16+L16+M16+N16+O16+P16-R16-S16+T16-U16&gt;Grunddata!$C$1,H16+K16+L16+M16+N16+O16+P16-R16-S16+T16-U16-Grunddata!$C$1,""))))</f>
        <v/>
      </c>
      <c r="W16" s="163" t="str">
        <f>IF(OR(Z16="! A",Z16="! B",Z16="! C",Z16="! D",Z16="! E",O16&gt;0,H16="",AND(WEEKDAY(A16,2)&gt;5,H16=""),AND(H16="",K16="",L16="",M16="",N16="",O16="",P16="",R16="",S16="",T16="",U16="")),"",IF(OR(WEEKDAY(A16,2)&gt;5,COUNTIF(Grunddata!$A$15:$A$18,A16)&gt;0),"",IF(H16+K16+L16+M16+N16+O16+P16-R16-S16+T16+U16=Grunddata!$C$1,"",IF(H16+K16+L16+M16+N16+O16+P16-R16-S16+T16-U16&lt;Grunddata!$C$1,H16+K16+L16+M16+N16+O16+P16-R16-S16+T16-U16-Grunddata!$C$1,""))))</f>
        <v/>
      </c>
      <c r="X16" s="202" t="str">
        <f>IF(AND(WEEKDAY(A16,2)&lt;6,COUNTIF(Grunddata!$A$15:$A$21,A16)&gt;0),$D$7,IF(H16="","",IF(V16="",IF(W16="",H16-R16-S16,H16-R16-S16-W16),H16-R16-S16-V16)))</f>
        <v/>
      </c>
      <c r="Y16" s="166"/>
      <c r="Z16" s="165" t="str">
        <f>IF(AND(WEEKDAY(A16,2)&gt;5,OR(U16&gt;0,T16&gt;0)),"! D",IF(O16&gt;0,IF(H16="",IF(COUNTA(L16:N16,P16:U16)&gt;0,"! C",""),"! C"),IF(H16="",IF(COUNTA(R16:S16),"! A",IF(K16+L16+M16+N16+P16+T16+U16&gt;Grunddata!$C$1,"! E","")),IF(AND(H16&gt;Grunddata!$C$1,K16="",L16="",M16="",N16="",O16="",P16=""),"",IF(H16+K16+L16+M16+N16+P16+T16+U16&gt;Grunddata!$C$1,"! B","")))))</f>
        <v/>
      </c>
      <c r="AA16" s="97">
        <f>IF(WEEKDAY(A16,2)=7,SUM(X10:X16)+SUM(K10:K16)+SUM(L10:L16)+SUM(M10:M16)+SUM(N10:N16)+COUNT(O10:O16)*Grunddata!$C$1+SUM(P10:P16)+SUM(R10:R16)+SUM(S10:S16)+SUM(T10:T16)+SUM(U10:U16)+SUM(V10:V16)+SUM(W10:W16),"")</f>
        <v>0</v>
      </c>
      <c r="AB16" s="113" t="str">
        <f>IF(AND(WEEKDAY(A16,2)=7,SUM(R10:S16)&gt;0),IF(AA16-SUM(R10:S16)&lt;Grunddata!$C$2,"! F",""),"")</f>
        <v/>
      </c>
      <c r="AC16" s="167"/>
      <c r="AD16" s="167"/>
      <c r="AE16" s="167"/>
    </row>
    <row r="17" spans="1:34" s="113" customFormat="1" ht="30" customHeight="1" x14ac:dyDescent="0.25">
      <c r="A17" s="213">
        <v>42696</v>
      </c>
      <c r="B17" s="168">
        <f t="shared" si="1"/>
        <v>42696</v>
      </c>
      <c r="C17" s="151"/>
      <c r="D17" s="151"/>
      <c r="E17" s="152"/>
      <c r="F17" s="152"/>
      <c r="G17" s="153"/>
      <c r="H17" s="154" t="str">
        <f t="shared" si="0"/>
        <v/>
      </c>
      <c r="I17" s="155" t="str">
        <f>IF($J$1="Ja",IF(F17&gt;0,IF(AND(WEEKDAY(A17,2)&lt;6,COUNTIF(Grunddata!$A$14:$A$17,A17)=0,C17&gt;0),"BL",""),""),"")</f>
        <v/>
      </c>
      <c r="J17" s="156"/>
      <c r="K17" s="157"/>
      <c r="L17" s="152"/>
      <c r="M17" s="152"/>
      <c r="N17" s="152"/>
      <c r="O17" s="158"/>
      <c r="P17" s="159"/>
      <c r="Q17" s="160"/>
      <c r="R17" s="155"/>
      <c r="S17" s="159"/>
      <c r="T17" s="159"/>
      <c r="U17" s="159"/>
      <c r="V17" s="162" t="str">
        <f>IF(OR(Z17="! A",Z17="! B",Z17="! C",Z17="! D",Z17="! E",O17&gt;0,H17="",AND(WEEKDAY(A17,2)&gt;5,H17=""),AND(H17="",K17="",L17="",M17="",N17="",O17="",P17="",R17="",S17="",T17="",U17="")),"",IF(OR(WEEKDAY(A17,2)&gt;5,COUNTIF(Grunddata!$A$15:$A$18,A17)&gt;0),H17-R17-S17,IF(H17+K17+L17+M17+N17+O17+P17-R17-S17+T17+U17=Grunddata!$C$1,"",IF(H17+K17+L17+M17+N17+O17+P17-R17-S17+T17-U17&gt;Grunddata!$C$1,H17+K17+L17+M17+N17+O17+P17-R17-S17+T17-U17-Grunddata!$C$1,""))))</f>
        <v/>
      </c>
      <c r="W17" s="163" t="str">
        <f>IF(OR(Z17="! A",Z17="! B",Z17="! C",Z17="! D",Z17="! E",O17&gt;0,H17="",AND(WEEKDAY(A17,2)&gt;5,H17=""),AND(H17="",K17="",L17="",M17="",N17="",O17="",P17="",R17="",S17="",T17="",U17="")),"",IF(OR(WEEKDAY(A17,2)&gt;5,COUNTIF(Grunddata!$A$15:$A$18,A17)&gt;0),"",IF(H17+K17+L17+M17+N17+O17+P17-R17-S17+T17+U17=Grunddata!$C$1,"",IF(H17+K17+L17+M17+N17+O17+P17-R17-S17+T17-U17&lt;Grunddata!$C$1,H17+K17+L17+M17+N17+O17+P17-R17-S17+T17-U17-Grunddata!$C$1,""))))</f>
        <v/>
      </c>
      <c r="X17" s="202" t="str">
        <f>IF(AND(WEEKDAY(A17,2)&lt;6,COUNTIF(Grunddata!$A$15:$A$21,A17)&gt;0),$D$7,IF(H17="","",IF(V17="",IF(W17="",H17-R17-S17,H17-R17-S17-W17),H17-R17-S17-V17)))</f>
        <v/>
      </c>
      <c r="Y17" s="166"/>
      <c r="Z17" s="165" t="str">
        <f>IF(AND(WEEKDAY(A17,2)&gt;5,OR(U17&gt;0,T17&gt;0)),"! D",IF(O17&gt;0,IF(H17="",IF(COUNTA(L17:N17,P17:U17)&gt;0,"! C",""),"! C"),IF(H17="",IF(COUNTA(R17:S17),"! A",IF(K17+L17+M17+N17+P17+T17+U17&gt;Grunddata!$C$1,"! E","")),IF(AND(H17&gt;Grunddata!$C$1,K17="",L17="",M17="",N17="",O17="",P17=""),"",IF(H17+K17+L17+M17+N17+P17+T17+U17&gt;Grunddata!$C$1,"! B","")))))</f>
        <v/>
      </c>
      <c r="AA17" s="97" t="str">
        <f>IF(WEEKDAY(A17,2)=7,SUM(X11:X17)+SUM(K11:K17)+SUM(L11:L17)+SUM(M11:M17)+SUM(N11:N17)+COUNT(O11:O17)*Grunddata!$C$1+SUM(P11:P17)+SUM(R11:R17)+SUM(S11:S17)+SUM(T11:T17)+SUM(U11:U17)+SUM(V11:V17)+SUM(W11:W17),"")</f>
        <v/>
      </c>
      <c r="AB17" s="113" t="str">
        <f>IF(AND(WEEKDAY(A17,2)=7,SUM(R11:S17)&gt;0),IF(AA17-SUM(R11:S17)&lt;Grunddata!$C$2,"! F",""),"")</f>
        <v/>
      </c>
      <c r="AC17" s="167"/>
    </row>
    <row r="18" spans="1:34" s="113" customFormat="1" ht="30" customHeight="1" x14ac:dyDescent="0.25">
      <c r="A18" s="213">
        <v>42697</v>
      </c>
      <c r="B18" s="168">
        <f t="shared" si="1"/>
        <v>42697</v>
      </c>
      <c r="C18" s="151"/>
      <c r="D18" s="151"/>
      <c r="E18" s="152"/>
      <c r="F18" s="152"/>
      <c r="G18" s="153"/>
      <c r="H18" s="154" t="str">
        <f t="shared" si="0"/>
        <v/>
      </c>
      <c r="I18" s="155" t="str">
        <f>IF($J$1="Ja",IF(F18&gt;0,IF(AND(WEEKDAY(A18,2)&lt;6,COUNTIF(Grunddata!$A$14:$A$17,A18)=0,C18&gt;0),"BL",""),""),"")</f>
        <v/>
      </c>
      <c r="J18" s="156"/>
      <c r="K18" s="157"/>
      <c r="L18" s="152"/>
      <c r="M18" s="152"/>
      <c r="N18" s="152"/>
      <c r="O18" s="158"/>
      <c r="P18" s="159"/>
      <c r="Q18" s="160"/>
      <c r="R18" s="155"/>
      <c r="S18" s="159"/>
      <c r="T18" s="159"/>
      <c r="U18" s="159"/>
      <c r="V18" s="162" t="str">
        <f>IF(OR(Z18="! A",Z18="! B",Z18="! C",Z18="! D",Z18="! E",O18&gt;0,H18="",AND(WEEKDAY(A18,2)&gt;5,H18=""),AND(H18="",K18="",L18="",M18="",N18="",O18="",P18="",R18="",S18="",T18="",U18="")),"",IF(OR(WEEKDAY(A18,2)&gt;5,COUNTIF(Grunddata!$A$15:$A$18,A18)&gt;0),H18-R18-S18,IF(H18+K18+L18+M18+N18+O18+P18-R18-S18+T18+U18=Grunddata!$C$1,"",IF(H18+K18+L18+M18+N18+O18+P18-R18-S18+T18-U18&gt;Grunddata!$C$1,H18+K18+L18+M18+N18+O18+P18-R18-S18+T18-U18-Grunddata!$C$1,""))))</f>
        <v/>
      </c>
      <c r="W18" s="163" t="str">
        <f>IF(OR(Z18="! A",Z18="! B",Z18="! C",Z18="! D",Z18="! E",O18&gt;0,H18="",AND(WEEKDAY(A18,2)&gt;5,H18=""),AND(H18="",K18="",L18="",M18="",N18="",O18="",P18="",R18="",S18="",T18="",U18="")),"",IF(OR(WEEKDAY(A18,2)&gt;5,COUNTIF(Grunddata!$A$15:$A$18,A18)&gt;0),"",IF(H18+K18+L18+M18+N18+O18+P18-R18-S18+T18+U18=Grunddata!$C$1,"",IF(H18+K18+L18+M18+N18+O18+P18-R18-S18+T18-U18&lt;Grunddata!$C$1,H18+K18+L18+M18+N18+O18+P18-R18-S18+T18-U18-Grunddata!$C$1,""))))</f>
        <v/>
      </c>
      <c r="X18" s="202" t="str">
        <f>IF(AND(WEEKDAY(A18,2)&lt;6,COUNTIF(Grunddata!$A$15:$A$21,A18)&gt;0),$D$7,IF(H18="","",IF(V18="",IF(W18="",H18-R18-S18,H18-R18-S18-W18),H18-R18-S18-V18)))</f>
        <v/>
      </c>
      <c r="Y18" s="166"/>
      <c r="Z18" s="165" t="str">
        <f>IF(AND(WEEKDAY(A18,2)&gt;5,OR(U18&gt;0,T18&gt;0)),"! D",IF(O18&gt;0,IF(H18="",IF(COUNTA(L18:N18,P18:U18)&gt;0,"! C",""),"! C"),IF(H18="",IF(COUNTA(R18:S18),"! A",IF(K18+L18+M18+N18+P18+T18+U18&gt;Grunddata!$C$1,"! E","")),IF(AND(H18&gt;Grunddata!$C$1,K18="",L18="",M18="",N18="",O18="",P18=""),"",IF(H18+K18+L18+M18+N18+P18+T18+U18&gt;Grunddata!$C$1,"! B","")))))</f>
        <v/>
      </c>
      <c r="AA18" s="97" t="str">
        <f>IF(WEEKDAY(A18,2)=7,SUM(X12:X18)+SUM(K12:K18)+SUM(L12:L18)+SUM(M12:M18)+SUM(N12:N18)+COUNT(O12:O18)*Grunddata!$C$1+SUM(P12:P18)+SUM(R12:R18)+SUM(S12:S18)+SUM(T12:T18)+SUM(U12:U18)+SUM(V12:V18)+SUM(W12:W18),"")</f>
        <v/>
      </c>
      <c r="AB18" s="113" t="str">
        <f>IF(AND(WEEKDAY(A18,2)=7,SUM(R12:S18)&gt;0),IF(AA18-SUM(R12:S18)&lt;Grunddata!$C$2,"! F",""),"")</f>
        <v/>
      </c>
      <c r="AC18" s="167"/>
    </row>
    <row r="19" spans="1:34" s="113" customFormat="1" ht="30" customHeight="1" x14ac:dyDescent="0.25">
      <c r="A19" s="213">
        <v>42698</v>
      </c>
      <c r="B19" s="150">
        <f t="shared" si="1"/>
        <v>42698</v>
      </c>
      <c r="C19" s="151"/>
      <c r="D19" s="151"/>
      <c r="E19" s="152"/>
      <c r="F19" s="152"/>
      <c r="G19" s="153"/>
      <c r="H19" s="154" t="str">
        <f t="shared" si="0"/>
        <v/>
      </c>
      <c r="I19" s="155" t="str">
        <f>IF($J$1="Ja",IF(F19&gt;0,IF(AND(WEEKDAY(A19,2)&lt;6,COUNTIF(Grunddata!$A$14:$A$17,A19)=0,C19&gt;0),"BL",""),""),"")</f>
        <v/>
      </c>
      <c r="J19" s="153"/>
      <c r="K19" s="169"/>
      <c r="L19" s="151"/>
      <c r="M19" s="151"/>
      <c r="N19" s="151"/>
      <c r="O19" s="158"/>
      <c r="P19" s="170"/>
      <c r="Q19" s="171"/>
      <c r="R19" s="172"/>
      <c r="S19" s="170"/>
      <c r="T19" s="170"/>
      <c r="U19" s="170"/>
      <c r="V19" s="162" t="str">
        <f>IF(OR(Z19="! A",Z19="! B",Z19="! C",Z19="! D",Z19="! E",O19&gt;0,H19="",AND(WEEKDAY(A19,2)&gt;5,H19=""),AND(H19="",K19="",L19="",M19="",N19="",O19="",P19="",R19="",S19="",T19="",U19="")),"",IF(OR(WEEKDAY(A19,2)&gt;5,COUNTIF(Grunddata!$A$15:$A$18,A19)&gt;0),H19-R19-S19,IF(H19+K19+L19+M19+N19+O19+P19-R19-S19+T19+U19=Grunddata!$C$1,"",IF(H19+K19+L19+M19+N19+O19+P19-R19-S19+T19-U19&gt;Grunddata!$C$1,H19+K19+L19+M19+N19+O19+P19-R19-S19+T19-U19-Grunddata!$C$1,""))))</f>
        <v/>
      </c>
      <c r="W19" s="163" t="str">
        <f>IF(OR(Z19="! A",Z19="! B",Z19="! C",Z19="! D",Z19="! E",O19&gt;0,H19="",AND(WEEKDAY(A19,2)&gt;5,H19=""),AND(H19="",K19="",L19="",M19="",N19="",O19="",P19="",R19="",S19="",T19="",U19="")),"",IF(OR(WEEKDAY(A19,2)&gt;5,COUNTIF(Grunddata!$A$15:$A$18,A19)&gt;0),"",IF(H19+K19+L19+M19+N19+O19+P19-R19-S19+T19+U19=Grunddata!$C$1,"",IF(H19+K19+L19+M19+N19+O19+P19-R19-S19+T19-U19&lt;Grunddata!$C$1,H19+K19+L19+M19+N19+O19+P19-R19-S19+T19-U19-Grunddata!$C$1,""))))</f>
        <v/>
      </c>
      <c r="X19" s="202" t="str">
        <f>IF(AND(WEEKDAY(A19,2)&lt;6,COUNTIF(Grunddata!$A$15:$A$21,A19)&gt;0),$D$7,IF(H19="","",IF(V19="",IF(W19="",H19-R19-S19,H19-R19-S19-W19),H19-R19-S19-V19)))</f>
        <v/>
      </c>
      <c r="Y19" s="173"/>
      <c r="Z19" s="165" t="str">
        <f>IF(AND(WEEKDAY(A19,2)&gt;5,OR(U19&gt;0,T19&gt;0)),"! D",IF(O19&gt;0,IF(H19="",IF(COUNTA(L19:N19,P19:U19)&gt;0,"! C",""),"! C"),IF(H19="",IF(COUNTA(R19:S19),"! A",IF(K19+L19+M19+N19+P19+T19+U19&gt;Grunddata!$C$1,"! E","")),IF(AND(H19&gt;Grunddata!$C$1,K19="",L19="",M19="",N19="",O19="",P19=""),"",IF(H19+K19+L19+M19+N19+P19+T19+U19&gt;Grunddata!$C$1,"! B","")))))</f>
        <v/>
      </c>
      <c r="AA19" s="97" t="str">
        <f>IF(WEEKDAY(A19,2)=7,SUM(X13:X19)+SUM(K13:K19)+SUM(L13:L19)+SUM(M13:M19)+SUM(N13:N19)+COUNT(O13:O19)*Grunddata!$C$1+SUM(P13:P19)+SUM(R13:R19)+SUM(S13:S19)+SUM(T13:T19)+SUM(U13:U19)+SUM(V13:V19)+SUM(W13:W19),"")</f>
        <v/>
      </c>
      <c r="AB19" s="113" t="str">
        <f>IF(AND(WEEKDAY(A19,2)=7,SUM(R13:S19)&gt;0),IF(AA19-SUM(R13:S19)&lt;Grunddata!$C$2,"! F",""),"")</f>
        <v/>
      </c>
      <c r="AC19" s="167"/>
    </row>
    <row r="20" spans="1:34" s="113" customFormat="1" ht="30" customHeight="1" x14ac:dyDescent="0.25">
      <c r="A20" s="213">
        <v>42699</v>
      </c>
      <c r="B20" s="150">
        <f t="shared" si="1"/>
        <v>42699</v>
      </c>
      <c r="C20" s="151"/>
      <c r="D20" s="151"/>
      <c r="E20" s="151"/>
      <c r="F20" s="152"/>
      <c r="G20" s="153"/>
      <c r="H20" s="154" t="str">
        <f t="shared" si="0"/>
        <v/>
      </c>
      <c r="I20" s="155" t="str">
        <f>IF($J$1="Ja",IF(F20&gt;0,IF(AND(WEEKDAY(A20,2)&lt;6,COUNTIF(Grunddata!$A$14:$A$17,A20)=0,C20&gt;0),"BL",""),""),"")</f>
        <v/>
      </c>
      <c r="J20" s="156"/>
      <c r="K20" s="157"/>
      <c r="L20" s="152"/>
      <c r="M20" s="152"/>
      <c r="N20" s="152"/>
      <c r="O20" s="158"/>
      <c r="P20" s="159"/>
      <c r="Q20" s="160"/>
      <c r="R20" s="155"/>
      <c r="S20" s="159"/>
      <c r="T20" s="159"/>
      <c r="U20" s="159"/>
      <c r="V20" s="162" t="str">
        <f>IF(OR(Z20="! A",Z20="! B",Z20="! C",Z20="! D",Z20="! E",O20&gt;0,H20="",AND(WEEKDAY(A20,2)&gt;5,H20=""),AND(H20="",K20="",L20="",M20="",N20="",O20="",P20="",R20="",S20="",T20="",U20="")),"",IF(OR(WEEKDAY(A20,2)&gt;5,COUNTIF(Grunddata!$A$15:$A$18,A20)&gt;0),H20-R20-S20,IF(H20+K20+L20+M20+N20+O20+P20-R20-S20+T20+U20=Grunddata!$C$1,"",IF(H20+K20+L20+M20+N20+O20+P20-R20-S20+T20-U20&gt;Grunddata!$C$1,H20+K20+L20+M20+N20+O20+P20-R20-S20+T20-U20-Grunddata!$C$1,""))))</f>
        <v/>
      </c>
      <c r="W20" s="163" t="str">
        <f>IF(OR(Z20="! A",Z20="! B",Z20="! C",Z20="! D",Z20="! E",O20&gt;0,H20="",AND(WEEKDAY(A20,2)&gt;5,H20=""),AND(H20="",K20="",L20="",M20="",N20="",O20="",P20="",R20="",S20="",T20="",U20="")),"",IF(OR(WEEKDAY(A20,2)&gt;5,COUNTIF(Grunddata!$A$15:$A$18,A20)&gt;0),"",IF(H20+K20+L20+M20+N20+O20+P20-R20-S20+T20+U20=Grunddata!$C$1,"",IF(H20+K20+L20+M20+N20+O20+P20-R20-S20+T20-U20&lt;Grunddata!$C$1,H20+K20+L20+M20+N20+O20+P20-R20-S20+T20-U20-Grunddata!$C$1,""))))</f>
        <v/>
      </c>
      <c r="X20" s="202" t="str">
        <f>IF(AND(WEEKDAY(A20,2)&lt;6,COUNTIF(Grunddata!$A$15:$A$21,A20)&gt;0),$D$7,IF(H20="","",IF(V20="",IF(W20="",H20-R20-S20,H20-R20-S20-W20),H20-R20-S20-V20)))</f>
        <v/>
      </c>
      <c r="Y20" s="166"/>
      <c r="Z20" s="165" t="str">
        <f>IF(AND(WEEKDAY(A20,2)&gt;5,OR(U20&gt;0,T20&gt;0)),"! D",IF(O20&gt;0,IF(H20="",IF(COUNTA(L20:N20,P20:U20)&gt;0,"! C",""),"! C"),IF(H20="",IF(COUNTA(R20:S20),"! A",IF(K20+L20+M20+N20+P20+T20+U20&gt;Grunddata!$C$1,"! E","")),IF(AND(H20&gt;Grunddata!$C$1,K20="",L20="",M20="",N20="",O20="",P20=""),"",IF(H20+K20+L20+M20+N20+P20+T20+U20&gt;Grunddata!$C$1,"! B","")))))</f>
        <v/>
      </c>
      <c r="AA20" s="97" t="str">
        <f>IF(WEEKDAY(A20,2)=7,SUM(X14:X20)+SUM(K14:K20)+SUM(L14:L20)+SUM(M14:M20)+SUM(N14:N20)+COUNT(O14:O20)*Grunddata!$C$1+SUM(P14:P20)+SUM(R14:R20)+SUM(S14:S20)+SUM(T14:T20)+SUM(U14:U20)+SUM(V14:V20)+SUM(W14:W20),"")</f>
        <v/>
      </c>
      <c r="AB20" s="113" t="str">
        <f>IF(AND(WEEKDAY(A20,2)=7,SUM(R14:S20)&gt;0),IF(AA20-SUM(R14:S20)&lt;Grunddata!$C$2,"! F",""),"")</f>
        <v/>
      </c>
      <c r="AC20" s="167"/>
    </row>
    <row r="21" spans="1:34" s="113" customFormat="1" ht="30" customHeight="1" x14ac:dyDescent="0.25">
      <c r="A21" s="213">
        <v>42700</v>
      </c>
      <c r="B21" s="150">
        <f t="shared" si="1"/>
        <v>42700</v>
      </c>
      <c r="C21" s="151"/>
      <c r="D21" s="151"/>
      <c r="E21" s="151"/>
      <c r="F21" s="151"/>
      <c r="G21" s="153"/>
      <c r="H21" s="154" t="str">
        <f t="shared" si="0"/>
        <v/>
      </c>
      <c r="I21" s="155" t="str">
        <f>IF($J$1="Ja",IF(F21&gt;0,IF(AND(WEEKDAY(A21,2)&lt;6,COUNTIF(Grunddata!$A$14:$A$17,A21)=0,C21&gt;0),"BL",""),""),"")</f>
        <v/>
      </c>
      <c r="J21" s="156"/>
      <c r="K21" s="157"/>
      <c r="L21" s="152"/>
      <c r="M21" s="152"/>
      <c r="N21" s="152"/>
      <c r="O21" s="158"/>
      <c r="P21" s="159"/>
      <c r="Q21" s="160"/>
      <c r="R21" s="155"/>
      <c r="S21" s="159"/>
      <c r="T21" s="159"/>
      <c r="U21" s="159"/>
      <c r="V21" s="162" t="str">
        <f>IF(OR(Z21="! A",Z21="! B",Z21="! C",Z21="! D",Z21="! E",O21&gt;0,H21="",AND(WEEKDAY(A21,2)&gt;5,H21=""),AND(H21="",K21="",L21="",M21="",N21="",O21="",P21="",R21="",S21="",T21="",U21="")),"",IF(OR(WEEKDAY(A21,2)&gt;5,COUNTIF(Grunddata!$A$15:$A$18,A21)&gt;0),H21-R21-S21,IF(H21+K21+L21+M21+N21+O21+P21-R21-S21+T21+U21=Grunddata!$C$1,"",IF(H21+K21+L21+M21+N21+O21+P21-R21-S21+T21-U21&gt;Grunddata!$C$1,H21+K21+L21+M21+N21+O21+P21-R21-S21+T21-U21-Grunddata!$C$1,""))))</f>
        <v/>
      </c>
      <c r="W21" s="163" t="str">
        <f>IF(OR(Z21="! A",Z21="! B",Z21="! C",Z21="! D",Z21="! E",O21&gt;0,H21="",AND(WEEKDAY(A21,2)&gt;5,H21=""),AND(H21="",K21="",L21="",M21="",N21="",O21="",P21="",R21="",S21="",T21="",U21="")),"",IF(OR(WEEKDAY(A21,2)&gt;5,COUNTIF(Grunddata!$A$15:$A$18,A21)&gt;0),"",IF(H21+K21+L21+M21+N21+O21+P21-R21-S21+T21+U21=Grunddata!$C$1,"",IF(H21+K21+L21+M21+N21+O21+P21-R21-S21+T21-U21&lt;Grunddata!$C$1,H21+K21+L21+M21+N21+O21+P21-R21-S21+T21-U21-Grunddata!$C$1,""))))</f>
        <v/>
      </c>
      <c r="X21" s="202" t="str">
        <f>IF(AND(WEEKDAY(A21,2)&lt;6,COUNTIF(Grunddata!$A$15:$A$21,A21)&gt;0),$D$7,IF(H21="","",IF(V21="",IF(W21="",H21-R21-S21,H21-R21-S21-W21),H21-R21-S21-V21)))</f>
        <v/>
      </c>
      <c r="Y21" s="166"/>
      <c r="Z21" s="165" t="str">
        <f>IF(AND(WEEKDAY(A21,2)&gt;5,OR(U21&gt;0,T21&gt;0)),"! D",IF(O21&gt;0,IF(H21="",IF(COUNTA(L21:N21,P21:U21)&gt;0,"! C",""),"! C"),IF(H21="",IF(COUNTA(R21:S21),"! A",IF(K21+L21+M21+N21+P21+T21+U21&gt;Grunddata!$C$1,"! E","")),IF(AND(H21&gt;Grunddata!$C$1,K21="",L21="",M21="",N21="",O21="",P21=""),"",IF(H21+K21+L21+M21+N21+P21+T21+U21&gt;Grunddata!$C$1,"! B","")))))</f>
        <v/>
      </c>
      <c r="AA21" s="97" t="str">
        <f>IF(WEEKDAY(A21,2)=7,SUM(X15:X21)+SUM(K15:K21)+SUM(L15:L21)+SUM(M15:M21)+SUM(N15:N21)+COUNT(O15:O21)*Grunddata!$C$1+SUM(P15:P21)+SUM(R15:R21)+SUM(S15:S21)+SUM(T15:T21)+SUM(U15:U21)+SUM(V15:V21)+SUM(W15:W21),"")</f>
        <v/>
      </c>
      <c r="AB21" s="113" t="str">
        <f>IF(AND(WEEKDAY(A21,2)=7,SUM(R15:S21)&gt;0),IF(AA21-SUM(R15:S21)&lt;Grunddata!$C$2,"! F",""),"")</f>
        <v/>
      </c>
      <c r="AC21" s="167"/>
      <c r="AD21" s="174"/>
    </row>
    <row r="22" spans="1:34" s="113" customFormat="1" ht="30" customHeight="1" x14ac:dyDescent="0.25">
      <c r="A22" s="213">
        <v>42701</v>
      </c>
      <c r="B22" s="150">
        <f t="shared" si="1"/>
        <v>42701</v>
      </c>
      <c r="C22" s="151"/>
      <c r="D22" s="151"/>
      <c r="E22" s="151"/>
      <c r="F22" s="151"/>
      <c r="G22" s="153"/>
      <c r="H22" s="154" t="str">
        <f t="shared" si="0"/>
        <v/>
      </c>
      <c r="I22" s="155" t="str">
        <f>IF($J$1="Ja",IF(F22&gt;0,IF(AND(WEEKDAY(A22,2)&lt;6,COUNTIF(Grunddata!$A$14:$A$17,A22)=0,C22&gt;0),"BL",""),""),"")</f>
        <v/>
      </c>
      <c r="J22" s="156"/>
      <c r="K22" s="157"/>
      <c r="L22" s="152"/>
      <c r="M22" s="152"/>
      <c r="N22" s="152"/>
      <c r="O22" s="158"/>
      <c r="P22" s="159"/>
      <c r="Q22" s="160"/>
      <c r="R22" s="155"/>
      <c r="S22" s="159"/>
      <c r="T22" s="159"/>
      <c r="U22" s="159"/>
      <c r="V22" s="162" t="str">
        <f>IF(OR(Z22="! A",Z22="! B",Z22="! C",Z22="! D",Z22="! E",O22&gt;0,H22="",AND(WEEKDAY(A22,2)&gt;5,H22=""),AND(H22="",K22="",L22="",M22="",N22="",O22="",P22="",R22="",S22="",T22="",U22="")),"",IF(OR(WEEKDAY(A22,2)&gt;5,COUNTIF(Grunddata!$A$15:$A$18,A22)&gt;0),H22-R22-S22,IF(H22+K22+L22+M22+N22+O22+P22-R22-S22+T22+U22=Grunddata!$C$1,"",IF(H22+K22+L22+M22+N22+O22+P22-R22-S22+T22-U22&gt;Grunddata!$C$1,H22+K22+L22+M22+N22+O22+P22-R22-S22+T22-U22-Grunddata!$C$1,""))))</f>
        <v/>
      </c>
      <c r="W22" s="163" t="str">
        <f>IF(OR(Z22="! A",Z22="! B",Z22="! C",Z22="! D",Z22="! E",O22&gt;0,H22="",AND(WEEKDAY(A22,2)&gt;5,H22=""),AND(H22="",K22="",L22="",M22="",N22="",O22="",P22="",R22="",S22="",T22="",U22="")),"",IF(OR(WEEKDAY(A22,2)&gt;5,COUNTIF(Grunddata!$A$15:$A$18,A22)&gt;0),"",IF(H22+K22+L22+M22+N22+O22+P22-R22-S22+T22+U22=Grunddata!$C$1,"",IF(H22+K22+L22+M22+N22+O22+P22-R22-S22+T22-U22&lt;Grunddata!$C$1,H22+K22+L22+M22+N22+O22+P22-R22-S22+T22-U22-Grunddata!$C$1,""))))</f>
        <v/>
      </c>
      <c r="X22" s="202" t="str">
        <f>IF(AND(WEEKDAY(A22,2)&lt;6,COUNTIF(Grunddata!$A$15:$A$21,A22)&gt;0),$D$7,IF(H22="","",IF(V22="",IF(W22="",H22-R22-S22,H22-R22-S22-W22),H22-R22-S22-V22)))</f>
        <v/>
      </c>
      <c r="Y22" s="166"/>
      <c r="Z22" s="165" t="str">
        <f>IF(AND(WEEKDAY(A22,2)&gt;5,OR(U22&gt;0,T22&gt;0)),"! D",IF(O22&gt;0,IF(H22="",IF(COUNTA(L22:N22,P22:U22)&gt;0,"! C",""),"! C"),IF(H22="",IF(COUNTA(R22:S22),"! A",IF(K22+L22+M22+N22+P22+T22+U22&gt;Grunddata!$C$1,"! E","")),IF(AND(H22&gt;Grunddata!$C$1,K22="",L22="",M22="",N22="",O22="",P22=""),"",IF(H22+K22+L22+M22+N22+P22+T22+U22&gt;Grunddata!$C$1,"! B","")))))</f>
        <v/>
      </c>
      <c r="AA22" s="97" t="str">
        <f>IF(WEEKDAY(A22,2)=7,SUM(X16:X22)+SUM(K16:K22)+SUM(L16:L22)+SUM(M16:M22)+SUM(N16:N22)+COUNT(O16:O22)*Grunddata!$C$1+SUM(P16:P22)+SUM(R16:R22)+SUM(S16:S22)+SUM(T16:T22)+SUM(U16:U22)+SUM(V16:V22)+SUM(W16:W22),"")</f>
        <v/>
      </c>
      <c r="AB22" s="113" t="str">
        <f>IF(AND(WEEKDAY(A22,2)=7,SUM(R16:S22)&gt;0),IF(AA22-SUM(R16:S22)&lt;Grunddata!$C$2,"! F",""),"")</f>
        <v/>
      </c>
    </row>
    <row r="23" spans="1:34" s="113" customFormat="1" ht="30" customHeight="1" x14ac:dyDescent="0.25">
      <c r="A23" s="213">
        <v>42702</v>
      </c>
      <c r="B23" s="150">
        <f t="shared" si="1"/>
        <v>42702</v>
      </c>
      <c r="C23" s="151"/>
      <c r="D23" s="151"/>
      <c r="E23" s="151"/>
      <c r="F23" s="151"/>
      <c r="G23" s="153"/>
      <c r="H23" s="154" t="str">
        <f t="shared" si="0"/>
        <v/>
      </c>
      <c r="I23" s="155" t="str">
        <f>IF($J$1="Ja",IF(F23&gt;0,IF(AND(WEEKDAY(A23,2)&lt;6,COUNTIF(Grunddata!$A$14:$A$17,A23)=0,C23&gt;0),"BL",""),""),"")</f>
        <v/>
      </c>
      <c r="J23" s="156"/>
      <c r="K23" s="157"/>
      <c r="L23" s="152"/>
      <c r="M23" s="152"/>
      <c r="N23" s="152"/>
      <c r="O23" s="158"/>
      <c r="P23" s="159"/>
      <c r="Q23" s="160"/>
      <c r="R23" s="155"/>
      <c r="S23" s="159"/>
      <c r="T23" s="159"/>
      <c r="U23" s="159"/>
      <c r="V23" s="162" t="str">
        <f>IF(OR(Z23="! A",Z23="! B",Z23="! C",Z23="! D",Z23="! E",O23&gt;0,H23="",AND(WEEKDAY(A23,2)&gt;5,H23=""),AND(H23="",K23="",L23="",M23="",N23="",O23="",P23="",R23="",S23="",T23="",U23="")),"",IF(OR(WEEKDAY(A23,2)&gt;5,COUNTIF(Grunddata!$A$15:$A$18,A23)&gt;0),H23-R23-S23,IF(H23+K23+L23+M23+N23+O23+P23-R23-S23+T23+U23=Grunddata!$C$1,"",IF(H23+K23+L23+M23+N23+O23+P23-R23-S23+T23-U23&gt;Grunddata!$C$1,H23+K23+L23+M23+N23+O23+P23-R23-S23+T23-U23-Grunddata!$C$1,""))))</f>
        <v/>
      </c>
      <c r="W23" s="163" t="str">
        <f>IF(OR(Z23="! A",Z23="! B",Z23="! C",Z23="! D",Z23="! E",O23&gt;0,H23="",AND(WEEKDAY(A23,2)&gt;5,H23=""),AND(H23="",K23="",L23="",M23="",N23="",O23="",P23="",R23="",S23="",T23="",U23="")),"",IF(OR(WEEKDAY(A23,2)&gt;5,COUNTIF(Grunddata!$A$15:$A$18,A23)&gt;0),"",IF(H23+K23+L23+M23+N23+O23+P23-R23-S23+T23+U23=Grunddata!$C$1,"",IF(H23+K23+L23+M23+N23+O23+P23-R23-S23+T23-U23&lt;Grunddata!$C$1,H23+K23+L23+M23+N23+O23+P23-R23-S23+T23-U23-Grunddata!$C$1,""))))</f>
        <v/>
      </c>
      <c r="X23" s="202" t="str">
        <f>IF(AND(WEEKDAY(A23,2)&lt;6,COUNTIF(Grunddata!$A$15:$A$21,A23)&gt;0),$D$7,IF(H23="","",IF(V23="",IF(W23="",H23-R23-S23,H23-R23-S23-W23),H23-R23-S23-V23)))</f>
        <v/>
      </c>
      <c r="Y23" s="166"/>
      <c r="Z23" s="165" t="str">
        <f>IF(AND(WEEKDAY(A23,2)&gt;5,OR(U23&gt;0,T23&gt;0)),"! D",IF(O23&gt;0,IF(H23="",IF(COUNTA(L23:N23,P23:U23)&gt;0,"! C",""),"! C"),IF(H23="",IF(COUNTA(R23:S23),"! A",IF(K23+L23+M23+N23+P23+T23+U23&gt;Grunddata!$C$1,"! E","")),IF(AND(H23&gt;Grunddata!$C$1,K23="",L23="",M23="",N23="",O23="",P23=""),"",IF(H23+K23+L23+M23+N23+P23+T23+U23&gt;Grunddata!$C$1,"! B","")))))</f>
        <v/>
      </c>
      <c r="AA23" s="97">
        <f>IF(WEEKDAY(A23,2)=7,SUM(X17:X23)+SUM(K17:K23)+SUM(L17:L23)+SUM(M17:M23)+SUM(N17:N23)+COUNT(O17:O23)*Grunddata!$C$1+SUM(P17:P23)+SUM(R17:R23)+SUM(S17:S23)+SUM(T17:T23)+SUM(U17:U23)+SUM(V17:V23)+SUM(W17:W23),"")</f>
        <v>0</v>
      </c>
      <c r="AB23" s="113" t="str">
        <f>IF(AND(WEEKDAY(A23,2)=7,SUM(R17:S23)&gt;0),IF(AA23-SUM(R17:S23)&lt;Grunddata!$C$2,"! F",""),"")</f>
        <v/>
      </c>
    </row>
    <row r="24" spans="1:34" s="113" customFormat="1" ht="30" customHeight="1" x14ac:dyDescent="0.25">
      <c r="A24" s="213">
        <v>42703</v>
      </c>
      <c r="B24" s="150">
        <f t="shared" si="1"/>
        <v>42703</v>
      </c>
      <c r="C24" s="151"/>
      <c r="D24" s="151"/>
      <c r="E24" s="152"/>
      <c r="F24" s="151"/>
      <c r="G24" s="153"/>
      <c r="H24" s="154" t="str">
        <f t="shared" si="0"/>
        <v/>
      </c>
      <c r="I24" s="155" t="str">
        <f>IF($J$1="Ja",IF(F24&gt;0,IF(AND(WEEKDAY(A24,2)&lt;6,COUNTIF(Grunddata!$A$14:$A$17,A24)=0,C24&gt;0),"BL",""),""),"")</f>
        <v/>
      </c>
      <c r="J24" s="156"/>
      <c r="K24" s="157"/>
      <c r="L24" s="152"/>
      <c r="M24" s="152"/>
      <c r="N24" s="152"/>
      <c r="O24" s="158"/>
      <c r="P24" s="159"/>
      <c r="Q24" s="160"/>
      <c r="R24" s="155"/>
      <c r="S24" s="159"/>
      <c r="T24" s="159"/>
      <c r="U24" s="159"/>
      <c r="V24" s="162" t="str">
        <f>IF(OR(Z24="! A",Z24="! B",Z24="! C",Z24="! D",Z24="! E",O24&gt;0,H24="",AND(WEEKDAY(A24,2)&gt;5,H24=""),AND(H24="",K24="",L24="",M24="",N24="",O24="",P24="",R24="",S24="",T24="",U24="")),"",IF(OR(WEEKDAY(A24,2)&gt;5,COUNTIF(Grunddata!$A$15:$A$18,A24)&gt;0),H24-R24-S24,IF(H24+K24+L24+M24+N24+O24+P24-R24-S24+T24+U24=Grunddata!$C$1,"",IF(H24+K24+L24+M24+N24+O24+P24-R24-S24+T24-U24&gt;Grunddata!$C$1,H24+K24+L24+M24+N24+O24+P24-R24-S24+T24-U24-Grunddata!$C$1,""))))</f>
        <v/>
      </c>
      <c r="W24" s="163" t="str">
        <f>IF(OR(Z24="! A",Z24="! B",Z24="! C",Z24="! D",Z24="! E",O24&gt;0,H24="",AND(WEEKDAY(A24,2)&gt;5,H24=""),AND(H24="",K24="",L24="",M24="",N24="",O24="",P24="",R24="",S24="",T24="",U24="")),"",IF(OR(WEEKDAY(A24,2)&gt;5,COUNTIF(Grunddata!$A$15:$A$18,A24)&gt;0),"",IF(H24+K24+L24+M24+N24+O24+P24-R24-S24+T24+U24=Grunddata!$C$1,"",IF(H24+K24+L24+M24+N24+O24+P24-R24-S24+T24-U24&lt;Grunddata!$C$1,H24+K24+L24+M24+N24+O24+P24-R24-S24+T24-U24-Grunddata!$C$1,""))))</f>
        <v/>
      </c>
      <c r="X24" s="202" t="str">
        <f>IF(AND(WEEKDAY(A24,2)&lt;6,COUNTIF(Grunddata!$A$15:$A$21,A24)&gt;0),$D$7,IF(H24="","",IF(V24="",IF(W24="",H24-R24-S24,H24-R24-S24-W24),H24-R24-S24-V24)))</f>
        <v/>
      </c>
      <c r="Y24" s="166"/>
      <c r="Z24" s="165" t="str">
        <f>IF(AND(WEEKDAY(A24,2)&gt;5,OR(U24&gt;0,T24&gt;0)),"! D",IF(O24&gt;0,IF(H24="",IF(COUNTA(L24:N24,P24:U24)&gt;0,"! C",""),"! C"),IF(H24="",IF(COUNTA(R24:S24),"! A",IF(K24+L24+M24+N24+P24+T24+U24&gt;Grunddata!$C$1,"! E","")),IF(AND(H24&gt;Grunddata!$C$1,K24="",L24="",M24="",N24="",O24="",P24=""),"",IF(H24+K24+L24+M24+N24+P24+T24+U24&gt;Grunddata!$C$1,"! B","")))))</f>
        <v/>
      </c>
      <c r="AA24" s="97" t="str">
        <f>IF(WEEKDAY(A24,2)=7,SUM(X18:X24)+SUM(K18:K24)+SUM(L18:L24)+SUM(M18:M24)+SUM(N18:N24)+COUNT(O18:O24)*Grunddata!$C$1+SUM(P18:P24)+SUM(R18:R24)+SUM(S18:S24)+SUM(T18:T24)+SUM(U18:U24)+SUM(V18:V24)+SUM(W18:W24),"")</f>
        <v/>
      </c>
      <c r="AB24" s="113" t="str">
        <f>IF(AND(WEEKDAY(A24,2)=7,SUM(R18:S24)&gt;0),IF(AA24-SUM(R18:S24)&lt;Grunddata!$C$2,"! F",""),"")</f>
        <v/>
      </c>
    </row>
    <row r="25" spans="1:34" s="113" customFormat="1" ht="30" customHeight="1" x14ac:dyDescent="0.25">
      <c r="A25" s="213">
        <v>42704</v>
      </c>
      <c r="B25" s="150">
        <f t="shared" si="1"/>
        <v>42704</v>
      </c>
      <c r="C25" s="151"/>
      <c r="D25" s="151"/>
      <c r="E25" s="152"/>
      <c r="F25" s="151"/>
      <c r="G25" s="153"/>
      <c r="H25" s="154" t="str">
        <f t="shared" si="0"/>
        <v/>
      </c>
      <c r="I25" s="155" t="str">
        <f>IF($J$1="Ja",IF(F25&gt;0,IF(AND(WEEKDAY(A25,2)&lt;6,COUNTIF(Grunddata!$A$14:$A$17,A25)=0,C25&gt;0),"BL",""),""),"")</f>
        <v/>
      </c>
      <c r="J25" s="156"/>
      <c r="K25" s="157"/>
      <c r="L25" s="152"/>
      <c r="M25" s="152"/>
      <c r="N25" s="152"/>
      <c r="O25" s="158"/>
      <c r="P25" s="159"/>
      <c r="Q25" s="160"/>
      <c r="R25" s="155"/>
      <c r="S25" s="159"/>
      <c r="T25" s="159"/>
      <c r="U25" s="159"/>
      <c r="V25" s="162" t="str">
        <f>IF(OR(Z25="! A",Z25="! B",Z25="! C",Z25="! D",Z25="! E",O25&gt;0,H25="",AND(WEEKDAY(A25,2)&gt;5,H25=""),AND(H25="",K25="",L25="",M25="",N25="",O25="",P25="",R25="",S25="",T25="",U25="")),"",IF(OR(WEEKDAY(A25,2)&gt;5,COUNTIF(Grunddata!$A$15:$A$18,A25)&gt;0),H25-R25-S25,IF(H25+K25+L25+M25+N25+O25+P25-R25-S25+T25+U25=Grunddata!$C$1,"",IF(H25+K25+L25+M25+N25+O25+P25-R25-S25+T25-U25&gt;Grunddata!$C$1,H25+K25+L25+M25+N25+O25+P25-R25-S25+T25-U25-Grunddata!$C$1,""))))</f>
        <v/>
      </c>
      <c r="W25" s="163" t="str">
        <f>IF(OR(Z25="! A",Z25="! B",Z25="! C",Z25="! D",Z25="! E",O25&gt;0,H25="",AND(WEEKDAY(A25,2)&gt;5,H25=""),AND(H25="",K25="",L25="",M25="",N25="",O25="",P25="",R25="",S25="",T25="",U25="")),"",IF(OR(WEEKDAY(A25,2)&gt;5,COUNTIF(Grunddata!$A$15:$A$18,A25)&gt;0),"",IF(H25+K25+L25+M25+N25+O25+P25-R25-S25+T25+U25=Grunddata!$C$1,"",IF(H25+K25+L25+M25+N25+O25+P25-R25-S25+T25-U25&lt;Grunddata!$C$1,H25+K25+L25+M25+N25+O25+P25-R25-S25+T25-U25-Grunddata!$C$1,""))))</f>
        <v/>
      </c>
      <c r="X25" s="202" t="str">
        <f>IF(AND(WEEKDAY(A25,2)&lt;6,COUNTIF(Grunddata!$A$15:$A$21,A25)&gt;0),$D$7,IF(H25="","",IF(V25="",IF(W25="",H25-R25-S25,H25-R25-S25-W25),H25-R25-S25-V25)))</f>
        <v/>
      </c>
      <c r="Y25" s="175"/>
      <c r="Z25" s="165" t="str">
        <f>IF(AND(WEEKDAY(A25,2)&gt;5,OR(U25&gt;0,T25&gt;0)),"! D",IF(O25&gt;0,IF(H25="",IF(COUNTA(L25:N25,P25:U25)&gt;0,"! C",""),"! C"),IF(H25="",IF(COUNTA(R25:S25),"! A",IF(K25+L25+M25+N25+P25+T25+U25&gt;Grunddata!$C$1,"! E","")),IF(AND(H25&gt;Grunddata!$C$1,K25="",L25="",M25="",N25="",O25="",P25=""),"",IF(H25+K25+L25+M25+N25+P25+T25+U25&gt;Grunddata!$C$1,"! B","")))))</f>
        <v/>
      </c>
      <c r="AA25" s="97" t="str">
        <f>IF(WEEKDAY(A25,2)=7,SUM(X19:X25)+SUM(K19:K25)+SUM(L19:L25)+SUM(M19:M25)+SUM(N19:N25)+COUNT(O19:O25)*Grunddata!$C$1+SUM(P19:P25)+SUM(R19:R25)+SUM(S19:S25)+SUM(T19:T25)+SUM(U19:U25)+SUM(V19:V25)+SUM(W19:W25),"")</f>
        <v/>
      </c>
      <c r="AB25" s="113" t="str">
        <f>IF(AND(WEEKDAY(A25,2)=7,SUM(R19:S25)&gt;0),IF(AA25-SUM(R19:S25)&lt;Grunddata!$C$2,"! F",""),"")</f>
        <v/>
      </c>
    </row>
    <row r="26" spans="1:34" s="113" customFormat="1" ht="30" customHeight="1" x14ac:dyDescent="0.25">
      <c r="A26" s="213">
        <v>42705</v>
      </c>
      <c r="B26" s="150">
        <f t="shared" si="1"/>
        <v>42705</v>
      </c>
      <c r="C26" s="151"/>
      <c r="D26" s="151"/>
      <c r="E26" s="152"/>
      <c r="F26" s="151"/>
      <c r="G26" s="153"/>
      <c r="H26" s="154" t="str">
        <f t="shared" si="0"/>
        <v/>
      </c>
      <c r="I26" s="155" t="str">
        <f>IF($J$1="Ja",IF(F26&gt;0,IF(AND(WEEKDAY(A26,2)&lt;6,COUNTIF(Grunddata!$A$14:$A$17,A26)=0,C26&gt;0),"BL",""),""),"")</f>
        <v/>
      </c>
      <c r="J26" s="156"/>
      <c r="K26" s="157"/>
      <c r="L26" s="152"/>
      <c r="M26" s="152"/>
      <c r="N26" s="152"/>
      <c r="O26" s="158"/>
      <c r="P26" s="159"/>
      <c r="Q26" s="160"/>
      <c r="R26" s="155"/>
      <c r="S26" s="170"/>
      <c r="T26" s="170"/>
      <c r="U26" s="159"/>
      <c r="V26" s="162" t="str">
        <f>IF(OR(Z26="! A",Z26="! B",Z26="! C",Z26="! D",Z26="! E",O26&gt;0,H26="",AND(WEEKDAY(A26,2)&gt;5,H26=""),AND(H26="",K26="",L26="",M26="",N26="",O26="",P26="",R26="",S26="",T26="",U26="")),"",IF(OR(WEEKDAY(A26,2)&gt;5,COUNTIF(Grunddata!$A$15:$A$18,A26)&gt;0),H26-R26-S26,IF(H26+K26+L26+M26+N26+O26+P26-R26-S26+T26+U26=Grunddata!$C$1,"",IF(H26+K26+L26+M26+N26+O26+P26-R26-S26+T26-U26&gt;Grunddata!$C$1,H26+K26+L26+M26+N26+O26+P26-R26-S26+T26-U26-Grunddata!$C$1,""))))</f>
        <v/>
      </c>
      <c r="W26" s="163" t="str">
        <f>IF(OR(Z26="! A",Z26="! B",Z26="! C",Z26="! D",Z26="! E",O26&gt;0,H26="",AND(WEEKDAY(A26,2)&gt;5,H26=""),AND(H26="",K26="",L26="",M26="",N26="",O26="",P26="",R26="",S26="",T26="",U26="")),"",IF(OR(WEEKDAY(A26,2)&gt;5,COUNTIF(Grunddata!$A$15:$A$18,A26)&gt;0),"",IF(H26+K26+L26+M26+N26+O26+P26-R26-S26+T26+U26=Grunddata!$C$1,"",IF(H26+K26+L26+M26+N26+O26+P26-R26-S26+T26-U26&lt;Grunddata!$C$1,H26+K26+L26+M26+N26+O26+P26-R26-S26+T26-U26-Grunddata!$C$1,""))))</f>
        <v/>
      </c>
      <c r="X26" s="202" t="str">
        <f>IF(AND(WEEKDAY(A26,2)&lt;6,COUNTIF(Grunddata!$A$15:$A$21,A26)&gt;0),$D$7,IF(H26="","",IF(V26="",IF(W26="",H26-R26-S26,H26-R26-S26-W26),H26-R26-S26-V26)))</f>
        <v/>
      </c>
      <c r="Y26" s="166"/>
      <c r="Z26" s="165" t="str">
        <f>IF(AND(WEEKDAY(A26,2)&gt;5,OR(U26&gt;0,T26&gt;0)),"! D",IF(O26&gt;0,IF(H26="",IF(COUNTA(L26:N26,P26:U26)&gt;0,"! C",""),"! C"),IF(H26="",IF(COUNTA(R26:S26),"! A",IF(K26+L26+M26+N26+P26+T26+U26&gt;Grunddata!$C$1,"! E","")),IF(AND(H26&gt;Grunddata!$C$1,K26="",L26="",M26="",N26="",O26="",P26=""),"",IF(H26+K26+L26+M26+N26+P26+T26+U26&gt;Grunddata!$C$1,"! B","")))))</f>
        <v/>
      </c>
      <c r="AA26" s="97" t="str">
        <f>IF(WEEKDAY(A26,2)=7,SUM(X20:X26)+SUM(K20:K26)+SUM(L20:L26)+SUM(M20:M26)+SUM(N20:N26)+COUNT(O20:O26)*Grunddata!$C$1+SUM(P20:P26)+SUM(R20:R26)+SUM(S20:S26)+SUM(T20:T26)+SUM(U20:U26)+SUM(V20:V26)+SUM(W20:W26),"")</f>
        <v/>
      </c>
      <c r="AB26" s="113" t="str">
        <f>IF(AND(WEEKDAY(A26,2)=7,SUM(R20:S26)&gt;0),IF(AA26-SUM(R20:S26)&lt;Grunddata!$C$2,"! F",""),"")</f>
        <v/>
      </c>
      <c r="AH26" s="105"/>
    </row>
    <row r="27" spans="1:34" s="113" customFormat="1" ht="30" customHeight="1" x14ac:dyDescent="0.25">
      <c r="A27" s="213">
        <v>42706</v>
      </c>
      <c r="B27" s="150">
        <f t="shared" si="1"/>
        <v>42706</v>
      </c>
      <c r="C27" s="151"/>
      <c r="D27" s="151"/>
      <c r="E27" s="151"/>
      <c r="F27" s="151"/>
      <c r="G27" s="153"/>
      <c r="H27" s="154" t="str">
        <f t="shared" si="0"/>
        <v/>
      </c>
      <c r="I27" s="155" t="str">
        <f>IF($J$1="Ja",IF(F27&gt;0,IF(AND(WEEKDAY(A27,2)&lt;6,COUNTIF(Grunddata!$A$14:$A$17,A27)=0,C27&gt;0),"BL",""),""),"")</f>
        <v/>
      </c>
      <c r="J27" s="156"/>
      <c r="K27" s="157"/>
      <c r="L27" s="152"/>
      <c r="M27" s="152"/>
      <c r="N27" s="152"/>
      <c r="O27" s="158"/>
      <c r="P27" s="159"/>
      <c r="Q27" s="160"/>
      <c r="R27" s="155"/>
      <c r="S27" s="159"/>
      <c r="T27" s="159"/>
      <c r="U27" s="159"/>
      <c r="V27" s="162" t="str">
        <f>IF(OR(Z27="! A",Z27="! B",Z27="! C",Z27="! D",Z27="! E",O27&gt;0,H27="",AND(WEEKDAY(A27,2)&gt;5,H27=""),AND(H27="",K27="",L27="",M27="",N27="",O27="",P27="",R27="",S27="",T27="",U27="")),"",IF(OR(WEEKDAY(A27,2)&gt;5,COUNTIF(Grunddata!$A$15:$A$18,A27)&gt;0),H27-R27-S27,IF(H27+K27+L27+M27+N27+O27+P27-R27-S27+T27+U27=Grunddata!$C$1,"",IF(H27+K27+L27+M27+N27+O27+P27-R27-S27+T27-U27&gt;Grunddata!$C$1,H27+K27+L27+M27+N27+O27+P27-R27-S27+T27-U27-Grunddata!$C$1,""))))</f>
        <v/>
      </c>
      <c r="W27" s="163" t="str">
        <f>IF(OR(Z27="! A",Z27="! B",Z27="! C",Z27="! D",Z27="! E",O27&gt;0,H27="",AND(WEEKDAY(A27,2)&gt;5,H27=""),AND(H27="",K27="",L27="",M27="",N27="",O27="",P27="",R27="",S27="",T27="",U27="")),"",IF(OR(WEEKDAY(A27,2)&gt;5,COUNTIF(Grunddata!$A$15:$A$18,A27)&gt;0),"",IF(H27+K27+L27+M27+N27+O27+P27-R27-S27+T27+U27=Grunddata!$C$1,"",IF(H27+K27+L27+M27+N27+O27+P27-R27-S27+T27-U27&lt;Grunddata!$C$1,H27+K27+L27+M27+N27+O27+P27-R27-S27+T27-U27-Grunddata!$C$1,""))))</f>
        <v/>
      </c>
      <c r="X27" s="202" t="str">
        <f>IF(AND(WEEKDAY(A27,2)&lt;6,COUNTIF(Grunddata!$A$15:$A$21,A27)&gt;0),$D$7,IF(H27="","",IF(V27="",IF(W27="",H27-R27-S27,H27-R27-S27-W27),H27-R27-S27-V27)))</f>
        <v/>
      </c>
      <c r="Y27" s="166"/>
      <c r="Z27" s="165" t="str">
        <f>IF(AND(WEEKDAY(A27,2)&gt;5,OR(U27&gt;0,T27&gt;0)),"! D",IF(O27&gt;0,IF(H27="",IF(COUNTA(L27:N27,P27:U27)&gt;0,"! C",""),"! C"),IF(H27="",IF(COUNTA(R27:S27),"! A",IF(K27+L27+M27+N27+P27+T27+U27&gt;Grunddata!$C$1,"! E","")),IF(AND(H27&gt;Grunddata!$C$1,K27="",L27="",M27="",N27="",O27="",P27=""),"",IF(H27+K27+L27+M27+N27+P27+T27+U27&gt;Grunddata!$C$1,"! B","")))))</f>
        <v/>
      </c>
      <c r="AA27" s="97" t="str">
        <f>IF(WEEKDAY(A27,2)=7,SUM(X21:X27)+SUM(K21:K27)+SUM(L21:L27)+SUM(M21:M27)+SUM(N21:N27)+COUNT(O21:O27)*Grunddata!$C$1+SUM(P21:P27)+SUM(R21:R27)+SUM(S21:S27)+SUM(T21:T27)+SUM(U21:U27)+SUM(V21:V27)+SUM(W21:W27),"")</f>
        <v/>
      </c>
      <c r="AB27" s="113" t="str">
        <f>IF(AND(WEEKDAY(A27,2)=7,SUM(R21:S27)&gt;0),IF(AA27-SUM(R21:S27)&lt;Grunddata!$C$2,"! F",""),"")</f>
        <v/>
      </c>
    </row>
    <row r="28" spans="1:34" s="113" customFormat="1" ht="30" customHeight="1" x14ac:dyDescent="0.25">
      <c r="A28" s="213">
        <v>42707</v>
      </c>
      <c r="B28" s="150">
        <f t="shared" si="1"/>
        <v>42707</v>
      </c>
      <c r="C28" s="151"/>
      <c r="D28" s="151"/>
      <c r="E28" s="151"/>
      <c r="F28" s="151"/>
      <c r="G28" s="153"/>
      <c r="H28" s="154" t="str">
        <f t="shared" si="0"/>
        <v/>
      </c>
      <c r="I28" s="155" t="str">
        <f>IF($J$1="Ja",IF(F28&gt;0,IF(AND(WEEKDAY(A28,2)&lt;6,COUNTIF(Grunddata!$A$14:$A$17,A28)=0,C28&gt;0),"BL",""),""),"")</f>
        <v/>
      </c>
      <c r="J28" s="156"/>
      <c r="K28" s="157"/>
      <c r="L28" s="152"/>
      <c r="M28" s="152"/>
      <c r="N28" s="152"/>
      <c r="O28" s="158"/>
      <c r="P28" s="159"/>
      <c r="Q28" s="160"/>
      <c r="R28" s="155"/>
      <c r="S28" s="159"/>
      <c r="T28" s="159"/>
      <c r="U28" s="159"/>
      <c r="V28" s="162" t="str">
        <f>IF(OR(Z28="! A",Z28="! B",Z28="! C",Z28="! D",Z28="! E",O28&gt;0,H28="",AND(WEEKDAY(A28,2)&gt;5,H28=""),AND(H28="",K28="",L28="",M28="",N28="",O28="",P28="",R28="",S28="",T28="",U28="")),"",IF(OR(WEEKDAY(A28,2)&gt;5,COUNTIF(Grunddata!$A$15:$A$18,A28)&gt;0),H28-R28-S28,IF(H28+K28+L28+M28+N28+O28+P28-R28-S28+T28+U28=Grunddata!$C$1,"",IF(H28+K28+L28+M28+N28+O28+P28-R28-S28+T28-U28&gt;Grunddata!$C$1,H28+K28+L28+M28+N28+O28+P28-R28-S28+T28-U28-Grunddata!$C$1,""))))</f>
        <v/>
      </c>
      <c r="W28" s="163" t="str">
        <f>IF(OR(Z28="! A",Z28="! B",Z28="! C",Z28="! D",Z28="! E",O28&gt;0,H28="",AND(WEEKDAY(A28,2)&gt;5,H28=""),AND(H28="",K28="",L28="",M28="",N28="",O28="",P28="",R28="",S28="",T28="",U28="")),"",IF(OR(WEEKDAY(A28,2)&gt;5,COUNTIF(Grunddata!$A$15:$A$18,A28)&gt;0),"",IF(H28+K28+L28+M28+N28+O28+P28-R28-S28+T28+U28=Grunddata!$C$1,"",IF(H28+K28+L28+M28+N28+O28+P28-R28-S28+T28-U28&lt;Grunddata!$C$1,H28+K28+L28+M28+N28+O28+P28-R28-S28+T28-U28-Grunddata!$C$1,""))))</f>
        <v/>
      </c>
      <c r="X28" s="202" t="str">
        <f>IF(AND(WEEKDAY(A28,2)&lt;6,COUNTIF(Grunddata!$A$15:$A$21,A28)&gt;0),$D$7,IF(H28="","",IF(V28="",IF(W28="",H28-R28-S28,H28-R28-S28-W28),H28-R28-S28-V28)))</f>
        <v/>
      </c>
      <c r="Y28" s="166"/>
      <c r="Z28" s="165" t="str">
        <f>IF(AND(WEEKDAY(A28,2)&gt;5,OR(U28&gt;0,T28&gt;0)),"! D",IF(O28&gt;0,IF(H28="",IF(COUNTA(L28:N28,P28:U28)&gt;0,"! C",""),"! C"),IF(H28="",IF(COUNTA(R28:S28),"! A",IF(K28+L28+M28+N28+P28+T28+U28&gt;Grunddata!$C$1,"! E","")),IF(AND(H28&gt;Grunddata!$C$1,K28="",L28="",M28="",N28="",O28="",P28=""),"",IF(H28+K28+L28+M28+N28+P28+T28+U28&gt;Grunddata!$C$1,"! B","")))))</f>
        <v/>
      </c>
      <c r="AA28" s="97" t="str">
        <f>IF(WEEKDAY(A28,2)=7,SUM(X22:X28)+SUM(K22:K28)+SUM(L22:L28)+SUM(M22:M28)+SUM(N22:N28)+COUNT(O22:O28)*Grunddata!$C$1+SUM(P22:P28)+SUM(R22:R28)+SUM(S22:S28)+SUM(T22:T28)+SUM(U22:U28)+SUM(V22:V28)+SUM(W22:W28),"")</f>
        <v/>
      </c>
      <c r="AB28" s="113" t="str">
        <f>IF(AND(WEEKDAY(A28,2)=7,SUM(R22:S28)&gt;0),IF(AA28-SUM(R22:S28)&lt;Grunddata!$C$2,"! F",""),"")</f>
        <v/>
      </c>
    </row>
    <row r="29" spans="1:34" s="113" customFormat="1" ht="30" customHeight="1" x14ac:dyDescent="0.25">
      <c r="A29" s="213">
        <v>42708</v>
      </c>
      <c r="B29" s="150">
        <f t="shared" si="1"/>
        <v>42708</v>
      </c>
      <c r="C29" s="151"/>
      <c r="D29" s="151"/>
      <c r="E29" s="151"/>
      <c r="F29" s="151"/>
      <c r="G29" s="153"/>
      <c r="H29" s="154" t="str">
        <f t="shared" si="0"/>
        <v/>
      </c>
      <c r="I29" s="155" t="str">
        <f>IF($J$1="Ja",IF(F29&gt;0,IF(AND(WEEKDAY(A29,2)&lt;6,COUNTIF(Grunddata!$A$14:$A$17,A29)=0,C29&gt;0),"BL",""),""),"")</f>
        <v/>
      </c>
      <c r="J29" s="156"/>
      <c r="K29" s="157"/>
      <c r="L29" s="152"/>
      <c r="M29" s="152"/>
      <c r="N29" s="152"/>
      <c r="O29" s="158"/>
      <c r="P29" s="159"/>
      <c r="Q29" s="160"/>
      <c r="R29" s="155"/>
      <c r="S29" s="159"/>
      <c r="T29" s="159"/>
      <c r="U29" s="159"/>
      <c r="V29" s="162" t="str">
        <f>IF(OR(Z29="! A",Z29="! B",Z29="! C",Z29="! D",Z29="! E",O29&gt;0,H29="",AND(WEEKDAY(A29,2)&gt;5,H29=""),AND(H29="",K29="",L29="",M29="",N29="",O29="",P29="",R29="",S29="",T29="",U29="")),"",IF(OR(WEEKDAY(A29,2)&gt;5,COUNTIF(Grunddata!$A$15:$A$18,A29)&gt;0),H29-R29-S29,IF(H29+K29+L29+M29+N29+O29+P29-R29-S29+T29+U29=Grunddata!$C$1,"",IF(H29+K29+L29+M29+N29+O29+P29-R29-S29+T29-U29&gt;Grunddata!$C$1,H29+K29+L29+M29+N29+O29+P29-R29-S29+T29-U29-Grunddata!$C$1,""))))</f>
        <v/>
      </c>
      <c r="W29" s="163" t="str">
        <f>IF(OR(Z29="! A",Z29="! B",Z29="! C",Z29="! D",Z29="! E",O29&gt;0,H29="",AND(WEEKDAY(A29,2)&gt;5,H29=""),AND(H29="",K29="",L29="",M29="",N29="",O29="",P29="",R29="",S29="",T29="",U29="")),"",IF(OR(WEEKDAY(A29,2)&gt;5,COUNTIF(Grunddata!$A$15:$A$18,A29)&gt;0),"",IF(H29+K29+L29+M29+N29+O29+P29-R29-S29+T29+U29=Grunddata!$C$1,"",IF(H29+K29+L29+M29+N29+O29+P29-R29-S29+T29-U29&lt;Grunddata!$C$1,H29+K29+L29+M29+N29+O29+P29-R29-S29+T29-U29-Grunddata!$C$1,""))))</f>
        <v/>
      </c>
      <c r="X29" s="202" t="str">
        <f>IF(AND(WEEKDAY(A29,2)&lt;6,COUNTIF(Grunddata!$A$15:$A$21,A29)&gt;0),$D$7,IF(H29="","",IF(V29="",IF(W29="",H29-R29-S29,H29-R29-S29-W29),H29-R29-S29-V29)))</f>
        <v/>
      </c>
      <c r="Y29" s="166"/>
      <c r="Z29" s="165" t="str">
        <f>IF(AND(WEEKDAY(A29,2)&gt;5,OR(U29&gt;0,T29&gt;0)),"! D",IF(O29&gt;0,IF(H29="",IF(COUNTA(L29:N29,P29:U29)&gt;0,"! C",""),"! C"),IF(H29="",IF(COUNTA(R29:S29),"! A",IF(K29+L29+M29+N29+P29+T29+U29&gt;Grunddata!$C$1,"! E","")),IF(AND(H29&gt;Grunddata!$C$1,K29="",L29="",M29="",N29="",O29="",P29=""),"",IF(H29+K29+L29+M29+N29+P29+T29+U29&gt;Grunddata!$C$1,"! B","")))))</f>
        <v/>
      </c>
      <c r="AA29" s="97" t="str">
        <f>IF(WEEKDAY(A29,2)=7,SUM(X23:X29)+SUM(K23:K29)+SUM(L23:L29)+SUM(M23:M29)+SUM(N23:N29)+COUNT(O23:O29)*Grunddata!$C$1+SUM(P23:P29)+SUM(R23:R29)+SUM(S23:S29)+SUM(T23:T29)+SUM(U23:U29)+SUM(V23:V29)+SUM(W23:W29),"")</f>
        <v/>
      </c>
      <c r="AB29" s="113" t="str">
        <f>IF(AND(WEEKDAY(A29,2)=7,SUM(R23:S29)&gt;0),IF(AA29-SUM(R23:S29)&lt;Grunddata!$C$2,"! F",""),"")</f>
        <v/>
      </c>
    </row>
    <row r="30" spans="1:34" s="113" customFormat="1" ht="30" customHeight="1" x14ac:dyDescent="0.25">
      <c r="A30" s="213">
        <v>42709</v>
      </c>
      <c r="B30" s="150">
        <f t="shared" si="1"/>
        <v>42709</v>
      </c>
      <c r="C30" s="151"/>
      <c r="D30" s="151"/>
      <c r="E30" s="151"/>
      <c r="F30" s="151"/>
      <c r="G30" s="153"/>
      <c r="H30" s="154" t="str">
        <f t="shared" si="0"/>
        <v/>
      </c>
      <c r="I30" s="155" t="str">
        <f>IF($J$1="Ja",IF(F30&gt;0,IF(AND(WEEKDAY(A30,2)&lt;6,COUNTIF(Grunddata!$A$14:$A$17,A30)=0,C30&gt;0),"BL",""),""),"")</f>
        <v/>
      </c>
      <c r="J30" s="156"/>
      <c r="K30" s="157"/>
      <c r="L30" s="152"/>
      <c r="M30" s="152"/>
      <c r="N30" s="152"/>
      <c r="O30" s="158"/>
      <c r="P30" s="159"/>
      <c r="Q30" s="160"/>
      <c r="R30" s="155"/>
      <c r="S30" s="159"/>
      <c r="T30" s="159"/>
      <c r="U30" s="159"/>
      <c r="V30" s="162" t="str">
        <f>IF(OR(Z30="! A",Z30="! B",Z30="! C",Z30="! D",Z30="! E",O30&gt;0,H30="",AND(WEEKDAY(A30,2)&gt;5,H30=""),AND(H30="",K30="",L30="",M30="",N30="",O30="",P30="",R30="",S30="",T30="",U30="")),"",IF(OR(WEEKDAY(A30,2)&gt;5,COUNTIF(Grunddata!$A$15:$A$18,A30)&gt;0),H30-R30-S30,IF(H30+K30+L30+M30+N30+O30+P30-R30-S30+T30+U30=Grunddata!$C$1,"",IF(H30+K30+L30+M30+N30+O30+P30-R30-S30+T30-U30&gt;Grunddata!$C$1,H30+K30+L30+M30+N30+O30+P30-R30-S30+T30-U30-Grunddata!$C$1,""))))</f>
        <v/>
      </c>
      <c r="W30" s="163" t="str">
        <f>IF(OR(Z30="! A",Z30="! B",Z30="! C",Z30="! D",Z30="! E",O30&gt;0,H30="",AND(WEEKDAY(A30,2)&gt;5,H30=""),AND(H30="",K30="",L30="",M30="",N30="",O30="",P30="",R30="",S30="",T30="",U30="")),"",IF(OR(WEEKDAY(A30,2)&gt;5,COUNTIF(Grunddata!$A$15:$A$18,A30)&gt;0),"",IF(H30+K30+L30+M30+N30+O30+P30-R30-S30+T30+U30=Grunddata!$C$1,"",IF(H30+K30+L30+M30+N30+O30+P30-R30-S30+T30-U30&lt;Grunddata!$C$1,H30+K30+L30+M30+N30+O30+P30-R30-S30+T30-U30-Grunddata!$C$1,""))))</f>
        <v/>
      </c>
      <c r="X30" s="202" t="str">
        <f>IF(AND(WEEKDAY(A30,2)&lt;6,COUNTIF(Grunddata!$A$15:$A$21,A30)&gt;0),$D$7,IF(H30="","",IF(V30="",IF(W30="",H30-R30-S30,H30-R30-S30-W30),H30-R30-S30-V30)))</f>
        <v/>
      </c>
      <c r="Y30" s="166"/>
      <c r="Z30" s="165" t="str">
        <f>IF(AND(WEEKDAY(A30,2)&gt;5,OR(U30&gt;0,T30&gt;0)),"! D",IF(O30&gt;0,IF(H30="",IF(COUNTA(L30:N30,P30:U30)&gt;0,"! C",""),"! C"),IF(H30="",IF(COUNTA(R30:S30),"! A",IF(K30+L30+M30+N30+P30+T30+U30&gt;Grunddata!$C$1,"! E","")),IF(AND(H30&gt;Grunddata!$C$1,K30="",L30="",M30="",N30="",O30="",P30=""),"",IF(H30+K30+L30+M30+N30+P30+T30+U30&gt;Grunddata!$C$1,"! B","")))))</f>
        <v/>
      </c>
      <c r="AA30" s="97">
        <f>IF(WEEKDAY(A30,2)=7,SUM(X24:X30)+SUM(K24:K30)+SUM(L24:L30)+SUM(M24:M30)+SUM(N24:N30)+COUNT(O24:O30)*Grunddata!$C$1+SUM(P24:P30)+SUM(R24:R30)+SUM(S24:S30)+SUM(T24:T30)+SUM(U24:U30)+SUM(V24:V30)+SUM(W24:W30),"")</f>
        <v>0</v>
      </c>
      <c r="AB30" s="113" t="str">
        <f>IF(AND(WEEKDAY(A30,2)=7,SUM(R24:S30)&gt;0),IF(AA30-SUM(R24:S30)&lt;Grunddata!$C$2,"! F",""),"")</f>
        <v/>
      </c>
    </row>
    <row r="31" spans="1:34" s="113" customFormat="1" ht="30" customHeight="1" x14ac:dyDescent="0.25">
      <c r="A31" s="213">
        <v>42710</v>
      </c>
      <c r="B31" s="150">
        <f t="shared" si="1"/>
        <v>42710</v>
      </c>
      <c r="C31" s="151"/>
      <c r="D31" s="151"/>
      <c r="E31" s="151"/>
      <c r="F31" s="151"/>
      <c r="G31" s="153"/>
      <c r="H31" s="154" t="str">
        <f t="shared" si="0"/>
        <v/>
      </c>
      <c r="I31" s="155" t="str">
        <f>IF($J$1="Ja",IF(F31&gt;0,IF(AND(WEEKDAY(A31,2)&lt;6,COUNTIF(Grunddata!$A$14:$A$17,A31)=0,C31&gt;0),"BL",""),""),"")</f>
        <v/>
      </c>
      <c r="J31" s="156"/>
      <c r="K31" s="157"/>
      <c r="L31" s="152"/>
      <c r="M31" s="152"/>
      <c r="N31" s="152"/>
      <c r="O31" s="158"/>
      <c r="P31" s="159"/>
      <c r="Q31" s="160"/>
      <c r="R31" s="155"/>
      <c r="S31" s="159"/>
      <c r="T31" s="159"/>
      <c r="U31" s="159"/>
      <c r="V31" s="162" t="str">
        <f>IF(OR(Z31="! A",Z31="! B",Z31="! C",Z31="! D",Z31="! E",O31&gt;0,H31="",AND(WEEKDAY(A31,2)&gt;5,H31=""),AND(H31="",K31="",L31="",M31="",N31="",O31="",P31="",R31="",S31="",T31="",U31="")),"",IF(OR(WEEKDAY(A31,2)&gt;5,COUNTIF(Grunddata!$A$15:$A$18,A31)&gt;0),H31-R31-S31,IF(H31+K31+L31+M31+N31+O31+P31-R31-S31+T31+U31=Grunddata!$C$1,"",IF(H31+K31+L31+M31+N31+O31+P31-R31-S31+T31-U31&gt;Grunddata!$C$1,H31+K31+L31+M31+N31+O31+P31-R31-S31+T31-U31-Grunddata!$C$1,""))))</f>
        <v/>
      </c>
      <c r="W31" s="163" t="str">
        <f>IF(OR(Z31="! A",Z31="! B",Z31="! C",Z31="! D",Z31="! E",O31&gt;0,H31="",AND(WEEKDAY(A31,2)&gt;5,H31=""),AND(H31="",K31="",L31="",M31="",N31="",O31="",P31="",R31="",S31="",T31="",U31="")),"",IF(OR(WEEKDAY(A31,2)&gt;5,COUNTIF(Grunddata!$A$15:$A$18,A31)&gt;0),"",IF(H31+K31+L31+M31+N31+O31+P31-R31-S31+T31+U31=Grunddata!$C$1,"",IF(H31+K31+L31+M31+N31+O31+P31-R31-S31+T31-U31&lt;Grunddata!$C$1,H31+K31+L31+M31+N31+O31+P31-R31-S31+T31-U31-Grunddata!$C$1,""))))</f>
        <v/>
      </c>
      <c r="X31" s="202" t="str">
        <f>IF(AND(WEEKDAY(A31,2)&lt;6,COUNTIF(Grunddata!$A$15:$A$21,A31)&gt;0),$D$7,IF(H31="","",IF(V31="",IF(W31="",H31-R31-S31,H31-R31-S31-W31),H31-R31-S31-V31)))</f>
        <v/>
      </c>
      <c r="Y31" s="166"/>
      <c r="Z31" s="165" t="str">
        <f>IF(AND(WEEKDAY(A31,2)&gt;5,OR(U31&gt;0,T31&gt;0)),"! D",IF(O31&gt;0,IF(H31="",IF(COUNTA(L31:N31,P31:U31)&gt;0,"! C",""),"! C"),IF(H31="",IF(COUNTA(R31:S31),"! A",IF(K31+L31+M31+N31+P31+T31+U31&gt;Grunddata!$C$1,"! E","")),IF(AND(H31&gt;Grunddata!$C$1,K31="",L31="",M31="",N31="",O31="",P31=""),"",IF(H31+K31+L31+M31+N31+P31+T31+U31&gt;Grunddata!$C$1,"! B","")))))</f>
        <v/>
      </c>
      <c r="AA31" s="97" t="str">
        <f>IF(WEEKDAY(A31,2)=7,SUM(X25:X31)+SUM(K25:K31)+SUM(L25:L31)+SUM(M25:M31)+SUM(N25:N31)+COUNT(O25:O31)*Grunddata!$C$1+SUM(P25:P31)+SUM(R25:R31)+SUM(S25:S31)+SUM(T25:T31)+SUM(U25:U31)+SUM(V25:V31)+SUM(W25:W31),"")</f>
        <v/>
      </c>
      <c r="AB31" s="113" t="str">
        <f>IF(AND(WEEKDAY(A31,2)=7,SUM(R25:S31)&gt;0),IF(AA31-SUM(R25:S31)&lt;Grunddata!$C$2,"! F",""),"")</f>
        <v/>
      </c>
    </row>
    <row r="32" spans="1:34" s="113" customFormat="1" ht="30" customHeight="1" x14ac:dyDescent="0.25">
      <c r="A32" s="213">
        <v>42711</v>
      </c>
      <c r="B32" s="150">
        <f t="shared" si="1"/>
        <v>42711</v>
      </c>
      <c r="C32" s="151"/>
      <c r="D32" s="151"/>
      <c r="E32" s="151"/>
      <c r="F32" s="151"/>
      <c r="G32" s="153"/>
      <c r="H32" s="154" t="str">
        <f t="shared" si="0"/>
        <v/>
      </c>
      <c r="I32" s="155" t="str">
        <f>IF($J$1="Ja",IF(F32&gt;0,IF(AND(WEEKDAY(A32,2)&lt;6,COUNTIF(Grunddata!$A$14:$A$17,A32)=0,C32&gt;0),"BL",""),""),"")</f>
        <v/>
      </c>
      <c r="J32" s="156"/>
      <c r="K32" s="157"/>
      <c r="L32" s="152"/>
      <c r="M32" s="152"/>
      <c r="N32" s="152"/>
      <c r="O32" s="158"/>
      <c r="P32" s="159"/>
      <c r="Q32" s="160"/>
      <c r="R32" s="155"/>
      <c r="S32" s="159"/>
      <c r="T32" s="159"/>
      <c r="U32" s="159"/>
      <c r="V32" s="162" t="str">
        <f>IF(OR(Z32="! A",Z32="! B",Z32="! C",Z32="! D",Z32="! E",O32&gt;0,H32="",AND(WEEKDAY(A32,2)&gt;5,H32=""),AND(H32="",K32="",L32="",M32="",N32="",O32="",P32="",R32="",S32="",T32="",U32="")),"",IF(OR(WEEKDAY(A32,2)&gt;5,COUNTIF(Grunddata!$A$15:$A$18,A32)&gt;0),H32-R32-S32,IF(H32+K32+L32+M32+N32+O32+P32-R32-S32+T32+U32=Grunddata!$C$1,"",IF(H32+K32+L32+M32+N32+O32+P32-R32-S32+T32-U32&gt;Grunddata!$C$1,H32+K32+L32+M32+N32+O32+P32-R32-S32+T32-U32-Grunddata!$C$1,""))))</f>
        <v/>
      </c>
      <c r="W32" s="163" t="str">
        <f>IF(OR(Z32="! A",Z32="! B",Z32="! C",Z32="! D",Z32="! E",O32&gt;0,H32="",AND(WEEKDAY(A32,2)&gt;5,H32=""),AND(H32="",K32="",L32="",M32="",N32="",O32="",P32="",R32="",S32="",T32="",U32="")),"",IF(OR(WEEKDAY(A32,2)&gt;5,COUNTIF(Grunddata!$A$15:$A$18,A32)&gt;0),"",IF(H32+K32+L32+M32+N32+O32+P32-R32-S32+T32+U32=Grunddata!$C$1,"",IF(H32+K32+L32+M32+N32+O32+P32-R32-S32+T32-U32&lt;Grunddata!$C$1,H32+K32+L32+M32+N32+O32+P32-R32-S32+T32-U32-Grunddata!$C$1,""))))</f>
        <v/>
      </c>
      <c r="X32" s="202" t="str">
        <f>IF(AND(WEEKDAY(A32,2)&lt;6,COUNTIF(Grunddata!$A$15:$A$21,A32)&gt;0),$D$7,IF(H32="","",IF(V32="",IF(W32="",H32-R32-S32,H32-R32-S32-W32),H32-R32-S32-V32)))</f>
        <v/>
      </c>
      <c r="Y32" s="166"/>
      <c r="Z32" s="165" t="str">
        <f>IF(AND(WEEKDAY(A32,2)&gt;5,OR(U32&gt;0,T32&gt;0)),"! D",IF(O32&gt;0,IF(H32="",IF(COUNTA(L32:N32,P32:U32)&gt;0,"! C",""),"! C"),IF(H32="",IF(COUNTA(R32:S32),"! A",IF(K32+L32+M32+N32+P32+T32+U32&gt;Grunddata!$C$1,"! E","")),IF(AND(H32&gt;Grunddata!$C$1,K32="",L32="",M32="",N32="",O32="",P32=""),"",IF(H32+K32+L32+M32+N32+P32+T32+U32&gt;Grunddata!$C$1,"! B","")))))</f>
        <v/>
      </c>
      <c r="AA32" s="97" t="str">
        <f>IF(WEEKDAY(A32,2)=7,SUM(X26:X32)+SUM(K26:K32)+SUM(L26:L32)+SUM(M26:M32)+SUM(N26:N32)+COUNT(O26:O32)*Grunddata!$C$1+SUM(P26:P32)+SUM(R26:R32)+SUM(S26:S32)+SUM(T26:T32)+SUM(U26:U32)+SUM(V26:V32)+SUM(W26:W32),"")</f>
        <v/>
      </c>
      <c r="AB32" s="113" t="str">
        <f>IF(AND(WEEKDAY(A32,2)=7,SUM(R26:S32)&gt;0),IF(AA32-SUM(R26:S32)&lt;Grunddata!$C$2,"! F",""),"")</f>
        <v/>
      </c>
    </row>
    <row r="33" spans="1:29" s="113" customFormat="1" ht="30" customHeight="1" x14ac:dyDescent="0.25">
      <c r="A33" s="213">
        <v>42712</v>
      </c>
      <c r="B33" s="150">
        <f t="shared" si="1"/>
        <v>42712</v>
      </c>
      <c r="C33" s="151"/>
      <c r="D33" s="151"/>
      <c r="E33" s="151"/>
      <c r="F33" s="151"/>
      <c r="G33" s="153"/>
      <c r="H33" s="154" t="str">
        <f t="shared" si="0"/>
        <v/>
      </c>
      <c r="I33" s="155" t="str">
        <f>IF($J$1="Ja",IF(F33&gt;0,IF(AND(WEEKDAY(A33,2)&lt;6,COUNTIF(Grunddata!$A$14:$A$17,A33)=0,C33&gt;0),"BL",""),""),"")</f>
        <v/>
      </c>
      <c r="J33" s="156"/>
      <c r="K33" s="157"/>
      <c r="L33" s="152"/>
      <c r="M33" s="152"/>
      <c r="N33" s="152"/>
      <c r="O33" s="158"/>
      <c r="P33" s="159"/>
      <c r="Q33" s="160"/>
      <c r="R33" s="155"/>
      <c r="S33" s="159"/>
      <c r="T33" s="159"/>
      <c r="U33" s="159"/>
      <c r="V33" s="162" t="str">
        <f>IF(OR(Z33="! A",Z33="! B",Z33="! C",Z33="! D",Z33="! E",O33&gt;0,H33="",AND(WEEKDAY(A33,2)&gt;5,H33=""),AND(H33="",K33="",L33="",M33="",N33="",O33="",P33="",R33="",S33="",T33="",U33="")),"",IF(OR(WEEKDAY(A33,2)&gt;5,COUNTIF(Grunddata!$A$15:$A$18,A33)&gt;0),H33-R33-S33,IF(H33+K33+L33+M33+N33+O33+P33-R33-S33+T33+U33=Grunddata!$C$1,"",IF(H33+K33+L33+M33+N33+O33+P33-R33-S33+T33-U33&gt;Grunddata!$C$1,H33+K33+L33+M33+N33+O33+P33-R33-S33+T33-U33-Grunddata!$C$1,""))))</f>
        <v/>
      </c>
      <c r="W33" s="163" t="str">
        <f>IF(OR(Z33="! A",Z33="! B",Z33="! C",Z33="! D",Z33="! E",O33&gt;0,H33="",AND(WEEKDAY(A33,2)&gt;5,H33=""),AND(H33="",K33="",L33="",M33="",N33="",O33="",P33="",R33="",S33="",T33="",U33="")),"",IF(OR(WEEKDAY(A33,2)&gt;5,COUNTIF(Grunddata!$A$15:$A$18,A33)&gt;0),"",IF(H33+K33+L33+M33+N33+O33+P33-R33-S33+T33+U33=Grunddata!$C$1,"",IF(H33+K33+L33+M33+N33+O33+P33-R33-S33+T33-U33&lt;Grunddata!$C$1,H33+K33+L33+M33+N33+O33+P33-R33-S33+T33-U33-Grunddata!$C$1,""))))</f>
        <v/>
      </c>
      <c r="X33" s="202" t="str">
        <f>IF(AND(WEEKDAY(A33,2)&lt;6,COUNTIF(Grunddata!$A$15:$A$21,A33)&gt;0),$D$7,IF(H33="","",IF(V33="",IF(W33="",H33-R33-S33,H33-R33-S33-W33),H33-R33-S33-V33)))</f>
        <v/>
      </c>
      <c r="Y33" s="166"/>
      <c r="Z33" s="165" t="str">
        <f>IF(AND(WEEKDAY(A33,2)&gt;5,OR(U33&gt;0,T33&gt;0)),"! D",IF(O33&gt;0,IF(H33="",IF(COUNTA(L33:N33,P33:U33)&gt;0,"! C",""),"! C"),IF(H33="",IF(COUNTA(R33:S33),"! A",IF(K33+L33+M33+N33+P33+T33+U33&gt;Grunddata!$C$1,"! E","")),IF(AND(H33&gt;Grunddata!$C$1,K33="",L33="",M33="",N33="",O33="",P33=""),"",IF(H33+K33+L33+M33+N33+P33+T33+U33&gt;Grunddata!$C$1,"! B","")))))</f>
        <v/>
      </c>
      <c r="AA33" s="97" t="str">
        <f>IF(WEEKDAY(A33,2)=7,SUM(X27:X33)+SUM(K27:K33)+SUM(L27:L33)+SUM(M27:M33)+SUM(N27:N33)+COUNT(O27:O33)*Grunddata!$C$1+SUM(P27:P33)+SUM(R27:R33)+SUM(S27:S33)+SUM(T27:T33)+SUM(U27:U33)+SUM(V27:V33)+SUM(W27:W33),"")</f>
        <v/>
      </c>
      <c r="AB33" s="113" t="str">
        <f>IF(AND(WEEKDAY(A33,2)=7,SUM(R27:S33)&gt;0),IF(AA33-SUM(R27:S33)&lt;Grunddata!$C$2,"! F",""),"")</f>
        <v/>
      </c>
    </row>
    <row r="34" spans="1:29" s="113" customFormat="1" ht="30" customHeight="1" x14ac:dyDescent="0.25">
      <c r="A34" s="213">
        <v>42713</v>
      </c>
      <c r="B34" s="150">
        <f t="shared" si="1"/>
        <v>42713</v>
      </c>
      <c r="C34" s="151"/>
      <c r="D34" s="151"/>
      <c r="E34" s="151"/>
      <c r="F34" s="151"/>
      <c r="G34" s="153"/>
      <c r="H34" s="154" t="str">
        <f t="shared" si="0"/>
        <v/>
      </c>
      <c r="I34" s="155" t="str">
        <f>IF($J$1="Ja",IF(F34&gt;0,IF(AND(WEEKDAY(A34,2)&lt;6,COUNTIF(Grunddata!$A$14:$A$17,A34)=0,C34&gt;0),"BL",""),""),"")</f>
        <v/>
      </c>
      <c r="J34" s="156"/>
      <c r="K34" s="157"/>
      <c r="L34" s="152"/>
      <c r="M34" s="152"/>
      <c r="N34" s="152"/>
      <c r="O34" s="158"/>
      <c r="P34" s="159"/>
      <c r="Q34" s="160"/>
      <c r="R34" s="155"/>
      <c r="S34" s="159"/>
      <c r="T34" s="159"/>
      <c r="U34" s="159"/>
      <c r="V34" s="162" t="str">
        <f>IF(OR(Z34="! A",Z34="! B",Z34="! C",Z34="! D",Z34="! E",O34&gt;0,H34="",AND(WEEKDAY(A34,2)&gt;5,H34=""),AND(H34="",K34="",L34="",M34="",N34="",O34="",P34="",R34="",S34="",T34="",U34="")),"",IF(OR(WEEKDAY(A34,2)&gt;5,COUNTIF(Grunddata!$A$15:$A$18,A34)&gt;0),H34-R34-S34,IF(H34+K34+L34+M34+N34+O34+P34-R34-S34+T34+U34=Grunddata!$C$1,"",IF(H34+K34+L34+M34+N34+O34+P34-R34-S34+T34-U34&gt;Grunddata!$C$1,H34+K34+L34+M34+N34+O34+P34-R34-S34+T34-U34-Grunddata!$C$1,""))))</f>
        <v/>
      </c>
      <c r="W34" s="163" t="str">
        <f>IF(OR(Z34="! A",Z34="! B",Z34="! C",Z34="! D",Z34="! E",O34&gt;0,H34="",AND(WEEKDAY(A34,2)&gt;5,H34=""),AND(H34="",K34="",L34="",M34="",N34="",O34="",P34="",R34="",S34="",T34="",U34="")),"",IF(OR(WEEKDAY(A34,2)&gt;5,COUNTIF(Grunddata!$A$15:$A$18,A34)&gt;0),"",IF(H34+K34+L34+M34+N34+O34+P34-R34-S34+T34+U34=Grunddata!$C$1,"",IF(H34+K34+L34+M34+N34+O34+P34-R34-S34+T34-U34&lt;Grunddata!$C$1,H34+K34+L34+M34+N34+O34+P34-R34-S34+T34-U34-Grunddata!$C$1,""))))</f>
        <v/>
      </c>
      <c r="X34" s="202" t="str">
        <f>IF(AND(WEEKDAY(A34,2)&lt;6,COUNTIF(Grunddata!$A$15:$A$21,A34)&gt;0),$D$7,IF(H34="","",IF(V34="",IF(W34="",H34-R34-S34,H34-R34-S34-W34),H34-R34-S34-V34)))</f>
        <v/>
      </c>
      <c r="Y34" s="166"/>
      <c r="Z34" s="165" t="str">
        <f>IF(AND(WEEKDAY(A34,2)&gt;5,OR(U34&gt;0,T34&gt;0)),"! D",IF(O34&gt;0,IF(H34="",IF(COUNTA(L34:N34,P34:U34)&gt;0,"! C",""),"! C"),IF(H34="",IF(COUNTA(R34:S34),"! A",IF(K34+L34+M34+N34+P34+T34+U34&gt;Grunddata!$C$1,"! E","")),IF(AND(H34&gt;Grunddata!$C$1,K34="",L34="",M34="",N34="",O34="",P34=""),"",IF(H34+K34+L34+M34+N34+P34+T34+U34&gt;Grunddata!$C$1,"! B","")))))</f>
        <v/>
      </c>
      <c r="AA34" s="97" t="str">
        <f>IF(WEEKDAY(A34,2)=7,SUM(X28:X34)+SUM(K28:K34)+SUM(L28:L34)+SUM(M28:M34)+SUM(N28:N34)+COUNT(O28:O34)*Grunddata!$C$1+SUM(P28:P34)+SUM(R28:R34)+SUM(S28:S34)+SUM(T28:T34)+SUM(U28:U34)+SUM(V28:V34)+SUM(W28:W34),"")</f>
        <v/>
      </c>
      <c r="AB34" s="113" t="str">
        <f>IF(AND(WEEKDAY(A34,2)=7,SUM(R28:S34)&gt;0),IF(AA34-SUM(R28:S34)&lt;Grunddata!$C$2,"! F",""),"")</f>
        <v/>
      </c>
    </row>
    <row r="35" spans="1:29" s="113" customFormat="1" ht="30" customHeight="1" x14ac:dyDescent="0.25">
      <c r="A35" s="213">
        <v>42714</v>
      </c>
      <c r="B35" s="150">
        <f t="shared" si="1"/>
        <v>42714</v>
      </c>
      <c r="C35" s="151"/>
      <c r="D35" s="151"/>
      <c r="E35" s="151"/>
      <c r="F35" s="151"/>
      <c r="G35" s="153"/>
      <c r="H35" s="154" t="str">
        <f t="shared" si="0"/>
        <v/>
      </c>
      <c r="I35" s="155" t="str">
        <f>IF($J$1="Ja",IF(F35&gt;0,IF(AND(WEEKDAY(A35,2)&lt;6,COUNTIF(Grunddata!$A$14:$A$17,A35)=0,C35&gt;0),"BL",""),""),"")</f>
        <v/>
      </c>
      <c r="J35" s="156"/>
      <c r="K35" s="157"/>
      <c r="L35" s="152"/>
      <c r="M35" s="152"/>
      <c r="N35" s="152"/>
      <c r="O35" s="158"/>
      <c r="P35" s="159"/>
      <c r="Q35" s="160"/>
      <c r="R35" s="155"/>
      <c r="S35" s="159"/>
      <c r="T35" s="159"/>
      <c r="U35" s="159"/>
      <c r="V35" s="162" t="str">
        <f>IF(OR(Z35="! A",Z35="! B",Z35="! C",Z35="! D",Z35="! E",O35&gt;0,H35="",AND(WEEKDAY(A35,2)&gt;5,H35=""),AND(H35="",K35="",L35="",M35="",N35="",O35="",P35="",R35="",S35="",T35="",U35="")),"",IF(OR(WEEKDAY(A35,2)&gt;5,COUNTIF(Grunddata!$A$15:$A$18,A35)&gt;0),H35-R35-S35,IF(H35+K35+L35+M35+N35+O35+P35-R35-S35+T35+U35=Grunddata!$C$1,"",IF(H35+K35+L35+M35+N35+O35+P35-R35-S35+T35-U35&gt;Grunddata!$C$1,H35+K35+L35+M35+N35+O35+P35-R35-S35+T35-U35-Grunddata!$C$1,""))))</f>
        <v/>
      </c>
      <c r="W35" s="163" t="str">
        <f>IF(OR(Z35="! A",Z35="! B",Z35="! C",Z35="! D",Z35="! E",O35&gt;0,H35="",AND(WEEKDAY(A35,2)&gt;5,H35=""),AND(H35="",K35="",L35="",M35="",N35="",O35="",P35="",R35="",S35="",T35="",U35="")),"",IF(OR(WEEKDAY(A35,2)&gt;5,COUNTIF(Grunddata!$A$15:$A$18,A35)&gt;0),"",IF(H35+K35+L35+M35+N35+O35+P35-R35-S35+T35+U35=Grunddata!$C$1,"",IF(H35+K35+L35+M35+N35+O35+P35-R35-S35+T35-U35&lt;Grunddata!$C$1,H35+K35+L35+M35+N35+O35+P35-R35-S35+T35-U35-Grunddata!$C$1,""))))</f>
        <v/>
      </c>
      <c r="X35" s="202" t="str">
        <f>IF(AND(WEEKDAY(A35,2)&lt;6,COUNTIF(Grunddata!$A$15:$A$21,A35)&gt;0),$D$7,IF(H35="","",IF(V35="",IF(W35="",H35-R35-S35,H35-R35-S35-W35),H35-R35-S35-V35)))</f>
        <v/>
      </c>
      <c r="Y35" s="166"/>
      <c r="Z35" s="165" t="str">
        <f>IF(AND(WEEKDAY(A35,2)&gt;5,OR(U35&gt;0,T35&gt;0)),"! D",IF(O35&gt;0,IF(H35="",IF(COUNTA(L35:N35,P35:U35)&gt;0,"! C",""),"! C"),IF(H35="",IF(COUNTA(R35:S35),"! A",IF(K35+L35+M35+N35+P35+T35+U35&gt;Grunddata!$C$1,"! E","")),IF(AND(H35&gt;Grunddata!$C$1,K35="",L35="",M35="",N35="",O35="",P35=""),"",IF(H35+K35+L35+M35+N35+P35+T35+U35&gt;Grunddata!$C$1,"! B","")))))</f>
        <v/>
      </c>
      <c r="AA35" s="97" t="str">
        <f>IF(WEEKDAY(A35,2)=7,SUM(X29:X35)+SUM(K29:K35)+SUM(L29:L35)+SUM(M29:M35)+SUM(N29:N35)+COUNT(O29:O35)*Grunddata!$C$1+SUM(P29:P35)+SUM(R29:R35)+SUM(S29:S35)+SUM(T29:T35)+SUM(U29:U35)+SUM(V29:V35)+SUM(W29:W35),"")</f>
        <v/>
      </c>
      <c r="AB35" s="113" t="str">
        <f>IF(AND(WEEKDAY(A35,2)=7,SUM(R29:S35)&gt;0),IF(AA35-SUM(R29:S35)&lt;Grunddata!$C$2,"! F",""),"")</f>
        <v/>
      </c>
    </row>
    <row r="36" spans="1:29" s="113" customFormat="1" ht="30" customHeight="1" x14ac:dyDescent="0.25">
      <c r="A36" s="213">
        <v>42715</v>
      </c>
      <c r="B36" s="150">
        <f t="shared" si="1"/>
        <v>42715</v>
      </c>
      <c r="C36" s="151"/>
      <c r="D36" s="151"/>
      <c r="E36" s="151"/>
      <c r="F36" s="151"/>
      <c r="G36" s="153"/>
      <c r="H36" s="154" t="str">
        <f t="shared" si="0"/>
        <v/>
      </c>
      <c r="I36" s="155" t="str">
        <f>IF($J$1="Ja",IF(F36&gt;0,IF(AND(WEEKDAY(A36,2)&lt;6,COUNTIF(Grunddata!$A$14:$A$17,A36)=0,C36&gt;0),"BL",""),""),"")</f>
        <v/>
      </c>
      <c r="J36" s="156"/>
      <c r="K36" s="157"/>
      <c r="L36" s="152"/>
      <c r="M36" s="152"/>
      <c r="N36" s="152"/>
      <c r="O36" s="158"/>
      <c r="P36" s="159"/>
      <c r="Q36" s="160"/>
      <c r="R36" s="155"/>
      <c r="S36" s="159"/>
      <c r="T36" s="159"/>
      <c r="U36" s="159"/>
      <c r="V36" s="162" t="str">
        <f>IF(OR(Z36="! A",Z36="! B",Z36="! C",Z36="! D",Z36="! E",O36&gt;0,H36="",AND(WEEKDAY(A36,2)&gt;5,H36=""),AND(H36="",K36="",L36="",M36="",N36="",O36="",P36="",R36="",S36="",T36="",U36="")),"",IF(OR(WEEKDAY(A36,2)&gt;5,COUNTIF(Grunddata!$A$15:$A$18,A36)&gt;0),H36-R36-S36,IF(H36+K36+L36+M36+N36+O36+P36-R36-S36+T36+U36=Grunddata!$C$1,"",IF(H36+K36+L36+M36+N36+O36+P36-R36-S36+T36-U36&gt;Grunddata!$C$1,H36+K36+L36+M36+N36+O36+P36-R36-S36+T36-U36-Grunddata!$C$1,""))))</f>
        <v/>
      </c>
      <c r="W36" s="163" t="str">
        <f>IF(OR(Z36="! A",Z36="! B",Z36="! C",Z36="! D",Z36="! E",O36&gt;0,H36="",AND(WEEKDAY(A36,2)&gt;5,H36=""),AND(H36="",K36="",L36="",M36="",N36="",O36="",P36="",R36="",S36="",T36="",U36="")),"",IF(OR(WEEKDAY(A36,2)&gt;5,COUNTIF(Grunddata!$A$15:$A$18,A36)&gt;0),"",IF(H36+K36+L36+M36+N36+O36+P36-R36-S36+T36+U36=Grunddata!$C$1,"",IF(H36+K36+L36+M36+N36+O36+P36-R36-S36+T36-U36&lt;Grunddata!$C$1,H36+K36+L36+M36+N36+O36+P36-R36-S36+T36-U36-Grunddata!$C$1,""))))</f>
        <v/>
      </c>
      <c r="X36" s="202" t="str">
        <f>IF(AND(WEEKDAY(A36,2)&lt;6,COUNTIF(Grunddata!$A$15:$A$21,A36)&gt;0),$D$7,IF(H36="","",IF(V36="",IF(W36="",H36-R36-S36,H36-R36-S36-W36),H36-R36-S36-V36)))</f>
        <v/>
      </c>
      <c r="Y36" s="166"/>
      <c r="Z36" s="165" t="str">
        <f>IF(AND(WEEKDAY(A36,2)&gt;5,OR(U36&gt;0,T36&gt;0)),"! D",IF(O36&gt;0,IF(H36="",IF(COUNTA(L36:N36,P36:U36)&gt;0,"! C",""),"! C"),IF(H36="",IF(COUNTA(R36:S36),"! A",IF(K36+L36+M36+N36+P36+T36+U36&gt;Grunddata!$C$1,"! E","")),IF(AND(H36&gt;Grunddata!$C$1,K36="",L36="",M36="",N36="",O36="",P36=""),"",IF(H36+K36+L36+M36+N36+P36+T36+U36&gt;Grunddata!$C$1,"! B","")))))</f>
        <v/>
      </c>
      <c r="AA36" s="97" t="str">
        <f>IF(WEEKDAY(A36,2)=7,SUM(X30:X36)+SUM(K30:K36)+SUM(L30:L36)+SUM(M30:M36)+SUM(N30:N36)+COUNT(O30:O36)*Grunddata!$C$1+SUM(P30:P36)+SUM(R30:R36)+SUM(S30:S36)+SUM(T30:T36)+SUM(U30:U36)+SUM(V30:V36)+SUM(W30:W36),"")</f>
        <v/>
      </c>
      <c r="AB36" s="113" t="str">
        <f>IF(AND(WEEKDAY(A36,2)=7,SUM(R30:S36)&gt;0),IF(AA36-SUM(R30:S36)&lt;Grunddata!$C$2,"! F",""),"")</f>
        <v/>
      </c>
    </row>
    <row r="37" spans="1:29" s="113" customFormat="1" ht="30" customHeight="1" x14ac:dyDescent="0.25">
      <c r="A37" s="213">
        <v>42716</v>
      </c>
      <c r="B37" s="150">
        <f t="shared" si="1"/>
        <v>42716</v>
      </c>
      <c r="C37" s="151"/>
      <c r="D37" s="151"/>
      <c r="E37" s="151"/>
      <c r="F37" s="151"/>
      <c r="G37" s="153"/>
      <c r="H37" s="154" t="str">
        <f t="shared" si="0"/>
        <v/>
      </c>
      <c r="I37" s="155" t="str">
        <f>IF($J$1="Ja",IF(F37&gt;0,IF(AND(WEEKDAY(A37,2)&lt;6,COUNTIF(Grunddata!$A$14:$A$17,A37)=0,C37&gt;0),"BL",""),""),"")</f>
        <v/>
      </c>
      <c r="J37" s="156"/>
      <c r="K37" s="157"/>
      <c r="L37" s="152"/>
      <c r="M37" s="152"/>
      <c r="N37" s="152"/>
      <c r="O37" s="158"/>
      <c r="P37" s="159"/>
      <c r="Q37" s="160"/>
      <c r="R37" s="155"/>
      <c r="S37" s="159"/>
      <c r="T37" s="159"/>
      <c r="U37" s="159"/>
      <c r="V37" s="162" t="str">
        <f>IF(OR(Z37="! A",Z37="! B",Z37="! C",Z37="! D",Z37="! E",O37&gt;0,H37="",AND(WEEKDAY(A37,2)&gt;5,H37=""),AND(H37="",K37="",L37="",M37="",N37="",O37="",P37="",R37="",S37="",T37="",U37="")),"",IF(OR(WEEKDAY(A37,2)&gt;5,COUNTIF(Grunddata!$A$15:$A$18,A37)&gt;0),H37-R37-S37,IF(H37+K37+L37+M37+N37+O37+P37-R37-S37+T37+U37=Grunddata!$C$1,"",IF(H37+K37+L37+M37+N37+O37+P37-R37-S37+T37-U37&gt;Grunddata!$C$1,H37+K37+L37+M37+N37+O37+P37-R37-S37+T37-U37-Grunddata!$C$1,""))))</f>
        <v/>
      </c>
      <c r="W37" s="163" t="str">
        <f>IF(OR(Z37="! A",Z37="! B",Z37="! C",Z37="! D",Z37="! E",O37&gt;0,H37="",AND(WEEKDAY(A37,2)&gt;5,H37=""),AND(H37="",K37="",L37="",M37="",N37="",O37="",P37="",R37="",S37="",T37="",U37="")),"",IF(OR(WEEKDAY(A37,2)&gt;5,COUNTIF(Grunddata!$A$15:$A$18,A37)&gt;0),"",IF(H37+K37+L37+M37+N37+O37+P37-R37-S37+T37+U37=Grunddata!$C$1,"",IF(H37+K37+L37+M37+N37+O37+P37-R37-S37+T37-U37&lt;Grunddata!$C$1,H37+K37+L37+M37+N37+O37+P37-R37-S37+T37-U37-Grunddata!$C$1,""))))</f>
        <v/>
      </c>
      <c r="X37" s="202" t="str">
        <f>IF(AND(WEEKDAY(A37,2)&lt;6,COUNTIF(Grunddata!$A$15:$A$21,A37)&gt;0),$D$7,IF(H37="","",IF(V37="",IF(W37="",H37-R37-S37,H37-R37-S37-W37),H37-R37-S37-V37)))</f>
        <v/>
      </c>
      <c r="Y37" s="166"/>
      <c r="Z37" s="165" t="str">
        <f>IF(AND(WEEKDAY(A37,2)&gt;5,OR(U37&gt;0,T37&gt;0)),"! D",IF(O37&gt;0,IF(H37="",IF(COUNTA(L37:N37,P37:U37)&gt;0,"! C",""),"! C"),IF(H37="",IF(COUNTA(R37:S37),"! A",IF(K37+L37+M37+N37+P37+T37+U37&gt;Grunddata!$C$1,"! E","")),IF(AND(H37&gt;Grunddata!$C$1,K37="",L37="",M37="",N37="",O37="",P37=""),"",IF(H37+K37+L37+M37+N37+P37+T37+U37&gt;Grunddata!$C$1,"! B","")))))</f>
        <v/>
      </c>
      <c r="AA37" s="97">
        <f>IF(WEEKDAY(A37,2)=7,SUM(X31:X37)+SUM(K31:K37)+SUM(L31:L37)+SUM(M31:M37)+SUM(N31:N37)+COUNT(O31:O37)*Grunddata!$C$1+SUM(P31:P37)+SUM(R31:R37)+SUM(S31:S37)+SUM(T31:T37)+SUM(U31:U37)+SUM(V31:V37)+SUM(W31:W37),"")</f>
        <v>0</v>
      </c>
      <c r="AB37" s="113" t="str">
        <f>IF(AND(WEEKDAY(A37,2)=7,SUM(R31:S37)&gt;0),IF(AA37-SUM(R31:S37)&lt;Grunddata!$C$2,"! F",""),"")</f>
        <v/>
      </c>
    </row>
    <row r="38" spans="1:29" s="113" customFormat="1" ht="30" customHeight="1" x14ac:dyDescent="0.25">
      <c r="A38" s="213">
        <v>42717</v>
      </c>
      <c r="B38" s="150">
        <f t="shared" si="1"/>
        <v>42717</v>
      </c>
      <c r="C38" s="151"/>
      <c r="D38" s="151"/>
      <c r="E38" s="151"/>
      <c r="F38" s="151"/>
      <c r="G38" s="153"/>
      <c r="H38" s="154" t="str">
        <f t="shared" si="0"/>
        <v/>
      </c>
      <c r="I38" s="155" t="str">
        <f>IF($J$1="Ja",IF(F38&gt;0,IF(AND(WEEKDAY(A38,2)&lt;6,COUNTIF(Grunddata!$A$14:$A$17,A38)=0,C38&gt;0),"BL",""),""),"")</f>
        <v/>
      </c>
      <c r="J38" s="156"/>
      <c r="K38" s="157"/>
      <c r="L38" s="152"/>
      <c r="M38" s="152"/>
      <c r="N38" s="152"/>
      <c r="O38" s="158"/>
      <c r="P38" s="159"/>
      <c r="Q38" s="160"/>
      <c r="R38" s="155"/>
      <c r="S38" s="159"/>
      <c r="T38" s="159"/>
      <c r="U38" s="159"/>
      <c r="V38" s="162" t="str">
        <f>IF(OR(Z38="! A",Z38="! B",Z38="! C",Z38="! D",Z38="! E",O38&gt;0,H38="",AND(WEEKDAY(A38,2)&gt;5,H38=""),AND(H38="",K38="",L38="",M38="",N38="",O38="",P38="",R38="",S38="",T38="",U38="")),"",IF(OR(WEEKDAY(A38,2)&gt;5,COUNTIF(Grunddata!$A$15:$A$18,A38)&gt;0),H38-R38-S38,IF(H38+K38+L38+M38+N38+O38+P38-R38-S38+T38+U38=Grunddata!$C$1,"",IF(H38+K38+L38+M38+N38+O38+P38-R38-S38+T38-U38&gt;Grunddata!$C$1,H38+K38+L38+M38+N38+O38+P38-R38-S38+T38-U38-Grunddata!$C$1,""))))</f>
        <v/>
      </c>
      <c r="W38" s="163" t="str">
        <f>IF(OR(Z38="! A",Z38="! B",Z38="! C",Z38="! D",Z38="! E",O38&gt;0,H38="",AND(WEEKDAY(A38,2)&gt;5,H38=""),AND(H38="",K38="",L38="",M38="",N38="",O38="",P38="",R38="",S38="",T38="",U38="")),"",IF(OR(WEEKDAY(A38,2)&gt;5,COUNTIF(Grunddata!$A$15:$A$18,A38)&gt;0),"",IF(H38+K38+L38+M38+N38+O38+P38-R38-S38+T38+U38=Grunddata!$C$1,"",IF(H38+K38+L38+M38+N38+O38+P38-R38-S38+T38-U38&lt;Grunddata!$C$1,H38+K38+L38+M38+N38+O38+P38-R38-S38+T38-U38-Grunddata!$C$1,""))))</f>
        <v/>
      </c>
      <c r="X38" s="202" t="str">
        <f>IF(AND(WEEKDAY(A38,2)&lt;6,COUNTIF(Grunddata!$A$15:$A$21,A38)&gt;0),$D$7,IF(H38="","",IF(V38="",IF(W38="",H38-R38-S38,H38-R38-S38-W38),H38-R38-S38-V38)))</f>
        <v/>
      </c>
      <c r="Y38" s="166"/>
      <c r="Z38" s="165" t="str">
        <f>IF(AND(WEEKDAY(A38,2)&gt;5,OR(U38&gt;0,T38&gt;0)),"! D",IF(O38&gt;0,IF(H38="",IF(COUNTA(L38:N38,P38:U38)&gt;0,"! C",""),"! C"),IF(H38="",IF(COUNTA(R38:S38),"! A",IF(K38+L38+M38+N38+P38+T38+U38&gt;Grunddata!$C$1,"! E","")),IF(AND(H38&gt;Grunddata!$C$1,K38="",L38="",M38="",N38="",O38="",P38=""),"",IF(H38+K38+L38+M38+N38+P38+T38+U38&gt;Grunddata!$C$1,"! B","")))))</f>
        <v/>
      </c>
      <c r="AA38" s="97" t="str">
        <f>IF(WEEKDAY(A38,2)=7,SUM(X32:X38)+SUM(K32:K38)+SUM(L32:L38)+SUM(M32:M38)+SUM(N32:N38)+COUNT(O32:O38)*Grunddata!$C$1+SUM(P32:P38)+SUM(R32:R38)+SUM(S32:S38)+SUM(T32:T38)+SUM(U32:U38)+SUM(V32:V38)+SUM(W32:W38),"")</f>
        <v/>
      </c>
      <c r="AB38" s="113" t="str">
        <f>IF(AND(WEEKDAY(A38,2)=7,SUM(R32:S38)&gt;0),IF(AA38-SUM(R32:S38)&lt;Grunddata!$C$2,"! F",""),"")</f>
        <v/>
      </c>
    </row>
    <row r="39" spans="1:29" s="113" customFormat="1" ht="30" customHeight="1" x14ac:dyDescent="0.25">
      <c r="A39" s="213">
        <v>42718</v>
      </c>
      <c r="B39" s="150">
        <f t="shared" si="1"/>
        <v>42718</v>
      </c>
      <c r="C39" s="151"/>
      <c r="D39" s="151"/>
      <c r="E39" s="151"/>
      <c r="F39" s="151"/>
      <c r="G39" s="153"/>
      <c r="H39" s="154" t="str">
        <f t="shared" si="0"/>
        <v/>
      </c>
      <c r="I39" s="155" t="str">
        <f>IF($J$1="Ja",IF(F39&gt;0,IF(AND(WEEKDAY(A39,2)&lt;6,COUNTIF(Grunddata!$A$14:$A$17,A39)=0,C39&gt;0),"BL",""),""),"")</f>
        <v/>
      </c>
      <c r="J39" s="156"/>
      <c r="K39" s="157"/>
      <c r="L39" s="152"/>
      <c r="M39" s="152"/>
      <c r="N39" s="152"/>
      <c r="O39" s="158"/>
      <c r="P39" s="159"/>
      <c r="Q39" s="160"/>
      <c r="R39" s="155"/>
      <c r="S39" s="159"/>
      <c r="T39" s="159"/>
      <c r="U39" s="159"/>
      <c r="V39" s="162" t="str">
        <f>IF(OR(Z39="! A",Z39="! B",Z39="! C",Z39="! D",Z39="! E",O39&gt;0,H39="",AND(WEEKDAY(A39,2)&gt;5,H39=""),AND(H39="",K39="",L39="",M39="",N39="",O39="",P39="",R39="",S39="",T39="",U39="")),"",IF(OR(WEEKDAY(A39,2)&gt;5,COUNTIF(Grunddata!$A$15:$A$18,A39)&gt;0),H39-R39-S39,IF(H39+K39+L39+M39+N39+O39+P39-R39-S39+T39+U39=Grunddata!$C$1,"",IF(H39+K39+L39+M39+N39+O39+P39-R39-S39+T39-U39&gt;Grunddata!$C$1,H39+K39+L39+M39+N39+O39+P39-R39-S39+T39-U39-Grunddata!$C$1,""))))</f>
        <v/>
      </c>
      <c r="W39" s="163" t="str">
        <f>IF(OR(Z39="! A",Z39="! B",Z39="! C",Z39="! D",Z39="! E",O39&gt;0,H39="",AND(WEEKDAY(A39,2)&gt;5,H39=""),AND(H39="",K39="",L39="",M39="",N39="",O39="",P39="",R39="",S39="",T39="",U39="")),"",IF(OR(WEEKDAY(A39,2)&gt;5,COUNTIF(Grunddata!$A$15:$A$18,A39)&gt;0),"",IF(H39+K39+L39+M39+N39+O39+P39-R39-S39+T39+U39=Grunddata!$C$1,"",IF(H39+K39+L39+M39+N39+O39+P39-R39-S39+T39-U39&lt;Grunddata!$C$1,H39+K39+L39+M39+N39+O39+P39-R39-S39+T39-U39-Grunddata!$C$1,""))))</f>
        <v/>
      </c>
      <c r="X39" s="202" t="str">
        <f>IF(AND(WEEKDAY(A39,2)&lt;6,COUNTIF(Grunddata!$A$15:$A$21,A39)&gt;0),$D$7,IF(H39="","",IF(V39="",IF(W39="",H39-R39-S39,H39-R39-S39-W39),H39-R39-S39-V39)))</f>
        <v/>
      </c>
      <c r="Y39" s="166"/>
      <c r="Z39" s="165" t="str">
        <f>IF(AND(WEEKDAY(A39,2)&gt;5,OR(U39&gt;0,T39&gt;0)),"! D",IF(O39&gt;0,IF(H39="",IF(COUNTA(L39:N39,P39:U39)&gt;0,"! C",""),"! C"),IF(H39="",IF(COUNTA(R39:S39),"! A",IF(K39+L39+M39+N39+P39+T39+U39&gt;Grunddata!$C$1,"! E","")),IF(AND(H39&gt;Grunddata!$C$1,K39="",L39="",M39="",N39="",O39="",P39=""),"",IF(H39+K39+L39+M39+N39+P39+T39+U39&gt;Grunddata!$C$1,"! B","")))))</f>
        <v/>
      </c>
      <c r="AA39" s="97" t="str">
        <f>IF(WEEKDAY(A39,2)=7,SUM(X33:X39)+SUM(K33:K39)+SUM(L33:L39)+SUM(M33:M39)+SUM(N33:N39)+COUNT(O33:O39)*Grunddata!$C$1+SUM(P33:P39)+SUM(R33:R39)+SUM(S33:S39)+SUM(T33:T39)+SUM(U33:U39)+SUM(V33:V39)+SUM(W33:W39),"")</f>
        <v/>
      </c>
      <c r="AB39" s="113" t="str">
        <f>IF(AND(WEEKDAY(A39,2)=7,SUM(R33:S39)&gt;0),IF(AA39-SUM(R33:S39)&lt;Grunddata!$C$2,"! F",""),"")</f>
        <v/>
      </c>
    </row>
    <row r="40" spans="1:29" s="113" customFormat="1" ht="30" customHeight="1" x14ac:dyDescent="0.25">
      <c r="A40" s="213">
        <v>42719</v>
      </c>
      <c r="B40" s="150">
        <f t="shared" si="1"/>
        <v>42719</v>
      </c>
      <c r="C40" s="151"/>
      <c r="D40" s="151"/>
      <c r="E40" s="151"/>
      <c r="F40" s="151"/>
      <c r="G40" s="153"/>
      <c r="H40" s="154" t="str">
        <f t="shared" si="0"/>
        <v/>
      </c>
      <c r="I40" s="155" t="str">
        <f>IF($J$1="Ja",IF(F40&gt;0,IF(AND(WEEKDAY(A40,2)&lt;6,COUNTIF(Grunddata!$A$14:$A$17,A40)=0,C40&gt;0),"BL",""),""),"")</f>
        <v/>
      </c>
      <c r="J40" s="156"/>
      <c r="K40" s="157"/>
      <c r="L40" s="152"/>
      <c r="M40" s="152"/>
      <c r="N40" s="152"/>
      <c r="O40" s="158"/>
      <c r="P40" s="159"/>
      <c r="Q40" s="160"/>
      <c r="R40" s="155"/>
      <c r="S40" s="159"/>
      <c r="T40" s="159"/>
      <c r="U40" s="159"/>
      <c r="V40" s="162" t="str">
        <f>IF(OR(Z40="! A",Z40="! B",Z40="! C",Z40="! D",Z40="! E",O40&gt;0,H40="",AND(WEEKDAY(A40,2)&gt;5,H40=""),AND(H40="",K40="",L40="",M40="",N40="",O40="",P40="",R40="",S40="",T40="",U40="")),"",IF(OR(WEEKDAY(A40,2)&gt;5,COUNTIF(Grunddata!$A$15:$A$18,A40)&gt;0),H40-R40-S40,IF(H40+K40+L40+M40+N40+O40+P40-R40-S40+T40+U40=Grunddata!$C$1,"",IF(H40+K40+L40+M40+N40+O40+P40-R40-S40+T40-U40&gt;Grunddata!$C$1,H40+K40+L40+M40+N40+O40+P40-R40-S40+T40-U40-Grunddata!$C$1,""))))</f>
        <v/>
      </c>
      <c r="W40" s="163" t="str">
        <f>IF(OR(Z40="! A",Z40="! B",Z40="! C",Z40="! D",Z40="! E",O40&gt;0,H40="",AND(WEEKDAY(A40,2)&gt;5,H40=""),AND(H40="",K40="",L40="",M40="",N40="",O40="",P40="",R40="",S40="",T40="",U40="")),"",IF(OR(WEEKDAY(A40,2)&gt;5,COUNTIF(Grunddata!$A$15:$A$18,A40)&gt;0),"",IF(H40+K40+L40+M40+N40+O40+P40-R40-S40+T40+U40=Grunddata!$C$1,"",IF(H40+K40+L40+M40+N40+O40+P40-R40-S40+T40-U40&lt;Grunddata!$C$1,H40+K40+L40+M40+N40+O40+P40-R40-S40+T40-U40-Grunddata!$C$1,""))))</f>
        <v/>
      </c>
      <c r="X40" s="202" t="str">
        <f>IF(AND(WEEKDAY(A40,2)&lt;6,COUNTIF(Grunddata!$A$15:$A$21,A40)&gt;0),$D$7,IF(H40="","",IF(V40="",IF(W40="",H40-R40-S40,H40-R40-S40-W40),H40-R40-S40-V40)))</f>
        <v/>
      </c>
      <c r="Y40" s="166"/>
      <c r="Z40" s="165" t="str">
        <f>IF(AND(WEEKDAY(A40,2)&gt;5,OR(U40&gt;0,T40&gt;0)),"! D",IF(O40&gt;0,IF(H40="",IF(COUNTA(L40:N40,P40:U40)&gt;0,"! C",""),"! C"),IF(H40="",IF(COUNTA(R40:S40),"! A",IF(K40+L40+M40+N40+P40+T40+U40&gt;Grunddata!$C$1,"! E","")),IF(AND(H40&gt;Grunddata!$C$1,K40="",L40="",M40="",N40="",O40="",P40=""),"",IF(H40+K40+L40+M40+N40+P40+T40+U40&gt;Grunddata!$C$1,"! B","")))))</f>
        <v/>
      </c>
      <c r="AA40" s="97" t="str">
        <f>IF(WEEKDAY(A40,2)=7,SUM(X34:X40)+SUM(K34:K40)+SUM(L34:L40)+SUM(M34:M40)+SUM(N34:N40)+COUNT(O34:O40)*Grunddata!$C$1+SUM(P34:P40)+SUM(R34:R40)+SUM(S34:S40)+SUM(T34:T40)+SUM(U34:U40)+SUM(V34:V40)+SUM(W34:W40),"")</f>
        <v/>
      </c>
      <c r="AB40" s="113" t="str">
        <f>IF(AND(WEEKDAY(A40,2)=7,SUM(R34:S40)&gt;0),IF(AA40-SUM(R34:S40)&lt;Grunddata!$C$2,"! F",""),"")</f>
        <v/>
      </c>
      <c r="AC40" s="174"/>
    </row>
    <row r="41" spans="1:29" s="113" customFormat="1" ht="30" customHeight="1" thickBot="1" x14ac:dyDescent="0.3">
      <c r="A41" s="213">
        <v>42720</v>
      </c>
      <c r="B41" s="150">
        <f t="shared" si="1"/>
        <v>42720</v>
      </c>
      <c r="C41" s="151"/>
      <c r="D41" s="151"/>
      <c r="E41" s="151"/>
      <c r="F41" s="151"/>
      <c r="G41" s="153"/>
      <c r="H41" s="154" t="str">
        <f t="shared" si="0"/>
        <v/>
      </c>
      <c r="I41" s="155" t="str">
        <f>IF($J$1="Ja",IF(F41&gt;0,IF(AND(WEEKDAY(A41,2)&lt;6,COUNTIF(Grunddata!$A$14:$A$17,A41)=0,C41&gt;0),"BL",""),""),"")</f>
        <v/>
      </c>
      <c r="J41" s="156"/>
      <c r="K41" s="157"/>
      <c r="L41" s="152"/>
      <c r="M41" s="152"/>
      <c r="N41" s="152"/>
      <c r="O41" s="158"/>
      <c r="P41" s="159"/>
      <c r="Q41" s="160"/>
      <c r="R41" s="155"/>
      <c r="S41" s="159"/>
      <c r="T41" s="159"/>
      <c r="U41" s="156"/>
      <c r="V41" s="162" t="str">
        <f>IF(OR(Z41="! A",Z41="! B",Z41="! C",Z41="! D",Z41="! E",O41&gt;0,H41="",AND(WEEKDAY(A41,2)&gt;5,H41=""),AND(H41="",K41="",L41="",M41="",N41="",O41="",P41="",R41="",S41="",T41="",U41="")),"",IF(OR(WEEKDAY(A41,2)&gt;5,COUNTIF(Grunddata!$A$15:$A$18,A41)&gt;0),H41-R41-S41,IF(H41+K41+L41+M41+N41+O41+P41-R41-S41+T41+U41=Grunddata!$C$1,"",IF(H41+K41+L41+M41+N41+O41+P41-R41-S41+T41-U41&gt;Grunddata!$C$1,H41+K41+L41+M41+N41+O41+P41-R41-S41+T41-U41-Grunddata!$C$1,""))))</f>
        <v/>
      </c>
      <c r="W41" s="163" t="str">
        <f>IF(OR(Z41="! A",Z41="! B",Z41="! C",Z41="! D",Z41="! E",O41&gt;0,H41="",AND(WEEKDAY(A41,2)&gt;5,H41=""),AND(H41="",K41="",L41="",M41="",N41="",O41="",P41="",R41="",S41="",T41="",U41="")),"",IF(OR(WEEKDAY(A41,2)&gt;5,COUNTIF(Grunddata!$A$15:$A$18,A41)&gt;0),"",IF(H41+K41+L41+M41+N41+O41+P41-R41-S41+T41+U41=Grunddata!$C$1,"",IF(H41+K41+L41+M41+N41+O41+P41-R41-S41+T41-U41&lt;Grunddata!$C$1,H41+K41+L41+M41+N41+O41+P41-R41-S41+T41-U41-Grunddata!$C$1,""))))</f>
        <v/>
      </c>
      <c r="X41" s="202" t="str">
        <f>IF(AND(WEEKDAY(A41,2)&lt;6,COUNTIF(Grunddata!$A$15:$A$21,A41)&gt;0),$D$7,IF(H41="","",IF(V41="",IF(W41="",H41-R41-S41,H41-R41-S41-W41),H41-R41-S41-V41)))</f>
        <v/>
      </c>
      <c r="Y41" s="166"/>
      <c r="Z41" s="165" t="str">
        <f>IF(AND(WEEKDAY(A41,2)&gt;5,OR(U41&gt;0,T41&gt;0)),"! D",IF(O41&gt;0,IF(H41="",IF(COUNTA(L41:N41,P41:U41)&gt;0,"! C",""),"! C"),IF(H41="",IF(COUNTA(R41:S41),"! A",IF(K41+L41+M41+N41+P41+T41+U41&gt;Grunddata!$C$1,"! E","")),IF(AND(H41&gt;Grunddata!$C$1,K41="",L41="",M41="",N41="",O41="",P41=""),"",IF(H41+K41+L41+M41+N41+P41+T41+U41&gt;Grunddata!$C$1,"! B","")))))</f>
        <v/>
      </c>
      <c r="AA41" s="97" t="str">
        <f>IF(WEEKDAY(A41,2)=7,SUM(X35:X41)+SUM(K35:K41)+SUM(L35:L41)+SUM(M35:M41)+SUM(N35:N41)+COUNT(O35:O41)*Grunddata!$C$1+SUM(P35:P41)+SUM(R35:R41)+SUM(S35:S41)+SUM(T35:T41)+SUM(U35:U41)+SUM(V35:V41)+SUM(W35:W41),"")</f>
        <v/>
      </c>
      <c r="AB41" s="113" t="str">
        <f>IF(AND(WEEKDAY(A41,2)=7,SUM(R35:S41)&gt;0),IF(AA41-SUM(R35:S41)&lt;Grunddata!$C$2,"! F",""),"")</f>
        <v/>
      </c>
    </row>
    <row r="42" spans="1:29" s="113" customFormat="1" ht="30" hidden="1" customHeight="1" thickBot="1" x14ac:dyDescent="0.3">
      <c r="A42" s="213">
        <v>42721</v>
      </c>
      <c r="B42" s="177">
        <f t="shared" si="1"/>
        <v>42721</v>
      </c>
      <c r="C42" s="178"/>
      <c r="D42" s="178"/>
      <c r="E42" s="178"/>
      <c r="F42" s="178"/>
      <c r="G42" s="179"/>
      <c r="H42" s="180" t="str">
        <f t="shared" si="0"/>
        <v/>
      </c>
      <c r="I42" s="155" t="str">
        <f>IF($J$1="Ja",IF(F42&gt;0,IF(AND(WEEKDAY(A42,2)&lt;6,COUNTIF(Grunddata!$A$14:$A$17,A42)=0,C42&gt;0),"BL",""),""),"")</f>
        <v/>
      </c>
      <c r="J42" s="181"/>
      <c r="K42" s="182"/>
      <c r="L42" s="183"/>
      <c r="M42" s="183"/>
      <c r="N42" s="183"/>
      <c r="O42" s="158"/>
      <c r="P42" s="184"/>
      <c r="Q42" s="185"/>
      <c r="R42" s="186"/>
      <c r="S42" s="184"/>
      <c r="T42" s="187"/>
      <c r="U42" s="188"/>
      <c r="V42" s="189" t="str">
        <f>IF(OR(Z42="! A",Z42="! B",Z42="! C",Z42="! D",Z42="! E",O42&gt;0,H42="",AND(WEEKDAY(A42,2)&gt;5,H42=""),AND(H42="",K42="",L42="",M42="",N42="",O42="",P42="",R42="",S42="",T42="",U42="")),"",IF(OR(WEEKDAY(A42,2)&gt;5,COUNTIF(Grunddata!$A$15:$A$18,A42)&gt;0),H42-R42-S42,IF(H42+K42+L42+M42+N42+O42+P42-R42-S42+T42+U42=Grunddata!$C$1,"",IF(H42+K42+L42+M42+N42+O42+P42-R42-S42+T42-U42&gt;Grunddata!$C$1,H42+K42+L42+M42+N42+O42+P42-R42-S42+T42-U42-Grunddata!$C$1,""))))</f>
        <v/>
      </c>
      <c r="W42" s="190" t="str">
        <f>IF(OR(Z42="! A",Z42="! B",Z42="! C",Z42="! D",Z42="! E",O42&gt;0,H42="",AND(WEEKDAY(A42,2)&gt;5,H42=""),AND(H42="",K42="",L42="",M42="",N42="",O42="",P42="",R42="",S42="",T42="",U42="")),"",IF(OR(WEEKDAY(A42,2)&gt;5,COUNTIF(Grunddata!$A$15:$A$18,A42)&gt;0),"",IF(H42+K42+L42+M42+N42+O42+P42-R42-S42+T42+U42=Grunddata!$C$1,"",IF(H42+K42+L42+M42+N42+O42+P42-R42-S42+T42-U42&lt;Grunddata!$C$1,H42+K42+L42+M42+N42+O42+P42-R42-S42+T42-U42-Grunddata!$C$1,""))))</f>
        <v/>
      </c>
      <c r="X42" s="202" t="str">
        <f>IF(AND(WEEKDAY(A42,2)&lt;6,COUNTIF(Grunddata!$A$15:$A$21,A42)&gt;0),$D$7,IF(H42="","",IF(V42="",IF(W42="",H42-R42-S42,H42-R42-S42-W42),H42-R42-S42-V42)))</f>
        <v/>
      </c>
      <c r="Y42" s="191"/>
      <c r="Z42" s="165" t="str">
        <f>IF(AND(WEEKDAY(A42,2)&gt;5,OR(U42&gt;0,T42&gt;0)),"! D",IF(O42&gt;0,IF(H42="",IF(COUNTA(L42:N42,P42:U42)&gt;0,"! C",""),"! C"),IF(H42="",IF(COUNTA(R42:S42),"! A",IF(K42+L42+M42+N42+P42+T42+U42&gt;Grunddata!$C$1,"! X","")),IF(AND(H42&gt;Grunddata!$C$1,K42="",L42="",M42="",N42="",O42="",P42=""),"",IF(H42+K42+L42+M42+N42+P42+T42+U42&gt;Grunddata!$C$1,"! B","")))))</f>
        <v/>
      </c>
      <c r="AA42" s="97" t="str">
        <f>IF(WEEKDAY(A42,2)=7,SUM(X36:X42)+SUM(K36:K42)+SUM(L36:L42)+SUM(M36:M42)+SUM(N36:N42)+COUNT(O36:O42)*Grunddata!$C$1+SUM(P36:P42)+SUM(T36:T42)+SUM(V36:V42)+SUM(W36:W42),"")</f>
        <v/>
      </c>
      <c r="AB42" s="113" t="str">
        <f>IF(AND(WEEKDAY(A42,2)=7,SUM(R36:S42)&gt;0),IF(AA42-SUM(R36:S42)&lt;Grunddata!$C$2,"! E",""),"")</f>
        <v/>
      </c>
    </row>
    <row r="43" spans="1:29" ht="30" customHeight="1" thickBot="1" x14ac:dyDescent="0.3">
      <c r="A43" s="10" t="s">
        <v>69</v>
      </c>
      <c r="B43" s="14" t="s">
        <v>65</v>
      </c>
      <c r="C43" s="93"/>
      <c r="D43" s="94"/>
      <c r="E43" s="90">
        <f t="shared" ref="E43:U43" si="2">SUM(E12:E42)</f>
        <v>0</v>
      </c>
      <c r="F43" s="90">
        <f t="shared" si="2"/>
        <v>0</v>
      </c>
      <c r="G43" s="90">
        <f t="shared" si="2"/>
        <v>0</v>
      </c>
      <c r="H43" s="90">
        <f t="shared" si="2"/>
        <v>0</v>
      </c>
      <c r="I43" s="96">
        <f>COUNTIF(I12:I42,"BL")</f>
        <v>0</v>
      </c>
      <c r="J43" s="90">
        <f t="shared" si="2"/>
        <v>0</v>
      </c>
      <c r="K43" s="90">
        <f t="shared" si="2"/>
        <v>0</v>
      </c>
      <c r="L43" s="90">
        <f t="shared" si="2"/>
        <v>0</v>
      </c>
      <c r="M43" s="90">
        <f t="shared" si="2"/>
        <v>0</v>
      </c>
      <c r="N43" s="90">
        <f t="shared" si="2"/>
        <v>0</v>
      </c>
      <c r="O43" s="145">
        <f>COUNTA(O12:O42)</f>
        <v>0</v>
      </c>
      <c r="P43" s="456">
        <f t="shared" si="2"/>
        <v>0</v>
      </c>
      <c r="Q43" s="456">
        <f t="shared" si="2"/>
        <v>0</v>
      </c>
      <c r="R43" s="95">
        <f t="shared" si="2"/>
        <v>0</v>
      </c>
      <c r="S43" s="456">
        <f t="shared" si="2"/>
        <v>0</v>
      </c>
      <c r="T43" s="95">
        <f t="shared" si="2"/>
        <v>0</v>
      </c>
      <c r="U43" s="95">
        <f t="shared" si="2"/>
        <v>0</v>
      </c>
      <c r="V43" s="627">
        <f>SUM(W12:W42)+SUM(V12:V42)</f>
        <v>0</v>
      </c>
      <c r="W43" s="628"/>
      <c r="X43" s="95">
        <f>SUM(X12:X42)</f>
        <v>0</v>
      </c>
      <c r="Y43" s="149"/>
      <c r="Z43" s="74"/>
      <c r="AA43" s="98"/>
      <c r="AB43" s="68"/>
    </row>
    <row r="44" spans="1:29" ht="30" customHeight="1" x14ac:dyDescent="0.3">
      <c r="A44" s="192" t="s">
        <v>405</v>
      </c>
      <c r="B44" s="15"/>
      <c r="C44" s="5"/>
      <c r="D44" s="5"/>
      <c r="E44" s="454"/>
      <c r="F44" s="5"/>
      <c r="G44" s="8"/>
      <c r="H44" s="8"/>
      <c r="I44" s="344"/>
      <c r="J44" s="344"/>
      <c r="K44" s="344"/>
      <c r="L44" s="344"/>
      <c r="M44" s="344"/>
      <c r="N44" s="344"/>
      <c r="O44" s="146"/>
      <c r="P44" s="344"/>
      <c r="Q44" s="344"/>
      <c r="R44" s="344"/>
      <c r="S44" s="454"/>
      <c r="T44" s="454"/>
      <c r="U44" s="514" t="s">
        <v>66</v>
      </c>
      <c r="V44" s="514"/>
      <c r="W44" s="514"/>
      <c r="X44" s="88">
        <f>Q43+R43+T43+U43+X43</f>
        <v>0</v>
      </c>
      <c r="Y44" s="81"/>
      <c r="Z44" s="6"/>
      <c r="AA44" s="99"/>
      <c r="AB44" s="6"/>
    </row>
    <row r="45" spans="1:29" ht="31.5" customHeight="1" x14ac:dyDescent="0.3">
      <c r="A45" s="453"/>
      <c r="E45" s="454"/>
      <c r="I45" s="454"/>
      <c r="J45" s="454"/>
      <c r="K45" s="454"/>
      <c r="L45" s="454"/>
      <c r="M45" s="454"/>
      <c r="N45" s="454"/>
      <c r="O45" s="146"/>
      <c r="P45" s="344"/>
      <c r="Q45" s="344"/>
      <c r="R45" s="344"/>
      <c r="S45" s="344"/>
      <c r="T45" s="454"/>
      <c r="U45" s="454"/>
      <c r="V45" s="454"/>
      <c r="W45" s="66"/>
      <c r="X45" s="88"/>
      <c r="Y45" s="142"/>
      <c r="Z45" s="6"/>
      <c r="AA45" s="99"/>
      <c r="AB45" s="6"/>
    </row>
    <row r="46" spans="1:29" ht="21.75" customHeight="1" x14ac:dyDescent="0.3">
      <c r="A46" s="85"/>
      <c r="B46" s="15"/>
      <c r="C46" s="5"/>
      <c r="D46" s="5"/>
      <c r="E46" s="72"/>
      <c r="F46" s="5"/>
      <c r="G46" s="8"/>
      <c r="I46" s="454"/>
      <c r="J46" s="454"/>
      <c r="K46" s="454"/>
      <c r="L46" s="454"/>
      <c r="M46" s="454"/>
      <c r="N46" s="454"/>
      <c r="O46" s="146"/>
      <c r="P46" s="344"/>
      <c r="Q46" s="344"/>
      <c r="R46" s="344"/>
      <c r="S46" s="344"/>
      <c r="T46" s="344"/>
      <c r="U46" s="344"/>
      <c r="V46" s="344"/>
      <c r="W46" s="344"/>
      <c r="X46" s="88"/>
      <c r="Y46" s="453"/>
    </row>
    <row r="47" spans="1:29" ht="18.75" customHeight="1" x14ac:dyDescent="0.3">
      <c r="A47" s="453"/>
      <c r="E47" s="454"/>
      <c r="I47" s="454"/>
      <c r="J47" s="454"/>
      <c r="K47" s="454"/>
      <c r="L47" s="454"/>
      <c r="M47" s="454"/>
      <c r="N47" s="454"/>
      <c r="P47" s="454"/>
      <c r="Q47" s="344"/>
      <c r="R47" s="344"/>
      <c r="S47" s="344"/>
      <c r="T47" s="344"/>
      <c r="U47" s="344"/>
      <c r="V47" s="344"/>
      <c r="W47" s="344"/>
      <c r="X47" s="88"/>
      <c r="Y47" s="81"/>
      <c r="Z47" s="6"/>
      <c r="AA47" s="99"/>
      <c r="AB47" s="6"/>
    </row>
    <row r="48" spans="1:29" ht="15.6" x14ac:dyDescent="0.3">
      <c r="A48" s="453"/>
      <c r="D48" s="5"/>
      <c r="E48" s="72"/>
      <c r="F48" s="5"/>
      <c r="G48" s="8"/>
      <c r="H48" s="8"/>
      <c r="I48" s="344"/>
      <c r="J48" s="344"/>
      <c r="K48" s="344"/>
      <c r="L48" s="344"/>
      <c r="M48" s="344"/>
      <c r="N48" s="344"/>
      <c r="O48" s="146"/>
      <c r="P48" s="344"/>
      <c r="Q48" s="344"/>
      <c r="R48" s="344"/>
      <c r="S48" s="344"/>
      <c r="T48" s="344"/>
      <c r="U48" s="344"/>
      <c r="V48" s="344"/>
      <c r="W48" s="344"/>
      <c r="X48" s="88"/>
      <c r="Y48" s="81"/>
      <c r="Z48" s="6"/>
      <c r="AA48" s="99"/>
      <c r="AB48" s="6"/>
    </row>
    <row r="49" spans="1:28" ht="15.6" x14ac:dyDescent="0.3">
      <c r="A49" s="453"/>
      <c r="D49" s="5"/>
      <c r="E49" s="72"/>
      <c r="F49" s="5"/>
      <c r="G49" s="8"/>
      <c r="H49" s="8"/>
      <c r="I49" s="344"/>
      <c r="J49" s="344"/>
      <c r="K49" s="344"/>
      <c r="L49" s="344"/>
      <c r="M49" s="344"/>
      <c r="N49" s="344"/>
      <c r="O49" s="146"/>
      <c r="P49" s="344"/>
      <c r="Q49" s="344"/>
      <c r="R49" s="344"/>
      <c r="S49" s="344"/>
      <c r="T49" s="344"/>
      <c r="U49" s="344"/>
      <c r="V49" s="344"/>
      <c r="W49" s="344"/>
      <c r="X49" s="88"/>
      <c r="Y49" s="81"/>
      <c r="Z49" s="6"/>
      <c r="AA49" s="99"/>
      <c r="AB49" s="6"/>
    </row>
    <row r="50" spans="1:28" ht="15.6" x14ac:dyDescent="0.3">
      <c r="A50" s="453"/>
      <c r="D50" s="5"/>
      <c r="E50" s="72"/>
      <c r="F50" s="5"/>
      <c r="G50" s="8"/>
      <c r="H50" s="8"/>
      <c r="I50" s="344"/>
      <c r="J50" s="344"/>
      <c r="K50" s="344"/>
      <c r="L50" s="344"/>
      <c r="M50" s="344"/>
      <c r="N50" s="344"/>
      <c r="O50" s="146"/>
      <c r="P50" s="344"/>
      <c r="Q50" s="344"/>
      <c r="R50" s="344"/>
      <c r="S50" s="344"/>
      <c r="T50" s="344"/>
      <c r="U50" s="344"/>
      <c r="V50" s="344"/>
      <c r="W50" s="344"/>
      <c r="X50" s="88"/>
      <c r="Y50" s="81"/>
      <c r="Z50" s="6"/>
      <c r="AA50" s="99"/>
      <c r="AB50" s="6"/>
    </row>
    <row r="51" spans="1:28" ht="15.6" x14ac:dyDescent="0.3">
      <c r="A51" s="453"/>
      <c r="D51" s="5"/>
      <c r="E51" s="72"/>
      <c r="F51" s="5"/>
      <c r="G51" s="8"/>
      <c r="H51" s="8"/>
      <c r="I51" s="344"/>
      <c r="J51" s="344"/>
      <c r="K51" s="344"/>
      <c r="L51" s="344"/>
      <c r="M51" s="344"/>
      <c r="N51" s="344"/>
      <c r="O51" s="146"/>
      <c r="P51" s="344"/>
      <c r="Q51" s="344"/>
      <c r="R51" s="344"/>
      <c r="S51" s="344"/>
      <c r="T51" s="344"/>
      <c r="U51" s="344"/>
      <c r="V51" s="344"/>
      <c r="W51" s="344"/>
      <c r="X51" s="88"/>
      <c r="Y51" s="81"/>
      <c r="Z51" s="6"/>
      <c r="AA51" s="99"/>
      <c r="AB51" s="6"/>
    </row>
    <row r="52" spans="1:28" ht="15.6" x14ac:dyDescent="0.3">
      <c r="A52" s="453"/>
      <c r="D52" s="5"/>
      <c r="E52" s="72"/>
      <c r="F52" s="5"/>
      <c r="G52" s="8"/>
      <c r="H52" s="8"/>
      <c r="I52" s="344"/>
      <c r="J52" s="344"/>
      <c r="K52" s="344"/>
      <c r="L52" s="344"/>
      <c r="M52" s="344"/>
      <c r="N52" s="344"/>
      <c r="O52" s="146"/>
      <c r="P52" s="344"/>
      <c r="Q52" s="344"/>
      <c r="R52" s="344"/>
      <c r="S52" s="344"/>
      <c r="T52" s="344"/>
      <c r="U52" s="344"/>
      <c r="V52" s="344"/>
      <c r="W52" s="344"/>
      <c r="X52" s="88"/>
      <c r="Y52" s="81"/>
      <c r="Z52" s="6"/>
      <c r="AA52" s="99"/>
      <c r="AB52" s="6"/>
    </row>
    <row r="53" spans="1:28" ht="15.6" x14ac:dyDescent="0.3">
      <c r="A53" s="453"/>
      <c r="D53" s="5"/>
      <c r="E53" s="72"/>
      <c r="F53" s="5"/>
      <c r="G53" s="8"/>
      <c r="H53" s="8"/>
      <c r="I53" s="344"/>
      <c r="J53" s="344"/>
      <c r="K53" s="344"/>
      <c r="L53" s="344"/>
      <c r="M53" s="344"/>
      <c r="N53" s="344"/>
      <c r="O53" s="146"/>
      <c r="P53" s="344"/>
      <c r="Q53" s="344"/>
      <c r="R53" s="344"/>
      <c r="S53" s="344"/>
      <c r="T53" s="344"/>
      <c r="U53" s="344"/>
      <c r="V53" s="344"/>
      <c r="W53" s="344"/>
      <c r="X53" s="88"/>
      <c r="Y53" s="81"/>
      <c r="Z53" s="6"/>
      <c r="AA53" s="99"/>
      <c r="AB53" s="6"/>
    </row>
    <row r="54" spans="1:28" ht="15.6" x14ac:dyDescent="0.3">
      <c r="A54" s="453"/>
      <c r="D54" s="5"/>
      <c r="E54" s="72"/>
      <c r="F54" s="5"/>
      <c r="G54" s="8"/>
      <c r="H54" s="8"/>
      <c r="I54" s="344"/>
      <c r="J54" s="344"/>
      <c r="K54" s="344"/>
      <c r="L54" s="344"/>
      <c r="M54" s="344"/>
      <c r="N54" s="344"/>
      <c r="O54" s="146"/>
      <c r="P54" s="344"/>
      <c r="Q54" s="344"/>
      <c r="R54" s="344"/>
      <c r="S54" s="344"/>
      <c r="T54" s="344"/>
      <c r="U54" s="344"/>
      <c r="V54" s="344"/>
      <c r="W54" s="344"/>
      <c r="X54" s="88"/>
      <c r="Y54" s="81"/>
      <c r="Z54" s="6"/>
      <c r="AA54" s="99"/>
      <c r="AB54" s="6"/>
    </row>
    <row r="55" spans="1:28" ht="15.6" x14ac:dyDescent="0.3">
      <c r="A55" s="453"/>
      <c r="D55" s="5"/>
      <c r="E55" s="72"/>
      <c r="F55" s="5"/>
      <c r="G55" s="8"/>
      <c r="H55" s="8"/>
      <c r="I55" s="344"/>
      <c r="J55" s="344"/>
      <c r="K55" s="344"/>
      <c r="L55" s="344"/>
      <c r="M55" s="344"/>
      <c r="N55" s="344"/>
      <c r="O55" s="146"/>
      <c r="P55" s="344"/>
      <c r="Q55" s="344"/>
      <c r="R55" s="344"/>
      <c r="S55" s="344"/>
      <c r="T55" s="344"/>
      <c r="U55" s="344"/>
      <c r="V55" s="344"/>
      <c r="W55" s="344"/>
      <c r="X55" s="88"/>
      <c r="Y55" s="81"/>
      <c r="Z55" s="6"/>
      <c r="AA55" s="99"/>
      <c r="AB55" s="6"/>
    </row>
    <row r="56" spans="1:28" ht="15" x14ac:dyDescent="0.25">
      <c r="A56" s="453"/>
      <c r="D56" s="2"/>
      <c r="E56" s="72"/>
      <c r="F56" s="2"/>
      <c r="G56" s="1"/>
      <c r="H56" s="1"/>
      <c r="I56" s="71"/>
      <c r="J56" s="71"/>
      <c r="K56" s="71"/>
      <c r="L56" s="71"/>
      <c r="M56" s="71"/>
      <c r="N56" s="71"/>
      <c r="O56" s="147"/>
      <c r="P56" s="71"/>
      <c r="Q56" s="71"/>
      <c r="R56" s="71"/>
      <c r="S56" s="71"/>
      <c r="T56" s="71"/>
      <c r="U56" s="71"/>
      <c r="V56" s="71"/>
      <c r="W56" s="71"/>
      <c r="X56" s="71"/>
      <c r="Y56" s="82"/>
      <c r="Z56" s="1"/>
      <c r="AA56" s="100"/>
      <c r="AB56" s="1"/>
    </row>
    <row r="57" spans="1:28" ht="15" x14ac:dyDescent="0.25">
      <c r="A57" s="453"/>
      <c r="D57" s="453"/>
      <c r="E57" s="454"/>
      <c r="F57" s="453"/>
      <c r="G57" s="453"/>
      <c r="H57" s="453"/>
      <c r="I57" s="454"/>
      <c r="J57" s="454"/>
      <c r="K57" s="454"/>
      <c r="L57" s="454"/>
      <c r="M57" s="454"/>
      <c r="N57" s="454"/>
      <c r="P57" s="454"/>
      <c r="Q57" s="454"/>
      <c r="R57" s="454"/>
      <c r="S57" s="454"/>
      <c r="T57" s="454"/>
      <c r="U57" s="454"/>
      <c r="V57" s="454"/>
      <c r="W57" s="454"/>
      <c r="X57" s="454"/>
      <c r="Y57" s="453"/>
      <c r="Z57" s="453"/>
      <c r="AA57" s="100"/>
      <c r="AB57" s="1"/>
    </row>
    <row r="58" spans="1:28" ht="15" x14ac:dyDescent="0.25">
      <c r="A58" s="453"/>
      <c r="D58" s="2"/>
      <c r="E58" s="72"/>
      <c r="F58" s="2"/>
      <c r="G58" s="1"/>
      <c r="H58" s="1"/>
      <c r="I58" s="71"/>
      <c r="J58" s="71"/>
      <c r="K58" s="71"/>
      <c r="L58" s="71"/>
      <c r="M58" s="71"/>
      <c r="N58" s="71"/>
      <c r="O58" s="147"/>
      <c r="P58" s="71"/>
      <c r="Q58" s="71"/>
      <c r="R58" s="71"/>
      <c r="S58" s="71"/>
      <c r="T58" s="71"/>
      <c r="U58" s="71"/>
      <c r="V58" s="71"/>
      <c r="W58" s="71"/>
      <c r="X58" s="71"/>
      <c r="Y58" s="82"/>
      <c r="Z58" s="1"/>
      <c r="AA58" s="100"/>
      <c r="AB58" s="1"/>
    </row>
    <row r="59" spans="1:28" ht="15" x14ac:dyDescent="0.25">
      <c r="A59" s="453"/>
      <c r="D59" s="453"/>
      <c r="E59" s="454"/>
      <c r="F59" s="453"/>
      <c r="G59" s="453"/>
      <c r="H59" s="453"/>
      <c r="I59" s="454"/>
      <c r="J59" s="454"/>
      <c r="K59" s="454"/>
      <c r="L59" s="454"/>
      <c r="M59" s="454"/>
      <c r="N59" s="454"/>
      <c r="P59" s="454"/>
      <c r="Q59" s="454"/>
      <c r="R59" s="454"/>
      <c r="S59" s="454"/>
      <c r="T59" s="454"/>
      <c r="U59" s="454"/>
      <c r="V59" s="454"/>
      <c r="W59" s="454"/>
      <c r="X59" s="454"/>
      <c r="Y59" s="453"/>
      <c r="Z59" s="453"/>
      <c r="AA59" s="100"/>
      <c r="AB59" s="1"/>
    </row>
    <row r="60" spans="1:28" ht="15" x14ac:dyDescent="0.25">
      <c r="A60" s="453"/>
      <c r="D60" s="1"/>
      <c r="E60" s="71"/>
      <c r="F60" s="1"/>
      <c r="G60" s="1"/>
      <c r="H60" s="1"/>
      <c r="I60" s="71"/>
      <c r="J60" s="71"/>
      <c r="K60" s="71"/>
      <c r="L60" s="71"/>
      <c r="M60" s="71"/>
      <c r="N60" s="71"/>
      <c r="O60" s="147"/>
      <c r="P60" s="71"/>
      <c r="Q60" s="71"/>
      <c r="R60" s="71"/>
      <c r="S60" s="71"/>
      <c r="T60" s="71"/>
      <c r="U60" s="71"/>
      <c r="V60" s="71"/>
      <c r="W60" s="71"/>
      <c r="X60" s="71"/>
      <c r="Y60" s="82"/>
      <c r="Z60" s="1"/>
      <c r="AA60" s="100"/>
      <c r="AB60" s="1"/>
    </row>
    <row r="61" spans="1:28" ht="15" x14ac:dyDescent="0.25">
      <c r="A61" s="453"/>
      <c r="D61" s="1"/>
      <c r="E61" s="71"/>
      <c r="F61" s="1"/>
      <c r="G61" s="1"/>
      <c r="H61" s="1"/>
      <c r="I61" s="71"/>
      <c r="J61" s="71"/>
      <c r="K61" s="71"/>
      <c r="L61" s="71"/>
      <c r="M61" s="71"/>
      <c r="N61" s="71"/>
      <c r="O61" s="147"/>
      <c r="P61" s="71"/>
      <c r="Q61" s="71"/>
      <c r="R61" s="71"/>
      <c r="S61" s="71"/>
      <c r="T61" s="71"/>
      <c r="U61" s="71"/>
      <c r="V61" s="71"/>
      <c r="W61" s="71"/>
      <c r="X61" s="71"/>
      <c r="Y61" s="82"/>
      <c r="Z61" s="1"/>
      <c r="AA61" s="100"/>
      <c r="AB61" s="1"/>
    </row>
    <row r="62" spans="1:28" ht="15" x14ac:dyDescent="0.25">
      <c r="A62" s="87"/>
      <c r="B62" s="87"/>
      <c r="C62" s="1"/>
      <c r="D62" s="1"/>
      <c r="E62" s="71"/>
      <c r="F62" s="1"/>
      <c r="G62" s="1"/>
      <c r="H62" s="1"/>
      <c r="I62" s="71"/>
      <c r="J62" s="71"/>
      <c r="K62" s="71"/>
      <c r="L62" s="71"/>
      <c r="M62" s="71"/>
      <c r="N62" s="71"/>
      <c r="O62" s="147"/>
      <c r="P62" s="71"/>
      <c r="Q62" s="71"/>
      <c r="R62" s="71"/>
      <c r="S62" s="71"/>
      <c r="T62" s="71"/>
      <c r="U62" s="71"/>
      <c r="V62" s="71"/>
      <c r="W62" s="71"/>
      <c r="X62" s="71"/>
      <c r="Y62" s="82"/>
      <c r="Z62" s="1"/>
      <c r="AA62" s="100"/>
      <c r="AB62" s="1"/>
    </row>
    <row r="63" spans="1:28" ht="15" x14ac:dyDescent="0.25">
      <c r="A63" s="1"/>
      <c r="B63" s="1"/>
      <c r="C63" s="1"/>
      <c r="D63" s="1"/>
      <c r="E63" s="71"/>
      <c r="F63" s="1"/>
      <c r="G63" s="1"/>
      <c r="H63" s="1"/>
      <c r="I63" s="71"/>
      <c r="J63" s="71"/>
      <c r="K63" s="71"/>
      <c r="L63" s="71"/>
      <c r="M63" s="71"/>
      <c r="N63" s="71"/>
      <c r="O63" s="147"/>
      <c r="P63" s="71"/>
      <c r="Q63" s="71"/>
      <c r="R63" s="71"/>
      <c r="S63" s="71"/>
      <c r="T63" s="71"/>
      <c r="U63" s="71"/>
      <c r="V63" s="71"/>
      <c r="W63" s="71"/>
      <c r="X63" s="71"/>
      <c r="Y63" s="82"/>
      <c r="Z63" s="1"/>
      <c r="AA63" s="100"/>
      <c r="AB63" s="1"/>
    </row>
    <row r="64" spans="1:28" ht="15" x14ac:dyDescent="0.25">
      <c r="A64" s="1"/>
      <c r="B64" s="1"/>
      <c r="C64" s="1"/>
      <c r="D64" s="1"/>
      <c r="E64" s="71"/>
      <c r="F64" s="1"/>
      <c r="G64" s="1"/>
      <c r="H64" s="1"/>
      <c r="I64" s="71"/>
      <c r="J64" s="71"/>
      <c r="K64" s="71"/>
      <c r="L64" s="71"/>
      <c r="M64" s="71"/>
      <c r="N64" s="71"/>
      <c r="O64" s="147"/>
      <c r="P64" s="71"/>
      <c r="Q64" s="71"/>
      <c r="R64" s="71"/>
      <c r="S64" s="71"/>
      <c r="T64" s="71"/>
      <c r="U64" s="71"/>
      <c r="V64" s="71"/>
      <c r="W64" s="71"/>
      <c r="X64" s="71"/>
      <c r="Y64" s="82"/>
      <c r="Z64" s="1"/>
      <c r="AA64" s="100"/>
      <c r="AB64" s="1"/>
    </row>
    <row r="65" spans="2:28" ht="15" x14ac:dyDescent="0.25">
      <c r="B65" s="16"/>
      <c r="C65" s="1"/>
      <c r="D65" s="1"/>
      <c r="E65" s="71"/>
      <c r="F65" s="1"/>
      <c r="G65" s="1"/>
      <c r="H65" s="1"/>
      <c r="I65" s="71"/>
      <c r="J65" s="71"/>
      <c r="K65" s="71"/>
      <c r="L65" s="71"/>
      <c r="M65" s="71"/>
      <c r="N65" s="71"/>
      <c r="O65" s="147"/>
      <c r="P65" s="71"/>
      <c r="Q65" s="71"/>
      <c r="R65" s="71"/>
      <c r="S65" s="71"/>
      <c r="T65" s="71"/>
      <c r="U65" s="71"/>
      <c r="V65" s="71"/>
      <c r="W65" s="71"/>
      <c r="X65" s="71"/>
      <c r="Y65" s="82"/>
      <c r="Z65" s="1"/>
      <c r="AA65" s="100"/>
      <c r="AB65" s="1"/>
    </row>
    <row r="66" spans="2:28" ht="15" x14ac:dyDescent="0.25">
      <c r="B66" s="16"/>
      <c r="C66" s="1"/>
      <c r="D66" s="1"/>
      <c r="E66" s="71"/>
      <c r="F66" s="1"/>
      <c r="G66" s="1"/>
      <c r="H66" s="1"/>
      <c r="I66" s="71"/>
      <c r="J66" s="71"/>
      <c r="K66" s="71"/>
      <c r="L66" s="71"/>
      <c r="M66" s="71"/>
      <c r="N66" s="71"/>
      <c r="O66" s="147"/>
      <c r="P66" s="71"/>
      <c r="Q66" s="71"/>
      <c r="R66" s="71"/>
      <c r="S66" s="71"/>
      <c r="T66" s="71"/>
      <c r="U66" s="71"/>
      <c r="V66" s="71"/>
      <c r="W66" s="71"/>
      <c r="X66" s="71"/>
      <c r="Y66" s="82"/>
      <c r="Z66" s="1"/>
      <c r="AA66" s="100"/>
      <c r="AB66" s="1"/>
    </row>
    <row r="67" spans="2:28" x14ac:dyDescent="0.25">
      <c r="C67" s="2"/>
      <c r="D67" s="2"/>
      <c r="E67" s="72"/>
      <c r="F67" s="2"/>
      <c r="G67" s="2"/>
      <c r="H67" s="2"/>
      <c r="I67" s="72"/>
      <c r="J67" s="72"/>
      <c r="K67" s="72"/>
      <c r="L67" s="72"/>
      <c r="M67" s="72"/>
      <c r="N67" s="72"/>
      <c r="O67" s="148"/>
      <c r="P67" s="72"/>
      <c r="Q67" s="72"/>
      <c r="R67" s="72"/>
      <c r="S67" s="72"/>
      <c r="T67" s="72"/>
      <c r="U67" s="72"/>
      <c r="V67" s="72"/>
      <c r="W67" s="72"/>
      <c r="X67" s="72"/>
      <c r="Y67" s="11"/>
      <c r="Z67" s="2"/>
      <c r="AA67" s="101"/>
      <c r="AB67" s="2"/>
    </row>
    <row r="68" spans="2:28" x14ac:dyDescent="0.25">
      <c r="C68" s="2"/>
      <c r="D68" s="2"/>
      <c r="E68" s="72"/>
      <c r="F68" s="2"/>
      <c r="G68" s="2"/>
      <c r="H68" s="2"/>
      <c r="I68" s="72"/>
      <c r="J68" s="72"/>
      <c r="K68" s="72"/>
      <c r="L68" s="72"/>
      <c r="M68" s="72"/>
      <c r="N68" s="72"/>
      <c r="O68" s="148"/>
      <c r="P68" s="72"/>
      <c r="Q68" s="72"/>
      <c r="R68" s="72"/>
      <c r="S68" s="72"/>
      <c r="T68" s="72"/>
      <c r="U68" s="72"/>
      <c r="V68" s="72"/>
      <c r="W68" s="72"/>
      <c r="X68" s="72"/>
      <c r="Y68" s="11"/>
      <c r="Z68" s="2"/>
      <c r="AA68" s="101"/>
      <c r="AB68" s="2"/>
    </row>
    <row r="69" spans="2:28" x14ac:dyDescent="0.25">
      <c r="C69" s="2"/>
      <c r="D69" s="2"/>
      <c r="E69" s="72"/>
      <c r="F69" s="2"/>
      <c r="G69" s="2"/>
      <c r="H69" s="2"/>
      <c r="I69" s="72"/>
      <c r="J69" s="72"/>
      <c r="K69" s="72"/>
      <c r="L69" s="72"/>
      <c r="M69" s="72"/>
      <c r="N69" s="72"/>
      <c r="O69" s="148"/>
      <c r="P69" s="72"/>
      <c r="Q69" s="72"/>
      <c r="R69" s="72"/>
      <c r="S69" s="72"/>
      <c r="T69" s="72"/>
      <c r="U69" s="72"/>
      <c r="V69" s="72"/>
      <c r="W69" s="72"/>
      <c r="X69" s="72"/>
      <c r="Y69" s="11"/>
      <c r="Z69" s="2"/>
      <c r="AA69" s="101"/>
      <c r="AB69" s="2"/>
    </row>
    <row r="70" spans="2:28" x14ac:dyDescent="0.25">
      <c r="C70" s="2"/>
      <c r="D70" s="2"/>
      <c r="E70" s="72"/>
      <c r="F70" s="2"/>
      <c r="G70" s="2"/>
      <c r="H70" s="2"/>
      <c r="I70" s="72"/>
      <c r="J70" s="72"/>
      <c r="K70" s="72"/>
      <c r="L70" s="72"/>
      <c r="M70" s="72"/>
      <c r="N70" s="72"/>
      <c r="O70" s="148"/>
      <c r="P70" s="72"/>
      <c r="Q70" s="72"/>
      <c r="R70" s="72"/>
      <c r="S70" s="72"/>
      <c r="T70" s="72"/>
      <c r="U70" s="72"/>
      <c r="V70" s="72"/>
      <c r="W70" s="72"/>
      <c r="X70" s="72"/>
      <c r="Y70" s="11"/>
      <c r="Z70" s="2"/>
      <c r="AA70" s="101"/>
      <c r="AB70" s="2"/>
    </row>
    <row r="71" spans="2:28" x14ac:dyDescent="0.25">
      <c r="C71" s="2"/>
      <c r="D71" s="2"/>
      <c r="E71" s="72"/>
      <c r="F71" s="2"/>
      <c r="G71" s="2"/>
      <c r="H71" s="2"/>
      <c r="I71" s="72"/>
      <c r="J71" s="72"/>
      <c r="K71" s="72"/>
      <c r="L71" s="72"/>
      <c r="M71" s="72"/>
      <c r="N71" s="72"/>
      <c r="O71" s="148"/>
      <c r="P71" s="72"/>
      <c r="Q71" s="72"/>
      <c r="R71" s="72"/>
      <c r="S71" s="72"/>
      <c r="T71" s="72"/>
      <c r="U71" s="72"/>
      <c r="V71" s="72"/>
      <c r="W71" s="72"/>
      <c r="X71" s="72"/>
      <c r="Y71" s="11"/>
      <c r="Z71" s="2"/>
      <c r="AA71" s="101"/>
      <c r="AB71" s="2"/>
    </row>
    <row r="72" spans="2:28" x14ac:dyDescent="0.25">
      <c r="C72" s="2"/>
      <c r="D72" s="2"/>
      <c r="E72" s="72"/>
      <c r="F72" s="2"/>
      <c r="G72" s="2"/>
      <c r="H72" s="2"/>
      <c r="I72" s="72"/>
      <c r="J72" s="72"/>
      <c r="K72" s="72"/>
      <c r="L72" s="72"/>
      <c r="M72" s="72"/>
      <c r="N72" s="72"/>
      <c r="O72" s="148"/>
      <c r="P72" s="72"/>
      <c r="Q72" s="72"/>
      <c r="R72" s="72"/>
      <c r="S72" s="72"/>
      <c r="T72" s="72"/>
      <c r="U72" s="72"/>
      <c r="V72" s="72"/>
      <c r="W72" s="72"/>
      <c r="X72" s="72"/>
      <c r="Y72" s="11"/>
      <c r="Z72" s="2"/>
      <c r="AA72" s="101"/>
      <c r="AB72" s="2"/>
    </row>
    <row r="73" spans="2:28" x14ac:dyDescent="0.25">
      <c r="C73" s="2"/>
      <c r="D73" s="2"/>
      <c r="E73" s="72"/>
      <c r="F73" s="2"/>
      <c r="G73" s="2"/>
      <c r="H73" s="2"/>
      <c r="I73" s="72"/>
      <c r="J73" s="72"/>
      <c r="K73" s="72"/>
      <c r="L73" s="72"/>
      <c r="M73" s="72"/>
      <c r="N73" s="72"/>
      <c r="O73" s="148"/>
      <c r="P73" s="72"/>
      <c r="Q73" s="72"/>
      <c r="R73" s="72"/>
      <c r="S73" s="72"/>
      <c r="T73" s="72"/>
      <c r="U73" s="72"/>
      <c r="V73" s="72"/>
      <c r="W73" s="72"/>
      <c r="X73" s="72"/>
      <c r="Y73" s="11"/>
      <c r="Z73" s="2"/>
      <c r="AA73" s="101"/>
      <c r="AB73" s="2"/>
    </row>
    <row r="74" spans="2:28" x14ac:dyDescent="0.25">
      <c r="C74" s="2"/>
      <c r="D74" s="2"/>
      <c r="E74" s="72"/>
      <c r="F74" s="2"/>
      <c r="G74" s="2"/>
      <c r="H74" s="2"/>
      <c r="I74" s="72"/>
      <c r="J74" s="72"/>
      <c r="K74" s="72"/>
      <c r="L74" s="72"/>
      <c r="M74" s="72"/>
      <c r="N74" s="72"/>
      <c r="O74" s="148"/>
      <c r="P74" s="72"/>
      <c r="Q74" s="72"/>
      <c r="R74" s="72"/>
      <c r="S74" s="72"/>
      <c r="T74" s="72"/>
      <c r="U74" s="72"/>
      <c r="V74" s="72"/>
      <c r="W74" s="72"/>
      <c r="X74" s="72"/>
      <c r="Y74" s="11"/>
      <c r="Z74" s="2"/>
      <c r="AA74" s="101"/>
      <c r="AB74" s="2"/>
    </row>
    <row r="75" spans="2:28" x14ac:dyDescent="0.25">
      <c r="C75" s="2"/>
      <c r="D75" s="2"/>
      <c r="E75" s="72"/>
      <c r="F75" s="2"/>
      <c r="G75" s="2"/>
      <c r="H75" s="2"/>
      <c r="I75" s="72"/>
      <c r="J75" s="72"/>
      <c r="K75" s="72"/>
      <c r="L75" s="72"/>
      <c r="M75" s="72"/>
      <c r="N75" s="72"/>
      <c r="O75" s="148"/>
      <c r="P75" s="72"/>
      <c r="Q75" s="72"/>
      <c r="R75" s="72"/>
      <c r="S75" s="72"/>
      <c r="T75" s="72"/>
      <c r="U75" s="72"/>
      <c r="V75" s="72"/>
      <c r="W75" s="72"/>
      <c r="X75" s="72"/>
      <c r="Y75" s="11"/>
      <c r="Z75" s="2"/>
      <c r="AA75" s="101"/>
      <c r="AB75" s="2"/>
    </row>
    <row r="76" spans="2:28" x14ac:dyDescent="0.25">
      <c r="C76" s="2"/>
      <c r="D76" s="2"/>
      <c r="E76" s="72"/>
      <c r="F76" s="2"/>
      <c r="G76" s="2"/>
      <c r="H76" s="2"/>
      <c r="I76" s="72"/>
      <c r="J76" s="72"/>
      <c r="K76" s="72"/>
      <c r="L76" s="72"/>
      <c r="M76" s="72"/>
      <c r="N76" s="72"/>
      <c r="O76" s="148"/>
      <c r="P76" s="72"/>
      <c r="Q76" s="72"/>
      <c r="R76" s="72"/>
      <c r="S76" s="72"/>
      <c r="T76" s="72"/>
      <c r="U76" s="72"/>
      <c r="V76" s="72"/>
      <c r="W76" s="72"/>
      <c r="X76" s="72"/>
      <c r="Y76" s="11"/>
      <c r="Z76" s="2"/>
      <c r="AA76" s="101"/>
      <c r="AB76" s="2"/>
    </row>
    <row r="77" spans="2:28" x14ac:dyDescent="0.25">
      <c r="C77" s="2"/>
      <c r="D77" s="2"/>
      <c r="E77" s="72"/>
      <c r="F77" s="2"/>
      <c r="G77" s="2"/>
      <c r="H77" s="2"/>
      <c r="I77" s="72"/>
      <c r="J77" s="72"/>
      <c r="K77" s="72"/>
      <c r="L77" s="72"/>
      <c r="M77" s="72"/>
      <c r="N77" s="72"/>
      <c r="O77" s="148"/>
      <c r="P77" s="72"/>
      <c r="Q77" s="72"/>
      <c r="R77" s="72"/>
      <c r="S77" s="72"/>
      <c r="T77" s="72"/>
      <c r="U77" s="72"/>
      <c r="V77" s="72"/>
      <c r="W77" s="72"/>
      <c r="X77" s="72"/>
      <c r="Y77" s="11"/>
      <c r="Z77" s="2"/>
      <c r="AA77" s="101"/>
      <c r="AB77" s="2"/>
    </row>
    <row r="78" spans="2:28" x14ac:dyDescent="0.25">
      <c r="C78" s="2"/>
      <c r="D78" s="2"/>
      <c r="E78" s="72"/>
      <c r="F78" s="2"/>
      <c r="G78" s="2"/>
      <c r="H78" s="2"/>
      <c r="I78" s="72"/>
      <c r="J78" s="72"/>
      <c r="K78" s="72"/>
      <c r="L78" s="72"/>
      <c r="M78" s="72"/>
      <c r="N78" s="72"/>
      <c r="O78" s="148"/>
      <c r="P78" s="72"/>
      <c r="Q78" s="72"/>
      <c r="R78" s="72"/>
      <c r="S78" s="72"/>
      <c r="T78" s="72"/>
      <c r="U78" s="72"/>
      <c r="V78" s="72"/>
      <c r="W78" s="72"/>
      <c r="X78" s="72"/>
      <c r="Y78" s="11"/>
      <c r="Z78" s="2"/>
      <c r="AA78" s="101"/>
      <c r="AB78" s="2"/>
    </row>
    <row r="79" spans="2:28" x14ac:dyDescent="0.25">
      <c r="C79" s="2"/>
      <c r="D79" s="2"/>
      <c r="E79" s="72"/>
      <c r="F79" s="2"/>
      <c r="G79" s="2"/>
      <c r="H79" s="2"/>
      <c r="I79" s="72"/>
      <c r="J79" s="72"/>
      <c r="K79" s="72"/>
      <c r="L79" s="72"/>
      <c r="M79" s="72"/>
      <c r="N79" s="72"/>
      <c r="O79" s="148"/>
      <c r="P79" s="72"/>
      <c r="Q79" s="72"/>
      <c r="R79" s="72"/>
      <c r="S79" s="72"/>
      <c r="T79" s="72"/>
      <c r="U79" s="72"/>
      <c r="V79" s="72"/>
      <c r="W79" s="72"/>
      <c r="X79" s="72"/>
      <c r="Y79" s="11"/>
      <c r="Z79" s="2"/>
      <c r="AA79" s="101"/>
      <c r="AB79" s="2"/>
    </row>
    <row r="80" spans="2:28" x14ac:dyDescent="0.25">
      <c r="C80" s="2"/>
      <c r="D80" s="2"/>
      <c r="E80" s="72"/>
      <c r="F80" s="2"/>
      <c r="G80" s="2"/>
      <c r="H80" s="2"/>
      <c r="I80" s="72"/>
      <c r="J80" s="72"/>
      <c r="K80" s="72"/>
      <c r="L80" s="72"/>
      <c r="M80" s="72"/>
      <c r="N80" s="72"/>
      <c r="O80" s="148"/>
      <c r="P80" s="72"/>
      <c r="Q80" s="72"/>
      <c r="R80" s="72"/>
      <c r="S80" s="72"/>
      <c r="T80" s="72"/>
      <c r="U80" s="72"/>
      <c r="V80" s="72"/>
      <c r="W80" s="72"/>
      <c r="X80" s="72"/>
      <c r="Y80" s="11"/>
      <c r="Z80" s="2"/>
      <c r="AA80" s="101"/>
      <c r="AB80" s="2"/>
    </row>
    <row r="81" spans="3:28" x14ac:dyDescent="0.25">
      <c r="C81" s="2"/>
      <c r="D81" s="2"/>
      <c r="E81" s="72"/>
      <c r="F81" s="2"/>
      <c r="G81" s="2"/>
      <c r="H81" s="2"/>
      <c r="I81" s="72"/>
      <c r="J81" s="72"/>
      <c r="K81" s="72"/>
      <c r="L81" s="72"/>
      <c r="M81" s="72"/>
      <c r="N81" s="72"/>
      <c r="O81" s="148"/>
      <c r="P81" s="72"/>
      <c r="Q81" s="72"/>
      <c r="R81" s="72"/>
      <c r="S81" s="72"/>
      <c r="T81" s="72"/>
      <c r="U81" s="72"/>
      <c r="V81" s="72"/>
      <c r="W81" s="72"/>
      <c r="X81" s="72"/>
      <c r="Y81" s="11"/>
      <c r="Z81" s="2"/>
      <c r="AA81" s="101"/>
      <c r="AB81" s="2"/>
    </row>
    <row r="82" spans="3:28" x14ac:dyDescent="0.25">
      <c r="C82" s="2"/>
      <c r="D82" s="2"/>
      <c r="E82" s="72"/>
      <c r="F82" s="2"/>
      <c r="G82" s="2"/>
      <c r="H82" s="2"/>
      <c r="I82" s="72"/>
      <c r="J82" s="72"/>
      <c r="K82" s="72"/>
      <c r="L82" s="72"/>
      <c r="M82" s="72"/>
      <c r="N82" s="72"/>
      <c r="O82" s="148"/>
      <c r="P82" s="72"/>
      <c r="Q82" s="72"/>
      <c r="R82" s="72"/>
      <c r="S82" s="72"/>
      <c r="T82" s="72"/>
      <c r="U82" s="72"/>
      <c r="V82" s="72"/>
      <c r="W82" s="72"/>
      <c r="X82" s="72"/>
      <c r="Y82" s="11"/>
      <c r="Z82" s="2"/>
      <c r="AA82" s="101"/>
      <c r="AB82" s="2"/>
    </row>
    <row r="83" spans="3:28" x14ac:dyDescent="0.25">
      <c r="C83" s="2"/>
      <c r="D83" s="2"/>
      <c r="E83" s="72"/>
      <c r="F83" s="2"/>
      <c r="G83" s="2"/>
      <c r="H83" s="2"/>
      <c r="I83" s="72"/>
      <c r="J83" s="72"/>
      <c r="K83" s="72"/>
      <c r="L83" s="72"/>
      <c r="M83" s="72"/>
      <c r="N83" s="72"/>
      <c r="O83" s="148"/>
      <c r="P83" s="72"/>
      <c r="Q83" s="72"/>
      <c r="R83" s="72"/>
      <c r="S83" s="72"/>
      <c r="T83" s="72"/>
      <c r="U83" s="72"/>
      <c r="V83" s="72"/>
      <c r="W83" s="72"/>
      <c r="X83" s="72"/>
      <c r="Y83" s="11"/>
      <c r="Z83" s="2"/>
      <c r="AA83" s="101"/>
      <c r="AB83" s="2"/>
    </row>
  </sheetData>
  <protectedRanges>
    <protectedRange sqref="Y12:Y43 C12:G42 J12:V42" name="Område1_4"/>
  </protectedRanges>
  <mergeCells count="38">
    <mergeCell ref="Y3:AB3"/>
    <mergeCell ref="G1:I1"/>
    <mergeCell ref="H2:I2"/>
    <mergeCell ref="A2:B2"/>
    <mergeCell ref="C2:F2"/>
    <mergeCell ref="Y2:AB2"/>
    <mergeCell ref="L2:P5"/>
    <mergeCell ref="A3:B3"/>
    <mergeCell ref="C3:F3"/>
    <mergeCell ref="L1:M1"/>
    <mergeCell ref="A4:B4"/>
    <mergeCell ref="C4:D4"/>
    <mergeCell ref="E4:F4"/>
    <mergeCell ref="A6:B6"/>
    <mergeCell ref="Y4:AB4"/>
    <mergeCell ref="Y5:AB5"/>
    <mergeCell ref="Y6:AB6"/>
    <mergeCell ref="V6:W6"/>
    <mergeCell ref="AA8:AA9"/>
    <mergeCell ref="C9:J9"/>
    <mergeCell ref="K9:P9"/>
    <mergeCell ref="Q9:W9"/>
    <mergeCell ref="A7:C7"/>
    <mergeCell ref="G7:P8"/>
    <mergeCell ref="V7:W7"/>
    <mergeCell ref="Y7:AG7"/>
    <mergeCell ref="U44:W44"/>
    <mergeCell ref="A10:A11"/>
    <mergeCell ref="B10:B11"/>
    <mergeCell ref="C10:D10"/>
    <mergeCell ref="F10:F11"/>
    <mergeCell ref="G10:G11"/>
    <mergeCell ref="I10:I11"/>
    <mergeCell ref="H10:H11"/>
    <mergeCell ref="J10:J11"/>
    <mergeCell ref="R10:T10"/>
    <mergeCell ref="V10:W10"/>
    <mergeCell ref="V43:W43"/>
  </mergeCells>
  <conditionalFormatting sqref="W45:X45">
    <cfRule type="cellIs" dxfId="69" priority="26" operator="notBetween">
      <formula>-20</formula>
      <formula>20</formula>
    </cfRule>
  </conditionalFormatting>
  <conditionalFormatting sqref="AA12:AA42">
    <cfRule type="cellIs" dxfId="68" priority="25" operator="between">
      <formula>0</formula>
      <formula>1.66666666666666</formula>
    </cfRule>
    <cfRule type="notContainsBlanks" dxfId="67" priority="32">
      <formula>LEN(TRIM(AA12))&gt;0</formula>
    </cfRule>
  </conditionalFormatting>
  <conditionalFormatting sqref="AA12:AA42">
    <cfRule type="cellIs" dxfId="66" priority="24" operator="equal">
      <formula>1.66666666666667</formula>
    </cfRule>
  </conditionalFormatting>
  <conditionalFormatting sqref="Z15:Z42 AB16:AB42">
    <cfRule type="notContainsBlanks" dxfId="65" priority="27">
      <formula>LEN(TRIM(Z15))&gt;0</formula>
    </cfRule>
  </conditionalFormatting>
  <conditionalFormatting sqref="Z11">
    <cfRule type="cellIs" dxfId="64" priority="23" operator="equal">
      <formula>"!"</formula>
    </cfRule>
  </conditionalFormatting>
  <conditionalFormatting sqref="X2:Y7">
    <cfRule type="notContainsBlanks" dxfId="63" priority="28">
      <formula>LEN(TRIM(X2))&gt;0</formula>
    </cfRule>
  </conditionalFormatting>
  <conditionalFormatting sqref="K6">
    <cfRule type="notContainsBlanks" dxfId="62" priority="22">
      <formula>LEN(TRIM(K6))&gt;0</formula>
    </cfRule>
  </conditionalFormatting>
  <conditionalFormatting sqref="F6 D6">
    <cfRule type="cellIs" dxfId="61" priority="21" operator="greaterThan">
      <formula>0.833333333333333</formula>
    </cfRule>
  </conditionalFormatting>
  <conditionalFormatting sqref="O43 Q43:R43 T43:U43 X43">
    <cfRule type="cellIs" dxfId="60" priority="20" operator="greaterThan">
      <formula>0</formula>
    </cfRule>
  </conditionalFormatting>
  <conditionalFormatting sqref="B35:U35 Y35 W12:W42">
    <cfRule type="expression" dxfId="59" priority="19">
      <formula>"ANTAL.OM(Grunddata!A7:A19;$A32)&gt;0)"</formula>
    </cfRule>
  </conditionalFormatting>
  <conditionalFormatting sqref="B15:G17 W42:Y42 Y15:Y41 I15:U17 I12:I14 H12:H17 B29:U42 B24:D28 F24:R28 U24:U28 W12:X41 B18:U23">
    <cfRule type="expression" dxfId="58" priority="29">
      <formula>WEEKDAY($A12,2)&gt;5</formula>
    </cfRule>
  </conditionalFormatting>
  <conditionalFormatting sqref="C2:F2">
    <cfRule type="expression" dxfId="57" priority="8">
      <formula>$G$2&lt;&gt;4</formula>
    </cfRule>
    <cfRule type="cellIs" dxfId="56" priority="17" operator="notBetween">
      <formula>1</formula>
      <formula>9999</formula>
    </cfRule>
  </conditionalFormatting>
  <conditionalFormatting sqref="A12:A42">
    <cfRule type="duplicateValues" dxfId="55" priority="13"/>
  </conditionalFormatting>
  <conditionalFormatting sqref="Z12:Z14 AB12:AB15">
    <cfRule type="notContainsBlanks" dxfId="54" priority="14">
      <formula>LEN(TRIM(Z12))&gt;0</formula>
    </cfRule>
  </conditionalFormatting>
  <conditionalFormatting sqref="A12:A42">
    <cfRule type="expression" dxfId="53" priority="12">
      <formula>"ANTAL.OM(Grunddata!$A$6:$A$18;A12)&gt;0"</formula>
    </cfRule>
  </conditionalFormatting>
  <conditionalFormatting sqref="A12:A42">
    <cfRule type="duplicateValues" dxfId="52" priority="11"/>
  </conditionalFormatting>
  <conditionalFormatting sqref="A12:G12 Y12:Y14 B13:G14 I12:U14 A13:A42">
    <cfRule type="expression" dxfId="51" priority="15">
      <formula>WEEKDAY($A12,2)&gt;5</formula>
    </cfRule>
  </conditionalFormatting>
  <conditionalFormatting sqref="V12:V42">
    <cfRule type="expression" dxfId="50" priority="9">
      <formula>"ANTAL.OM(Grunddata!A7:A19;$A32)&gt;0)"</formula>
    </cfRule>
  </conditionalFormatting>
  <conditionalFormatting sqref="V12:V42">
    <cfRule type="expression" dxfId="49" priority="10">
      <formula>WEEKDAY($A12,2)&gt;5</formula>
    </cfRule>
  </conditionalFormatting>
  <conditionalFormatting sqref="V43">
    <cfRule type="expression" dxfId="48" priority="6">
      <formula>"ANTAL.OM(Grunddata!A7:A19;$A32)&gt;0)"</formula>
    </cfRule>
  </conditionalFormatting>
  <conditionalFormatting sqref="V43">
    <cfRule type="expression" dxfId="47" priority="7">
      <formula>WEEKDAY($A43,2)&gt;5</formula>
    </cfRule>
  </conditionalFormatting>
  <conditionalFormatting sqref="D6 F6">
    <cfRule type="expression" dxfId="46" priority="5">
      <formula>COUNT($F$6,$D$6)=2</formula>
    </cfRule>
  </conditionalFormatting>
  <conditionalFormatting sqref="L37:L38">
    <cfRule type="expression" dxfId="45" priority="4">
      <formula>"ANTAL.OM(Grunddata!A7:A19;$A32)&gt;0)"</formula>
    </cfRule>
  </conditionalFormatting>
  <conditionalFormatting sqref="AG47">
    <cfRule type="expression" dxfId="44" priority="3">
      <formula>CELL("skydd",AG47)=1</formula>
    </cfRule>
  </conditionalFormatting>
  <conditionalFormatting sqref="E24:E28">
    <cfRule type="expression" dxfId="43" priority="2">
      <formula>WEEKDAY($A24,2)&gt;5</formula>
    </cfRule>
  </conditionalFormatting>
  <conditionalFormatting sqref="S24:T28">
    <cfRule type="expression" dxfId="42" priority="1">
      <formula>WEEKDAY($A24,2)&gt;5</formula>
    </cfRule>
  </conditionalFormatting>
  <pageMargins left="0.62992125984251968" right="0.19685039370078741" top="0.47244094488188981" bottom="0.33645833333333336" header="0.23622047244094491" footer="7.874015748031496E-2"/>
  <pageSetup paperSize="9" scale="49" orientation="landscape" horizontalDpi="4294967292" r:id="rId1"/>
  <headerFooter alignWithMargins="0">
    <oddHeader>&amp;L&amp;"Arial,Fet"&amp;12TIDRAPPORT             &amp;C&amp;"Arial,Fet"&amp;12Björn Lundén Information AB</oddHeader>
    <oddFooter>&amp;L&amp;F</oddFooter>
  </headerFooter>
  <ignoredErrors>
    <ignoredError sqref="I12:I42" unlockedFormula="1"/>
    <ignoredError sqref="E4 AA24:AA28 AA18:AA20" formulaRange="1"/>
  </ignoredErrors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0" operator="greaterThan" id="{B0ABDAD0-DE1B-49A2-AE67-3AE0623366DB}">
            <xm:f>Grunddata!$C$3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1" operator="lessThan" id="{26E7DAB4-1420-439C-805C-E5B3509187AA}">
            <xm:f>Grunddata!$C$4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V7</xm:sqref>
        </x14:conditionalFormatting>
        <x14:conditionalFormatting xmlns:xm="http://schemas.microsoft.com/office/excel/2006/main">
          <x14:cfRule type="cellIs" priority="18" operator="between" id="{5A263D21-2E54-4CDD-9835-7CC7CEA9C081}">
            <xm:f>Grunddata!$C$4</xm:f>
            <xm:f>Grunddata!$C$3</xm:f>
            <x14:dxf>
              <fill>
                <patternFill>
                  <bgColor theme="6" tint="0.59996337778862885"/>
                </patternFill>
              </fill>
            </x14:dxf>
          </x14:cfRule>
          <xm:sqref>V7</xm:sqref>
        </x14:conditionalFormatting>
        <x14:conditionalFormatting xmlns:xm="http://schemas.microsoft.com/office/excel/2006/main">
          <x14:cfRule type="cellIs" priority="34" operator="lessThan" id="{7C508C04-0624-4D78-82DF-579E08B827EB}">
            <xm:f>Grunddata!$C$1</xm:f>
            <x14:dxf>
              <font>
                <color rgb="FF0070C0"/>
              </font>
            </x14:dxf>
          </x14:cfRule>
          <xm:sqref>H12:H42</xm:sqref>
        </x14:conditionalFormatting>
        <x14:conditionalFormatting xmlns:xm="http://schemas.microsoft.com/office/excel/2006/main">
          <x14:cfRule type="cellIs" priority="35" operator="greaterThan" id="{1C220339-87F3-433D-8308-D13E1E4B2B25}">
            <xm:f>Grunddata!$C$1</xm:f>
            <x14:dxf>
              <font>
                <color rgb="FF9C0006"/>
              </font>
            </x14:dxf>
          </x14:cfRule>
          <xm:sqref>H12:H42</xm:sqref>
        </x14:conditionalFormatting>
        <x14:conditionalFormatting xmlns:xm="http://schemas.microsoft.com/office/excel/2006/main">
          <x14:cfRule type="expression" priority="163" id="{F8A62C76-AC0B-4B39-B27E-85280303ADFD}">
            <xm:f>OR(Grunddata!$A$20=$A12,Grunddata!$A$21=$A12,Grunddata!$A$22=$A12,Grunddata!$A$23=$A12,Grunddata!$A$24=$A12,Grunddata!$A$25=$A12,Grunddata!$A$26=$A12,Grunddata!$A$27=$A12,Grunddata!$A$28=$A12,Grunddata!$A$29=$A12,Grunddata!$A$30=$A12,Grunddata!$A$31=$A12,Grunddata!$A$16=$A12,Grunddata!$A$17=$A12,Grunddata!$A$18=$A12,Grunddata!$A$19=$A12)</xm:f>
            <x14:dxf>
              <fill>
                <patternFill>
                  <bgColor rgb="FFD0E0F4"/>
                </patternFill>
              </fill>
            </x14:dxf>
          </x14:cfRule>
          <xm:sqref>A12:G12 B13:G17 V12:V43 H12:U17 W12:Y42 A13:A42 B18:U42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E6A142D-138C-43BC-BDA9-B4ACCBEDE601}">
          <x14:formula1>
            <xm:f>Grunddata!$E$1:$E$2</xm:f>
          </x14:formula1>
          <xm:sqref>J1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D62B-BCE7-4668-A6BA-A4FACA47F9B1}">
  <sheetPr codeName="Blad10">
    <pageSetUpPr fitToPage="1"/>
  </sheetPr>
  <dimension ref="A1:AH83"/>
  <sheetViews>
    <sheetView zoomScaleNormal="100" workbookViewId="0">
      <pane ySplit="11" topLeftCell="A12" activePane="bottomLeft" state="frozen"/>
      <selection activeCell="A13" sqref="A13"/>
      <selection pane="bottomLeft" activeCell="Z12" sqref="Z12"/>
    </sheetView>
  </sheetViews>
  <sheetFormatPr defaultRowHeight="13.2" x14ac:dyDescent="0.25"/>
  <cols>
    <col min="1" max="1" width="11" style="219" customWidth="1"/>
    <col min="2" max="2" width="5.109375" style="13" customWidth="1"/>
    <col min="3" max="3" width="6.6640625" customWidth="1"/>
    <col min="4" max="4" width="6.44140625" customWidth="1"/>
    <col min="5" max="5" width="7.33203125" style="80" customWidth="1"/>
    <col min="6" max="6" width="6.109375" customWidth="1"/>
    <col min="7" max="7" width="6.44140625" customWidth="1"/>
    <col min="8" max="8" width="7.6640625" customWidth="1"/>
    <col min="9" max="9" width="6.33203125" style="80" customWidth="1"/>
    <col min="10" max="10" width="6.5546875" style="80" customWidth="1"/>
    <col min="11" max="11" width="6.44140625" style="80" customWidth="1"/>
    <col min="12" max="12" width="7.109375" style="80" customWidth="1"/>
    <col min="13" max="13" width="6.33203125" style="80" customWidth="1"/>
    <col min="14" max="14" width="8" style="80" customWidth="1"/>
    <col min="15" max="15" width="8.44140625" style="143" customWidth="1"/>
    <col min="16" max="16" width="6.6640625" style="80" customWidth="1"/>
    <col min="17" max="17" width="8.88671875" style="80" customWidth="1"/>
    <col min="18" max="18" width="6.6640625" style="80" customWidth="1"/>
    <col min="19" max="19" width="8.5546875" style="80" customWidth="1"/>
    <col min="20" max="20" width="7" style="80" customWidth="1"/>
    <col min="21" max="22" width="6.6640625" style="80" customWidth="1"/>
    <col min="23" max="23" width="7" style="80" customWidth="1"/>
    <col min="24" max="24" width="9" style="80" customWidth="1"/>
    <col min="25" max="25" width="32.44140625" style="219" customWidth="1"/>
    <col min="26" max="26" width="3.6640625" customWidth="1"/>
    <col min="27" max="27" width="9.88671875" style="89" customWidth="1"/>
    <col min="28" max="28" width="12.33203125" bestFit="1" customWidth="1"/>
    <col min="29" max="29" width="9.6640625" customWidth="1"/>
    <col min="30" max="30" width="6.33203125" customWidth="1"/>
    <col min="31" max="31" width="6.6640625" customWidth="1"/>
    <col min="32" max="32" width="7.33203125" customWidth="1"/>
    <col min="33" max="33" width="6.33203125" customWidth="1"/>
  </cols>
  <sheetData>
    <row r="1" spans="1:33" ht="18.75" customHeight="1" thickBot="1" x14ac:dyDescent="0.4">
      <c r="A1" s="9" t="s">
        <v>0</v>
      </c>
      <c r="B1"/>
      <c r="E1" s="454"/>
      <c r="G1" s="512" t="s">
        <v>1</v>
      </c>
      <c r="H1" s="512"/>
      <c r="I1" s="512"/>
      <c r="J1" s="264" t="s">
        <v>2</v>
      </c>
      <c r="K1" s="454"/>
      <c r="L1" s="257" t="s">
        <v>3</v>
      </c>
      <c r="M1" s="257"/>
      <c r="N1" s="454"/>
      <c r="O1" s="454"/>
      <c r="P1" s="454"/>
      <c r="Q1" s="454"/>
      <c r="R1" s="454"/>
      <c r="S1" s="454"/>
      <c r="T1" s="454"/>
      <c r="U1" s="454"/>
      <c r="V1" s="454"/>
      <c r="W1" s="454"/>
      <c r="X1" s="236" t="str">
        <f>IF(COUNTIF($Z$12:$Z$42,"! A"),"Felkod A","")</f>
        <v/>
      </c>
      <c r="Y1" s="466" t="str">
        <f>IF(X1="","","Arbetad tid och övertid överensstämmer ej")</f>
        <v/>
      </c>
      <c r="Z1" s="466"/>
      <c r="AA1" s="466"/>
      <c r="AB1" s="466"/>
    </row>
    <row r="2" spans="1:33" ht="14.4" customHeight="1" thickBot="1" x14ac:dyDescent="0.35">
      <c r="A2" s="524" t="s">
        <v>7</v>
      </c>
      <c r="B2" s="525"/>
      <c r="C2" s="477">
        <v>1210</v>
      </c>
      <c r="D2" s="478"/>
      <c r="E2" s="478"/>
      <c r="F2" s="479"/>
      <c r="G2" s="255">
        <f>LEN(C2)</f>
        <v>4</v>
      </c>
      <c r="H2" s="256"/>
      <c r="I2" s="458" t="s">
        <v>8</v>
      </c>
      <c r="J2" s="262" t="str">
        <f>IF(Utlägg!E39=" ","Nej","Ja")</f>
        <v>Nej</v>
      </c>
      <c r="K2" s="454"/>
      <c r="L2" s="647"/>
      <c r="M2" s="648"/>
      <c r="N2" s="648"/>
      <c r="O2" s="648"/>
      <c r="P2" s="649"/>
      <c r="Q2" s="454"/>
      <c r="R2" s="454"/>
      <c r="S2" s="454"/>
      <c r="T2" s="454"/>
      <c r="U2" s="454"/>
      <c r="V2" s="454"/>
      <c r="W2" s="454"/>
      <c r="X2" s="236" t="str">
        <f>IF(COUNTIF($Z$12:$Z$42,"! B"),"Felkod B","")</f>
        <v/>
      </c>
      <c r="Y2" s="468" t="str">
        <f>IF(X2="","","Arbetad tid + frånvaro överstiger 8 timmar")</f>
        <v/>
      </c>
      <c r="Z2" s="468"/>
      <c r="AA2" s="468"/>
      <c r="AB2" s="468"/>
      <c r="AC2" s="75"/>
    </row>
    <row r="3" spans="1:33" ht="14.4" customHeight="1" x14ac:dyDescent="0.3">
      <c r="A3" s="519" t="s">
        <v>11</v>
      </c>
      <c r="B3" s="520"/>
      <c r="C3" s="664" t="str">
        <f>IF(VLOOKUP(C2,Grunddata!L2:N201,3,FALSE)=0,"",VLOOKUP(C2,Grunddata!L2:N201,3,FALSE))</f>
        <v>Malin Westerlund</v>
      </c>
      <c r="D3" s="665"/>
      <c r="E3" s="665"/>
      <c r="F3" s="666"/>
      <c r="G3" s="256"/>
      <c r="H3" s="523" t="s">
        <v>12</v>
      </c>
      <c r="I3" s="523"/>
      <c r="J3" s="262" t="str">
        <f>IF(Bilersättning!J31=" ","Nej","Ja")</f>
        <v>Nej</v>
      </c>
      <c r="K3" s="454"/>
      <c r="L3" s="650"/>
      <c r="M3" s="651"/>
      <c r="N3" s="651"/>
      <c r="O3" s="651"/>
      <c r="P3" s="652"/>
      <c r="Q3" s="454"/>
      <c r="R3" s="454"/>
      <c r="S3" s="454"/>
      <c r="T3" s="454"/>
      <c r="U3" s="454"/>
      <c r="V3" s="642" t="s">
        <v>406</v>
      </c>
      <c r="W3" s="643"/>
      <c r="X3" s="221" t="str">
        <f>IF(COUNTIF($Z$12:$Z$42,"! C"),"Felkod C","")</f>
        <v/>
      </c>
      <c r="Y3" s="468" t="str">
        <f>IF(X3="","","Semester kan ej kombineras med annat än sjukskrivning")</f>
        <v/>
      </c>
      <c r="Z3" s="468"/>
      <c r="AA3" s="468"/>
      <c r="AB3" s="468"/>
      <c r="AC3" s="75"/>
    </row>
    <row r="4" spans="1:33" ht="14.4" customHeight="1" thickBot="1" x14ac:dyDescent="0.35">
      <c r="A4" s="521" t="s">
        <v>14</v>
      </c>
      <c r="B4" s="522"/>
      <c r="C4" s="667">
        <f>A12</f>
        <v>42721</v>
      </c>
      <c r="D4" s="668"/>
      <c r="E4" s="668">
        <f>A40</f>
        <v>42749</v>
      </c>
      <c r="F4" s="669"/>
      <c r="G4" s="523" t="s">
        <v>15</v>
      </c>
      <c r="H4" s="523"/>
      <c r="I4" s="458" t="s">
        <v>16</v>
      </c>
      <c r="J4" s="263" t="str">
        <f>IF(COUNTA('Inrikes traktamente'!C9:C30)&gt;0,"Ja","Nej")</f>
        <v>Nej</v>
      </c>
      <c r="K4" s="454"/>
      <c r="L4" s="650"/>
      <c r="M4" s="651"/>
      <c r="N4" s="651"/>
      <c r="O4" s="651"/>
      <c r="P4" s="652"/>
      <c r="Q4" s="454"/>
      <c r="R4" s="454"/>
      <c r="S4" s="454"/>
      <c r="T4" s="454"/>
      <c r="U4" s="454"/>
      <c r="V4" s="670">
        <f>IF(F6="",D6+V43,-F6+V43)</f>
        <v>4.1666666666666741E-2</v>
      </c>
      <c r="W4" s="671"/>
      <c r="X4" s="221" t="str">
        <f>IF(COUNTIF($Z$12:$Z$42,"! D"),"Felkod D","")</f>
        <v/>
      </c>
      <c r="Y4" s="672" t="str">
        <f>IF(X4="","","Komp/ATK kan ej tas ut på ledig dag")</f>
        <v/>
      </c>
      <c r="Z4" s="672"/>
      <c r="AA4" s="672"/>
      <c r="AB4" s="672"/>
      <c r="AC4" s="75"/>
    </row>
    <row r="5" spans="1:33" ht="13.5" customHeight="1" x14ac:dyDescent="0.25">
      <c r="A5" s="454"/>
      <c r="B5" s="454"/>
      <c r="C5" s="454"/>
      <c r="D5" s="454"/>
      <c r="E5" s="454"/>
      <c r="F5" s="259"/>
      <c r="G5" s="256"/>
      <c r="H5" s="256"/>
      <c r="I5" s="458" t="s">
        <v>18</v>
      </c>
      <c r="J5" s="263" t="str">
        <f>IF(COUNTA('Utrikes traktamente v1'!A9:B30)&gt;0,"Ja","Nej")</f>
        <v>Nej</v>
      </c>
      <c r="K5" s="454"/>
      <c r="L5" s="653"/>
      <c r="M5" s="654"/>
      <c r="N5" s="654"/>
      <c r="O5" s="654"/>
      <c r="P5" s="655"/>
      <c r="Q5" s="454"/>
      <c r="R5" s="454"/>
      <c r="S5" s="454"/>
      <c r="T5" s="454"/>
      <c r="U5" s="454"/>
      <c r="V5" s="454"/>
      <c r="W5" s="454"/>
      <c r="X5" s="221" t="str">
        <f>IF(COUNTIF($Z$12:$Z$42,"! E"),"Felkod E","")</f>
        <v/>
      </c>
      <c r="Y5" s="475" t="str">
        <f>IF(X5="","","Summerad frånvaro överstiger 8 timmar")</f>
        <v/>
      </c>
      <c r="Z5" s="475"/>
      <c r="AA5" s="475"/>
      <c r="AB5" s="475"/>
    </row>
    <row r="6" spans="1:33" ht="12.75" customHeight="1" x14ac:dyDescent="0.25">
      <c r="A6" s="673" t="s">
        <v>397</v>
      </c>
      <c r="B6" s="673"/>
      <c r="C6" s="465" t="s">
        <v>398</v>
      </c>
      <c r="D6" s="243"/>
      <c r="E6" s="244" t="s">
        <v>399</v>
      </c>
      <c r="F6" s="245"/>
      <c r="I6" s="454"/>
      <c r="J6" s="454"/>
      <c r="K6" s="454"/>
      <c r="L6" s="454"/>
      <c r="M6" s="454"/>
      <c r="N6" s="454"/>
      <c r="P6" s="454"/>
      <c r="Q6" s="454"/>
      <c r="R6" s="454"/>
      <c r="S6" s="454"/>
      <c r="T6" s="454"/>
      <c r="U6" s="454"/>
      <c r="V6" s="454"/>
      <c r="W6" s="454"/>
      <c r="X6" s="454"/>
      <c r="Y6" s="468"/>
      <c r="Z6" s="468"/>
      <c r="AA6" s="468"/>
      <c r="AB6" s="468"/>
    </row>
    <row r="7" spans="1:33" ht="12.75" customHeight="1" thickBot="1" x14ac:dyDescent="0.3">
      <c r="A7" s="674" t="s">
        <v>407</v>
      </c>
      <c r="B7" s="675"/>
      <c r="C7" s="675"/>
      <c r="D7" s="258">
        <f>IF(Grunddata!D34&gt;0,VLOOKUP(C2,Grunddata!L2:S174,8,FALSE),"")</f>
        <v>0.30208333333333331</v>
      </c>
      <c r="E7" s="240"/>
      <c r="F7" s="240"/>
      <c r="G7" s="676" t="s">
        <v>402</v>
      </c>
      <c r="H7" s="676"/>
      <c r="I7" s="676"/>
      <c r="J7" s="676"/>
      <c r="K7" s="676"/>
      <c r="L7" s="676"/>
      <c r="M7" s="676"/>
      <c r="N7" s="676"/>
      <c r="O7" s="676"/>
      <c r="P7" s="676"/>
      <c r="Q7" s="454"/>
      <c r="R7" s="454"/>
      <c r="S7" s="454"/>
      <c r="T7" s="454"/>
      <c r="U7" s="454"/>
      <c r="V7" s="454"/>
      <c r="W7" s="454"/>
      <c r="X7" s="221" t="str">
        <f>IF(COUNTIF($AB$12:$AB$42,"! G"),"Felkod G","")</f>
        <v/>
      </c>
      <c r="Y7" s="475" t="str">
        <f>IF(X7="","","Övertid avser tid över ordinarie veckoarbetstid (40 tim) (ignorera om veckan ej är slut)")</f>
        <v/>
      </c>
      <c r="Z7" s="475"/>
      <c r="AA7" s="475"/>
      <c r="AB7" s="475"/>
      <c r="AC7" s="475"/>
      <c r="AD7" s="475"/>
      <c r="AE7" s="83"/>
      <c r="AF7" s="83"/>
      <c r="AG7" s="83"/>
    </row>
    <row r="8" spans="1:33" ht="13.5" customHeight="1" thickBot="1" x14ac:dyDescent="0.3">
      <c r="A8" s="241"/>
      <c r="B8" s="241"/>
      <c r="C8" s="241"/>
      <c r="D8" s="241"/>
      <c r="E8" s="241"/>
      <c r="F8" s="241"/>
      <c r="G8" s="677"/>
      <c r="H8" s="677"/>
      <c r="I8" s="677"/>
      <c r="J8" s="677"/>
      <c r="K8" s="677"/>
      <c r="L8" s="677"/>
      <c r="M8" s="677"/>
      <c r="N8" s="677"/>
      <c r="O8" s="677"/>
      <c r="P8" s="677"/>
      <c r="Q8" s="242"/>
      <c r="R8" s="242"/>
      <c r="S8" s="454"/>
      <c r="T8" s="454"/>
      <c r="U8" s="454"/>
      <c r="V8" s="454"/>
      <c r="W8" s="454"/>
      <c r="X8" s="221"/>
      <c r="Y8" s="83"/>
      <c r="Z8" s="83"/>
      <c r="AA8" s="469" t="s">
        <v>21</v>
      </c>
      <c r="AB8" s="102"/>
    </row>
    <row r="9" spans="1:33" ht="15.75" customHeight="1" thickBot="1" x14ac:dyDescent="0.35">
      <c r="A9" s="91" t="s">
        <v>22</v>
      </c>
      <c r="B9" s="92"/>
      <c r="C9" s="480" t="s">
        <v>23</v>
      </c>
      <c r="D9" s="481"/>
      <c r="E9" s="481"/>
      <c r="F9" s="481"/>
      <c r="G9" s="481"/>
      <c r="H9" s="481"/>
      <c r="I9" s="481"/>
      <c r="J9" s="484"/>
      <c r="K9" s="480" t="s">
        <v>24</v>
      </c>
      <c r="L9" s="481"/>
      <c r="M9" s="481"/>
      <c r="N9" s="481"/>
      <c r="O9" s="481"/>
      <c r="P9" s="484"/>
      <c r="Q9" s="480" t="s">
        <v>25</v>
      </c>
      <c r="R9" s="481"/>
      <c r="S9" s="481"/>
      <c r="T9" s="481"/>
      <c r="U9" s="481"/>
      <c r="V9" s="481"/>
      <c r="W9" s="481"/>
      <c r="X9" s="260" t="s">
        <v>45</v>
      </c>
      <c r="Y9" s="453"/>
      <c r="AA9" s="470"/>
      <c r="AB9" s="102"/>
    </row>
    <row r="10" spans="1:33" ht="15.75" customHeight="1" thickBot="1" x14ac:dyDescent="0.3">
      <c r="A10" s="527" t="s">
        <v>27</v>
      </c>
      <c r="B10" s="472" t="s">
        <v>28</v>
      </c>
      <c r="C10" s="515" t="s">
        <v>29</v>
      </c>
      <c r="D10" s="516"/>
      <c r="E10" s="220" t="s">
        <v>30</v>
      </c>
      <c r="F10" s="485" t="s">
        <v>31</v>
      </c>
      <c r="G10" s="485" t="s">
        <v>32</v>
      </c>
      <c r="H10" s="493" t="s">
        <v>33</v>
      </c>
      <c r="I10" s="485" t="s">
        <v>34</v>
      </c>
      <c r="J10" s="482" t="s">
        <v>35</v>
      </c>
      <c r="K10" s="84" t="s">
        <v>36</v>
      </c>
      <c r="L10" s="84" t="s">
        <v>37</v>
      </c>
      <c r="M10" s="84" t="s">
        <v>38</v>
      </c>
      <c r="N10" s="84" t="s">
        <v>39</v>
      </c>
      <c r="O10" s="144" t="s">
        <v>40</v>
      </c>
      <c r="P10" s="84" t="s">
        <v>41</v>
      </c>
      <c r="Q10" s="84" t="s">
        <v>42</v>
      </c>
      <c r="R10" s="489" t="s">
        <v>43</v>
      </c>
      <c r="S10" s="490"/>
      <c r="T10" s="526"/>
      <c r="U10" s="459" t="s">
        <v>19</v>
      </c>
      <c r="V10" s="489" t="s">
        <v>44</v>
      </c>
      <c r="W10" s="490"/>
      <c r="X10" s="252"/>
      <c r="Y10" s="455"/>
      <c r="Z10" s="67"/>
      <c r="AA10" s="457"/>
      <c r="AB10" s="67"/>
      <c r="AE10" s="7"/>
    </row>
    <row r="11" spans="1:33" ht="30" customHeight="1" thickBot="1" x14ac:dyDescent="0.3">
      <c r="A11" s="528"/>
      <c r="B11" s="473"/>
      <c r="C11" s="199" t="s">
        <v>46</v>
      </c>
      <c r="D11" s="198" t="s">
        <v>47</v>
      </c>
      <c r="E11" s="197" t="s">
        <v>48</v>
      </c>
      <c r="F11" s="486" t="s">
        <v>31</v>
      </c>
      <c r="G11" s="486"/>
      <c r="H11" s="494"/>
      <c r="I11" s="486"/>
      <c r="J11" s="483"/>
      <c r="K11" s="73" t="s">
        <v>49</v>
      </c>
      <c r="L11" s="73" t="s">
        <v>50</v>
      </c>
      <c r="M11" s="73" t="s">
        <v>51</v>
      </c>
      <c r="N11" s="73" t="s">
        <v>52</v>
      </c>
      <c r="O11" s="73" t="s">
        <v>53</v>
      </c>
      <c r="P11" s="73" t="s">
        <v>54</v>
      </c>
      <c r="Q11" s="222" t="s">
        <v>55</v>
      </c>
      <c r="R11" s="196" t="s">
        <v>56</v>
      </c>
      <c r="S11" s="195" t="s">
        <v>57</v>
      </c>
      <c r="T11" s="194" t="s">
        <v>58</v>
      </c>
      <c r="U11" s="194" t="s">
        <v>59</v>
      </c>
      <c r="V11" s="197" t="s">
        <v>60</v>
      </c>
      <c r="W11" s="195" t="s">
        <v>61</v>
      </c>
      <c r="X11" s="251" t="s">
        <v>404</v>
      </c>
      <c r="Y11" s="193" t="s">
        <v>62</v>
      </c>
      <c r="Z11" s="454"/>
      <c r="AB11" s="2"/>
    </row>
    <row r="12" spans="1:33" s="113" customFormat="1" ht="30" customHeight="1" x14ac:dyDescent="0.25">
      <c r="A12" s="213">
        <v>42721</v>
      </c>
      <c r="B12" s="212">
        <f>A12</f>
        <v>42721</v>
      </c>
      <c r="C12" s="211"/>
      <c r="D12" s="211"/>
      <c r="E12" s="210"/>
      <c r="F12" s="210"/>
      <c r="G12" s="209"/>
      <c r="H12" s="447" t="str">
        <f t="shared" ref="H12:H42" si="0">IF(AND(D12="",E12=""),"",(D12-C12+E12-F12-G12))</f>
        <v/>
      </c>
      <c r="I12" s="155" t="str">
        <f>IF($J$1="Ja",IF(F12&gt;0,IF(AND(WEEKDAY(A12,2)&lt;6,COUNTIF(Grunddata!$A$14:$A$17,A12)=0,C12&gt;0),"BL",""),""),"")</f>
        <v/>
      </c>
      <c r="J12" s="207"/>
      <c r="K12" s="206"/>
      <c r="L12" s="210"/>
      <c r="M12" s="210"/>
      <c r="N12" s="210"/>
      <c r="O12" s="205"/>
      <c r="P12" s="204"/>
      <c r="Q12" s="203"/>
      <c r="R12" s="208"/>
      <c r="S12" s="204"/>
      <c r="T12" s="204"/>
      <c r="U12" s="204"/>
      <c r="V12" s="450" t="str">
        <f>IF(OR(Z12="! A",Z12="! B",Z12="! C",Z12="! D",Z12="! E",O12&gt;0,H12="",AND(WEEKDAY(A12,2)&gt;5,H12=""),AND(H12="",K12="",L12="",M12="",N12="",O12="",P12="",R12="",S12="",T12="",U12="")),"",IF(OR(WEEKDAY(A12,2)&gt;5,COUNTIF(Grunddata!$A$15:$A$18,A12)&gt;0),H12-R12-S12,IF(H12+K12+L12+M12+N12+O12+P12-R12-S12+T12+U12=Grunddata!$C$1,"",IF(H12+K12+L12+M12+N12+O12+P12-R12-S12+T12-U12&gt;Grunddata!$C$1,H12+K12+L12+M12+N12+O12+P12-R12-S12+T12-U12-Grunddata!$C$1,""))))</f>
        <v/>
      </c>
      <c r="W12" s="451" t="str">
        <f>IF(OR(Z12="! A",Z12="! B",Z12="! C",Z12="! D",Z12="! E",O12&gt;0,H12="",AND(WEEKDAY(A12,2)&gt;5,H12=""),AND(H12="",K12="",L12="",M12="",N12="",O12="",P12="",R12="",S12="",T12="",U12="")),"",IF(OR(WEEKDAY(A12,2)&gt;5,COUNTIF(Grunddata!$A$15:$A$18,A12)&gt;0),"",IF(H12+K12+L12+M12+N12+O12+P12-R12-S12+T12+U12=Grunddata!$C$1,"",IF(H12+K12+L12+M12+N12+O12+P12-R12-S12+T12-U12&lt;Grunddata!$C$1,H12+K12+L12+M12+N12+O12+P12-R12-S12+T12-U12-Grunddata!$C$1,""))))</f>
        <v/>
      </c>
      <c r="X12" s="202" t="str">
        <f>IF(AND(WEEKDAY(A12,2)&lt;6,COUNTIF(Grunddata!$A$15:$A$21,A12)&gt;0),$D$7,IF(H12="","",IF(V12="",IF(W12="",H12-R12-S12,H12-R12-S12-W12),H12-R12-S12-V12)))</f>
        <v/>
      </c>
      <c r="Y12" s="201"/>
      <c r="Z12" s="200" t="str">
        <f>IF(AND(WEEKDAY(A12,2)&gt;5,OR(U12&gt;0,T12&gt;0)),"! D",IF(O12&gt;0,IF(H12="",IF(COUNTA(L12:N12,P12:U12)&gt;0,"! C",""),"! C"),IF(H12="",IF(COUNTA(R12:S12),"! A",IF(K12+L12+M12+N12+P12+T12+U12&gt;Grunddata!$C$1,"! E","")),IF(AND(H12&gt;Grunddata!$C$1,K12="",L12="",M12="",N12="",O12="",P12=""),"",IF(H12+K12+L12+M12+N12+P12+T12+U12&gt;Grunddata!$C$1,"! B","")))))</f>
        <v/>
      </c>
      <c r="AA12" s="97" t="str">
        <f>IF(WEEKDAY(A12,2)=7,SUM(X5:X12)+SUM(K6:K12)+SUM(L6:L12)+SUM(M6:M12)+SUM(N6:N12)+COUNT(O6:O12)*Grunddata!$C$1+SUM(P6:P12)+SUM(R6:R12)+SUM(S6:S12)+SUM(T6:T12)+SUM(U6:U12)+SUM(V6:V12)+SUM(W6:W12),"")</f>
        <v/>
      </c>
      <c r="AB12" s="113" t="str">
        <f>IF(AND(WEEKDAY(A12,2)=7,SUM(R6:S12)&gt;0),IF(AA12-SUM(R6:S12)&lt;Grunddata!$C$2,"! G",""),"")</f>
        <v/>
      </c>
    </row>
    <row r="13" spans="1:33" s="113" customFormat="1" ht="30" customHeight="1" x14ac:dyDescent="0.25">
      <c r="A13" s="213">
        <v>42722</v>
      </c>
      <c r="B13" s="212">
        <f t="shared" ref="B13:B42" si="1">A13</f>
        <v>42722</v>
      </c>
      <c r="C13" s="211"/>
      <c r="D13" s="211"/>
      <c r="E13" s="210"/>
      <c r="F13" s="210"/>
      <c r="G13" s="209"/>
      <c r="H13" s="447" t="str">
        <f t="shared" si="0"/>
        <v/>
      </c>
      <c r="I13" s="155" t="str">
        <f>IF($J$1="Ja",IF(F13&gt;0,IF(AND(WEEKDAY(A13,2)&lt;6,COUNTIF(Grunddata!$A$14:$A$17,A13)=0,C13&gt;0),"BL",""),""),"")</f>
        <v/>
      </c>
      <c r="J13" s="207"/>
      <c r="K13" s="206"/>
      <c r="L13" s="210"/>
      <c r="M13" s="210"/>
      <c r="N13" s="210"/>
      <c r="O13" s="205"/>
      <c r="P13" s="204"/>
      <c r="Q13" s="203"/>
      <c r="R13" s="208"/>
      <c r="S13" s="204"/>
      <c r="T13" s="204"/>
      <c r="U13" s="204"/>
      <c r="V13" s="450" t="str">
        <f>IF(OR(Z13="! A",Z13="! B",Z13="! C",Z13="! D",Z13="! E",O13&gt;0,H13="",AND(WEEKDAY(A13,2)&gt;5,H13=""),AND(H13="",K13="",L13="",M13="",N13="",O13="",P13="",R13="",S13="",T13="",U13="")),"",IF(OR(WEEKDAY(A13,2)&gt;5,COUNTIF(Grunddata!$A$15:$A$18,A13)&gt;0),H13-R13-S13,IF(H13+K13+L13+M13+N13+O13+P13-R13-S13+T13+U13=Grunddata!$C$1,"",IF(H13+K13+L13+M13+N13+O13+P13-R13-S13+T13-U13&gt;Grunddata!$C$1,H13+K13+L13+M13+N13+O13+P13-R13-S13+T13-U13-Grunddata!$C$1,""))))</f>
        <v/>
      </c>
      <c r="W13" s="451" t="str">
        <f>IF(OR(Z13="! A",Z13="! B",Z13="! C",Z13="! D",Z13="! E",O13&gt;0,H13="",AND(WEEKDAY(A13,2)&gt;5,H13=""),AND(H13="",K13="",L13="",M13="",N13="",O13="",P13="",R13="",S13="",T13="",U13="")),"",IF(OR(WEEKDAY(A13,2)&gt;5,COUNTIF(Grunddata!$A$15:$A$18,A13)&gt;0),"",IF(H13+K13+L13+M13+N13+O13+P13-R13-S13+T13+U13=Grunddata!$C$1,"",IF(H13+K13+L13+M13+N13+O13+P13-R13-S13+T13-U13&lt;Grunddata!$C$1,H13+K13+L13+M13+N13+O13+P13-R13-S13+T13-U13-Grunddata!$C$1,""))))</f>
        <v/>
      </c>
      <c r="X13" s="202" t="str">
        <f>IF(AND(WEEKDAY(A13,2)&lt;6,COUNTIF(Grunddata!$A$15:$A$21,A13)&gt;0),$D$7,IF(H13="","",IF(V13="",IF(W13="",H13-R13-S13,H13-R13-S13-W13),H13-R13-S13-V13)))</f>
        <v/>
      </c>
      <c r="Y13" s="201"/>
      <c r="Z13" s="200" t="str">
        <f>IF(AND(WEEKDAY(A13,2)&gt;5,OR(U13&gt;0,T13&gt;0)),"! D",IF(O13&gt;0,IF(H13="",IF(COUNTA(L13:N13,P13:U13)&gt;0,"! C",""),"! C"),IF(H13="",IF(COUNTA(R13:S13),"! A",IF(K13+L13+M13+N13+P13+T13+U13&gt;Grunddata!$C$1,"! E","")),IF(AND(H13&gt;Grunddata!$C$1,K13="",L13="",M13="",N13="",O13="",P13=""),"",IF(H13+K13+L13+M13+N13+P13+T13+U13&gt;Grunddata!$C$1,"! B","")))))</f>
        <v/>
      </c>
      <c r="AA13" s="97" t="str">
        <f>IF(WEEKDAY(A13,2)=7,SUM(X7:X13)+SUM(K7:K13)+SUM(L7:L13)+SUM(M7:M13)+SUM(N7:N13)+COUNT(O7:O13)*Grunddata!$C$1+SUM(P7:P13)+SUM(R7:R13)+SUM(S7:S13)+SUM(T7:T13)+SUM(U7:U13)+SUM(V7:V13)+SUM(W7:W13),"")</f>
        <v/>
      </c>
      <c r="AB13" s="113" t="str">
        <f>IF(AND(WEEKDAY(A13,2)=7,SUM(R7:S13)&gt;0),IF(AA13-SUM(R7:S13)&lt;Grunddata!$C$2,"! G",""),"")</f>
        <v/>
      </c>
    </row>
    <row r="14" spans="1:33" s="113" customFormat="1" ht="30" customHeight="1" x14ac:dyDescent="0.25">
      <c r="A14" s="213">
        <v>42723</v>
      </c>
      <c r="B14" s="150">
        <f t="shared" si="1"/>
        <v>42723</v>
      </c>
      <c r="C14" s="151"/>
      <c r="D14" s="151"/>
      <c r="E14" s="152"/>
      <c r="F14" s="152"/>
      <c r="G14" s="153"/>
      <c r="H14" s="154" t="str">
        <f t="shared" si="0"/>
        <v/>
      </c>
      <c r="I14" s="155" t="str">
        <f>IF($J$1="Ja",IF(F14&gt;0,IF(AND(WEEKDAY(A14,2)&lt;6,COUNTIF(Grunddata!$A$14:$A$17,A14)=0,C14&gt;0),"BL",""),""),"")</f>
        <v/>
      </c>
      <c r="J14" s="156"/>
      <c r="K14" s="157"/>
      <c r="L14" s="152"/>
      <c r="M14" s="152"/>
      <c r="N14" s="152"/>
      <c r="O14" s="158"/>
      <c r="P14" s="159"/>
      <c r="Q14" s="160"/>
      <c r="R14" s="155"/>
      <c r="S14" s="159"/>
      <c r="T14" s="159"/>
      <c r="U14" s="159"/>
      <c r="V14" s="162" t="str">
        <f>IF(OR(Z14="! A",Z14="! B",Z14="! C",Z14="! D",Z14="! E",O14&gt;0,H14="",AND(WEEKDAY(A14,2)&gt;5,H14=""),AND(H14="",K14="",L14="",M14="",N14="",O14="",P14="",R14="",S14="",T14="",U14="")),"",IF(OR(WEEKDAY(A14,2)&gt;5,COUNTIF(Grunddata!$A$15:$A$18,A14)&gt;0),H14-R14-S14,IF(H14+K14+L14+M14+N14+O14+P14-R14-S14+T14+U14=Grunddata!$C$1,"",IF(H14+K14+L14+M14+N14+O14+P14-R14-S14+T14-U14&gt;Grunddata!$C$1,H14+K14+L14+M14+N14+O14+P14-R14-S14+T14-U14-Grunddata!$C$1,""))))</f>
        <v/>
      </c>
      <c r="W14" s="163" t="str">
        <f>IF(OR(Z14="! A",Z14="! B",Z14="! C",Z14="! D",Z14="! E",O14&gt;0,H14="",AND(WEEKDAY(A14,2)&gt;5,H14=""),AND(H14="",K14="",L14="",M14="",N14="",O14="",P14="",R14="",S14="",T14="",U14="")),"",IF(OR(WEEKDAY(A14,2)&gt;5,COUNTIF(Grunddata!$A$15:$A$18,A14)&gt;0),"",IF(H14+K14+L14+M14+N14+O14+P14-R14-S14+T14+U14=Grunddata!$C$1,"",IF(H14+K14+L14+M14+N14+O14+P14-R14-S14+T14-U14&lt;Grunddata!$C$1,H14+K14+L14+M14+N14+O14+P14-R14-S14+T14-U14-Grunddata!$C$1,""))))</f>
        <v/>
      </c>
      <c r="X14" s="202" t="str">
        <f>IF(AND(WEEKDAY(A14,2)&lt;6,COUNTIF(Grunddata!$A$15:$A$21,A14)&gt;0),$D$7,IF(H14="","",IF(V14="",IF(W14="",H14-R14-S14,H14-R14-S14-W14),H14-R14-S14-V14)))</f>
        <v/>
      </c>
      <c r="Y14" s="164"/>
      <c r="Z14" s="165" t="str">
        <f>IF(AND(WEEKDAY(A14,2)&gt;5,OR(U14&gt;0,T14&gt;0)),"! D",IF(O14&gt;0,IF(H14="",IF(COUNTA(L14:N14,P14:U14)&gt;0,"! C",""),"! C"),IF(H14="",IF(COUNTA(R14:S14),"! A",IF(K14+L14+M14+N14+P14+T14+U14&gt;Grunddata!$C$1,"! E","")),IF(AND(H14&gt;Grunddata!$C$1,K14="",L14="",M14="",N14="",O14="",P14=""),"",IF(H14+K14+L14+M14+N14+P14+T14+U14&gt;Grunddata!$C$1,"! B","")))))</f>
        <v/>
      </c>
      <c r="AA14" s="97">
        <f>IF(WEEKDAY(A14,2)=7,SUM(X8:X14)+SUM(K8:K14)+SUM(L8:L14)+SUM(M8:M14)+SUM(N8:N14)+COUNT(O8:O14)*Grunddata!$C$1+SUM(P8:P14)+SUM(R8:R14)+SUM(S8:S14)+SUM(T8:T14)+SUM(U8:U14)+SUM(V8:V14)+SUM(W8:W14),"")</f>
        <v>0</v>
      </c>
      <c r="AB14" s="113" t="str">
        <f>IF(AND(WEEKDAY(A14,2)=7,SUM(R8:S14)&gt;0),IF(AA14-SUM(R8:S14)&lt;Grunddata!$C$2,"! G",""),"")</f>
        <v/>
      </c>
    </row>
    <row r="15" spans="1:33" s="113" customFormat="1" ht="30" customHeight="1" x14ac:dyDescent="0.25">
      <c r="A15" s="213">
        <v>42724</v>
      </c>
      <c r="B15" s="150">
        <f t="shared" si="1"/>
        <v>42724</v>
      </c>
      <c r="C15" s="151"/>
      <c r="D15" s="151"/>
      <c r="E15" s="152"/>
      <c r="F15" s="152"/>
      <c r="G15" s="153"/>
      <c r="H15" s="154" t="str">
        <f t="shared" si="0"/>
        <v/>
      </c>
      <c r="I15" s="155" t="str">
        <f>IF($J$1="Ja",IF(F15&gt;0,IF(AND(WEEKDAY(A15,2)&lt;6,COUNTIF(Grunddata!$A$14:$A$17,A15)=0,C15&gt;0),"BL",""),""),"")</f>
        <v/>
      </c>
      <c r="J15" s="156"/>
      <c r="K15" s="157"/>
      <c r="L15" s="152"/>
      <c r="M15" s="152"/>
      <c r="N15" s="152"/>
      <c r="O15" s="158"/>
      <c r="P15" s="159"/>
      <c r="Q15" s="160"/>
      <c r="R15" s="155"/>
      <c r="S15" s="159"/>
      <c r="T15" s="159"/>
      <c r="U15" s="159"/>
      <c r="V15" s="162" t="str">
        <f>IF(OR(Z15="! A",Z15="! B",Z15="! C",Z15="! D",Z15="! E",O15&gt;0,H15="",AND(WEEKDAY(A15,2)&gt;5,H15=""),AND(H15="",K15="",L15="",M15="",N15="",O15="",P15="",R15="",S15="",T15="",U15="")),"",IF(OR(WEEKDAY(A15,2)&gt;5,COUNTIF(Grunddata!$A$15:$A$18,A15)&gt;0),H15-R15-S15,IF(H15+K15+L15+M15+N15+O15+P15-R15-S15+T15+U15=Grunddata!$C$1,"",IF(H15+K15+L15+M15+N15+O15+P15-R15-S15+T15-U15&gt;Grunddata!$C$1,H15+K15+L15+M15+N15+O15+P15-R15-S15+T15-U15-Grunddata!$C$1,""))))</f>
        <v/>
      </c>
      <c r="W15" s="163" t="str">
        <f>IF(OR(Z15="! A",Z15="! B",Z15="! C",Z15="! D",Z15="! E",O15&gt;0,H15="",AND(WEEKDAY(A15,2)&gt;5,H15=""),AND(H15="",K15="",L15="",M15="",N15="",O15="",P15="",R15="",S15="",T15="",U15="")),"",IF(OR(WEEKDAY(A15,2)&gt;5,COUNTIF(Grunddata!$A$15:$A$18,A15)&gt;0),"",IF(H15+K15+L15+M15+N15+O15+P15-R15-S15+T15+U15=Grunddata!$C$1,"",IF(H15+K15+L15+M15+N15+O15+P15-R15-S15+T15-U15&lt;Grunddata!$C$1,H15+K15+L15+M15+N15+O15+P15-R15-S15+T15-U15-Grunddata!$C$1,""))))</f>
        <v/>
      </c>
      <c r="X15" s="202" t="str">
        <f>IF(AND(WEEKDAY(A15,2)&lt;6,COUNTIF(Grunddata!$A$15:$A$21,A15)&gt;0),$D$7,IF(H15="","",IF(V15="",IF(W15="",H15-R15-S15,H15-R15-S15-W15),H15-R15-S15-V15)))</f>
        <v/>
      </c>
      <c r="Y15" s="166"/>
      <c r="Z15" s="165" t="str">
        <f>IF(AND(WEEKDAY(A15,2)&gt;5,OR(U15&gt;0,T15&gt;0)),"! D",IF(O15&gt;0,IF(H15="",IF(COUNTA(L15:N15,P15:U15)&gt;0,"! C",""),"! C"),IF(H15="",IF(COUNTA(R15:S15),"! A",IF(K15+L15+M15+N15+P15+T15+U15&gt;Grunddata!$C$1,"! E","")),IF(AND(H15&gt;Grunddata!$C$1,K15="",L15="",M15="",N15="",O15="",P15=""),"",IF(H15+K15+L15+M15+N15+P15+T15+U15&gt;Grunddata!$C$1,"! B","")))))</f>
        <v/>
      </c>
      <c r="AA15" s="97" t="str">
        <f>IF(WEEKDAY(A15,2)=7,SUM(X9:X15)+SUM(K9:K15)+SUM(L9:L15)+SUM(M9:M15)+SUM(N9:N15)+COUNT(O9:O15)*Grunddata!$C$1+SUM(P9:P15)+SUM(R9:R15)+SUM(S9:S15)+SUM(T9:T15)+SUM(U9:U15)+SUM(V9:V15)+SUM(W9:W15),"")</f>
        <v/>
      </c>
      <c r="AB15" s="113" t="str">
        <f>IF(AND(WEEKDAY(A15,2)=7,SUM(R9:S15)&gt;0),IF(AA15-SUM(R9:S15)&lt;Grunddata!$C$2,"! G",""),"")</f>
        <v/>
      </c>
      <c r="AC15" s="167"/>
      <c r="AD15" s="167"/>
      <c r="AE15" s="167"/>
    </row>
    <row r="16" spans="1:33" s="113" customFormat="1" ht="30" customHeight="1" x14ac:dyDescent="0.25">
      <c r="A16" s="213">
        <v>42725</v>
      </c>
      <c r="B16" s="150">
        <f t="shared" si="1"/>
        <v>42725</v>
      </c>
      <c r="C16" s="151"/>
      <c r="D16" s="151"/>
      <c r="E16" s="152"/>
      <c r="F16" s="152"/>
      <c r="G16" s="153"/>
      <c r="H16" s="154" t="str">
        <f t="shared" si="0"/>
        <v/>
      </c>
      <c r="I16" s="155" t="str">
        <f>IF($J$1="Ja",IF(F16&gt;0,IF(AND(WEEKDAY(A16,2)&lt;6,COUNTIF(Grunddata!$A$14:$A$17,A16)=0,C16&gt;0),"BL",""),""),"")</f>
        <v/>
      </c>
      <c r="J16" s="156"/>
      <c r="K16" s="157"/>
      <c r="L16" s="152"/>
      <c r="M16" s="152"/>
      <c r="N16" s="152"/>
      <c r="O16" s="158"/>
      <c r="P16" s="159"/>
      <c r="Q16" s="160"/>
      <c r="R16" s="155"/>
      <c r="S16" s="159"/>
      <c r="T16" s="159"/>
      <c r="U16" s="159"/>
      <c r="V16" s="162" t="str">
        <f>IF(OR(Z16="! A",Z16="! B",Z16="! C",Z16="! D",Z16="! E",O16&gt;0,H16="",AND(WEEKDAY(A16,2)&gt;5,H16=""),AND(H16="",K16="",L16="",M16="",N16="",O16="",P16="",R16="",S16="",T16="",U16="")),"",IF(OR(WEEKDAY(A16,2)&gt;5,COUNTIF(Grunddata!$A$15:$A$18,A16)&gt;0),H16-R16-S16,IF(H16+K16+L16+M16+N16+O16+P16-R16-S16+T16+U16=Grunddata!$C$1,"",IF(H16+K16+L16+M16+N16+O16+P16-R16-S16+T16-U16&gt;Grunddata!$C$1,H16+K16+L16+M16+N16+O16+P16-R16-S16+T16-U16-Grunddata!$C$1,""))))</f>
        <v/>
      </c>
      <c r="W16" s="163" t="str">
        <f>IF(OR(Z16="! A",Z16="! B",Z16="! C",Z16="! D",Z16="! E",O16&gt;0,H16="",AND(WEEKDAY(A16,2)&gt;5,H16=""),AND(H16="",K16="",L16="",M16="",N16="",O16="",P16="",R16="",S16="",T16="",U16="")),"",IF(OR(WEEKDAY(A16,2)&gt;5,COUNTIF(Grunddata!$A$15:$A$18,A16)&gt;0),"",IF(H16+K16+L16+M16+N16+O16+P16-R16-S16+T16+U16=Grunddata!$C$1,"",IF(H16+K16+L16+M16+N16+O16+P16-R16-S16+T16-U16&lt;Grunddata!$C$1,H16+K16+L16+M16+N16+O16+P16-R16-S16+T16-U16-Grunddata!$C$1,""))))</f>
        <v/>
      </c>
      <c r="X16" s="202" t="str">
        <f>IF(AND(WEEKDAY(A16,2)&lt;6,COUNTIF(Grunddata!$A$15:$A$21,A16)&gt;0),$D$7,IF(H16="","",IF(V16="",IF(W16="",H16-R16-S16,H16-R16-S16-W16),H16-R16-S16-V16)))</f>
        <v/>
      </c>
      <c r="Y16" s="166"/>
      <c r="Z16" s="165" t="str">
        <f>IF(AND(WEEKDAY(A16,2)&gt;5,OR(U16&gt;0,T16&gt;0)),"! D",IF(O16&gt;0,IF(H16="",IF(COUNTA(L16:N16,P16:U16)&gt;0,"! C",""),"! C"),IF(H16="",IF(COUNTA(R16:S16),"! A",IF(K16+L16+M16+N16+P16+T16+U16&gt;Grunddata!$C$1,"! E","")),IF(AND(H16&gt;Grunddata!$C$1,K16="",L16="",M16="",N16="",O16="",P16=""),"",IF(H16+K16+L16+M16+N16+P16+T16+U16&gt;Grunddata!$C$1,"! B","")))))</f>
        <v/>
      </c>
      <c r="AA16" s="97" t="str">
        <f>IF(WEEKDAY(A16,2)=7,SUM(X10:X16)+SUM(K10:K16)+SUM(L10:L16)+SUM(M10:M16)+SUM(N10:N16)+COUNT(O10:O16)*Grunddata!$C$1+SUM(P10:P16)+SUM(R10:R16)+SUM(S10:S16)+SUM(T10:T16)+SUM(U10:U16)+SUM(V10:V16)+SUM(W10:W16),"")</f>
        <v/>
      </c>
      <c r="AB16" s="113" t="str">
        <f>IF(AND(WEEKDAY(A16,2)=7,SUM(R10:S16)&gt;0),IF(AA16-SUM(R10:S16)&lt;Grunddata!$C$2,"! G",""),"")</f>
        <v/>
      </c>
      <c r="AC16" s="167"/>
      <c r="AD16" s="167"/>
      <c r="AE16" s="167"/>
    </row>
    <row r="17" spans="1:34" s="113" customFormat="1" ht="30" customHeight="1" x14ac:dyDescent="0.25">
      <c r="A17" s="213">
        <v>42726</v>
      </c>
      <c r="B17" s="168">
        <f t="shared" si="1"/>
        <v>42726</v>
      </c>
      <c r="C17" s="151"/>
      <c r="D17" s="151"/>
      <c r="E17" s="152"/>
      <c r="F17" s="152"/>
      <c r="G17" s="153"/>
      <c r="H17" s="154" t="str">
        <f t="shared" si="0"/>
        <v/>
      </c>
      <c r="I17" s="155" t="str">
        <f>IF($J$1="Ja",IF(F17&gt;0,IF(AND(WEEKDAY(A17,2)&lt;6,COUNTIF(Grunddata!$A$14:$A$17,A17)=0,C17&gt;0),"BL",""),""),"")</f>
        <v/>
      </c>
      <c r="J17" s="156"/>
      <c r="K17" s="157"/>
      <c r="L17" s="152"/>
      <c r="M17" s="152"/>
      <c r="N17" s="152"/>
      <c r="O17" s="158"/>
      <c r="P17" s="159"/>
      <c r="Q17" s="160"/>
      <c r="R17" s="155"/>
      <c r="S17" s="159"/>
      <c r="T17" s="159"/>
      <c r="U17" s="159"/>
      <c r="V17" s="162" t="str">
        <f>IF(OR(Z17="! A",Z17="! B",Z17="! C",Z17="! D",Z17="! E",O17&gt;0,H17="",AND(WEEKDAY(A17,2)&gt;5,H17=""),AND(H17="",K17="",L17="",M17="",N17="",O17="",P17="",R17="",S17="",T17="",U17="")),"",IF(OR(WEEKDAY(A17,2)&gt;5,COUNTIF(Grunddata!$A$15:$A$18,A17)&gt;0),H17-R17-S17,IF(H17+K17+L17+M17+N17+O17+P17-R17-S17+T17+U17=Grunddata!$C$1,"",IF(H17+K17+L17+M17+N17+O17+P17-R17-S17+T17-U17&gt;Grunddata!$C$1,H17+K17+L17+M17+N17+O17+P17-R17-S17+T17-U17-Grunddata!$C$1,""))))</f>
        <v/>
      </c>
      <c r="W17" s="163" t="str">
        <f>IF(OR(Z17="! A",Z17="! B",Z17="! C",Z17="! D",Z17="! E",O17&gt;0,H17="",AND(WEEKDAY(A17,2)&gt;5,H17=""),AND(H17="",K17="",L17="",M17="",N17="",O17="",P17="",R17="",S17="",T17="",U17="")),"",IF(OR(WEEKDAY(A17,2)&gt;5,COUNTIF(Grunddata!$A$15:$A$18,A17)&gt;0),"",IF(H17+K17+L17+M17+N17+O17+P17-R17-S17+T17+U17=Grunddata!$C$1,"",IF(H17+K17+L17+M17+N17+O17+P17-R17-S17+T17-U17&lt;Grunddata!$C$1,H17+K17+L17+M17+N17+O17+P17-R17-S17+T17-U17-Grunddata!$C$1,""))))</f>
        <v/>
      </c>
      <c r="X17" s="202" t="str">
        <f>IF(AND(WEEKDAY(A17,2)&lt;6,COUNTIF(Grunddata!$A$15:$A$21,A17)&gt;0),$D$7,IF(H17="","",IF(V17="",IF(W17="",H17-R17-S17,H17-R17-S17-W17),H17-R17-S17-V17)))</f>
        <v/>
      </c>
      <c r="Y17" s="166"/>
      <c r="Z17" s="165" t="str">
        <f>IF(AND(WEEKDAY(A17,2)&gt;5,OR(U17&gt;0,T17&gt;0)),"! D",IF(O17&gt;0,IF(H17="",IF(COUNTA(L17:N17,P17:U17)&gt;0,"! C",""),"! C"),IF(H17="",IF(COUNTA(R17:S17),"! A",IF(K17+L17+M17+N17+P17+T17+U17&gt;Grunddata!$C$1,"! E","")),IF(AND(H17&gt;Grunddata!$C$1,K17="",L17="",M17="",N17="",O17="",P17=""),"",IF(H17+K17+L17+M17+N17+P17+T17+U17&gt;Grunddata!$C$1,"! B","")))))</f>
        <v/>
      </c>
      <c r="AA17" s="97" t="str">
        <f>IF(WEEKDAY(A17,2)=7,SUM(X11:X17)+SUM(K11:K17)+SUM(L11:L17)+SUM(M11:M17)+SUM(N11:N17)+COUNT(O11:O17)*Grunddata!$C$1+SUM(P11:P17)+SUM(R11:R17)+SUM(S11:S17)+SUM(T11:T17)+SUM(U11:U17)+SUM(V11:V17)+SUM(W11:W17),"")</f>
        <v/>
      </c>
      <c r="AB17" s="113" t="str">
        <f>IF(AND(WEEKDAY(A17,2)=7,SUM(R11:S17)&gt;0),IF(AA17-SUM(R11:S17)&lt;Grunddata!$C$2,"! G",""),"")</f>
        <v/>
      </c>
      <c r="AC17" s="167"/>
    </row>
    <row r="18" spans="1:34" s="113" customFormat="1" ht="30" customHeight="1" x14ac:dyDescent="0.25">
      <c r="A18" s="213">
        <v>42727</v>
      </c>
      <c r="B18" s="168">
        <f t="shared" si="1"/>
        <v>42727</v>
      </c>
      <c r="C18" s="151"/>
      <c r="D18" s="151"/>
      <c r="E18" s="152"/>
      <c r="F18" s="152"/>
      <c r="G18" s="153"/>
      <c r="H18" s="154" t="str">
        <f t="shared" si="0"/>
        <v/>
      </c>
      <c r="I18" s="155" t="str">
        <f>IF($J$1="Ja",IF(F18&gt;0,IF(AND(WEEKDAY(A18,2)&lt;6,COUNTIF(Grunddata!$A$14:$A$17,A18)=0,C18&gt;0),"BL",""),""),"")</f>
        <v/>
      </c>
      <c r="J18" s="156"/>
      <c r="K18" s="157"/>
      <c r="L18" s="152"/>
      <c r="M18" s="152"/>
      <c r="N18" s="152"/>
      <c r="O18" s="158"/>
      <c r="P18" s="159"/>
      <c r="Q18" s="160"/>
      <c r="R18" s="155"/>
      <c r="S18" s="159"/>
      <c r="T18" s="159"/>
      <c r="U18" s="159"/>
      <c r="V18" s="162" t="str">
        <f>IF(OR(Z18="! A",Z18="! B",Z18="! C",Z18="! D",Z18="! E",O18&gt;0,H18="",AND(WEEKDAY(A18,2)&gt;5,H18=""),AND(H18="",K18="",L18="",M18="",N18="",O18="",P18="",R18="",S18="",T18="",U18="")),"",IF(OR(WEEKDAY(A18,2)&gt;5,COUNTIF(Grunddata!$A$15:$A$18,A18)&gt;0),H18-R18-S18,IF(H18+K18+L18+M18+N18+O18+P18-R18-S18+T18+U18=Grunddata!$C$1,"",IF(H18+K18+L18+M18+N18+O18+P18-R18-S18+T18-U18&gt;Grunddata!$C$1,H18+K18+L18+M18+N18+O18+P18-R18-S18+T18-U18-Grunddata!$C$1,""))))</f>
        <v/>
      </c>
      <c r="W18" s="163" t="str">
        <f>IF(OR(Z18="! A",Z18="! B",Z18="! C",Z18="! D",Z18="! E",O18&gt;0,H18="",AND(WEEKDAY(A18,2)&gt;5,H18=""),AND(H18="",K18="",L18="",M18="",N18="",O18="",P18="",R18="",S18="",T18="",U18="")),"",IF(OR(WEEKDAY(A18,2)&gt;5,COUNTIF(Grunddata!$A$15:$A$18,A18)&gt;0),"",IF(H18+K18+L18+M18+N18+O18+P18-R18-S18+T18+U18=Grunddata!$C$1,"",IF(H18+K18+L18+M18+N18+O18+P18-R18-S18+T18-U18&lt;Grunddata!$C$1,H18+K18+L18+M18+N18+O18+P18-R18-S18+T18-U18-Grunddata!$C$1,""))))</f>
        <v/>
      </c>
      <c r="X18" s="202">
        <f>IF(AND(WEEKDAY(A18,2)&lt;6,COUNTIF(Grunddata!$A$15:$A$21,A18)&gt;0),$D$7,IF(H18="","",IF(V18="",IF(W18="",H18-R18-S18,H18-R18-S18-W18),H18-R18-S18-V18)))</f>
        <v>0.30208333333333331</v>
      </c>
      <c r="Y18" s="166"/>
      <c r="Z18" s="165" t="str">
        <f>IF(AND(WEEKDAY(A18,2)&gt;5,OR(U18&gt;0,T18&gt;0)),"! D",IF(O18&gt;0,IF(H18="",IF(COUNTA(L18:N18,P18:U18)&gt;0,"! C",""),"! C"),IF(H18="",IF(COUNTA(R18:S18),"! A",IF(K18+L18+M18+N18+P18+T18+U18&gt;Grunddata!$C$1,"! E","")),IF(AND(H18&gt;Grunddata!$C$1,K18="",L18="",M18="",N18="",O18="",P18=""),"",IF(H18+K18+L18+M18+N18+P18+T18+U18&gt;Grunddata!$C$1,"! B","")))))</f>
        <v/>
      </c>
      <c r="AA18" s="97" t="str">
        <f>IF(WEEKDAY(A18,2)=7,SUM(X12:X18)+SUM(K12:K18)+SUM(L12:L18)+SUM(M12:M18)+SUM(N12:N18)+COUNT(O12:O18)*Grunddata!$C$1+SUM(P12:P18)+SUM(R12:R18)+SUM(S12:S18)+SUM(T12:T18)+SUM(U12:U18)+SUM(V12:V18)+SUM(W12:W18),"")</f>
        <v/>
      </c>
      <c r="AB18" s="113" t="str">
        <f>IF(AND(WEEKDAY(A18,2)=7,SUM(R12:S18)&gt;0),IF(AA18-SUM(R12:S18)&lt;Grunddata!$C$2,"! G",""),"")</f>
        <v/>
      </c>
      <c r="AC18" s="167"/>
    </row>
    <row r="19" spans="1:34" s="113" customFormat="1" ht="30" customHeight="1" x14ac:dyDescent="0.25">
      <c r="A19" s="213">
        <v>42728</v>
      </c>
      <c r="B19" s="150">
        <f t="shared" si="1"/>
        <v>42728</v>
      </c>
      <c r="C19" s="151"/>
      <c r="D19" s="151"/>
      <c r="E19" s="152"/>
      <c r="F19" s="152"/>
      <c r="G19" s="153"/>
      <c r="H19" s="154" t="str">
        <f t="shared" si="0"/>
        <v/>
      </c>
      <c r="I19" s="155" t="str">
        <f>IF($J$1="Ja",IF(F19&gt;0,IF(AND(WEEKDAY(A19,2)&lt;6,COUNTIF(Grunddata!$A$14:$A$17,A19)=0,C19&gt;0),"BL",""),""),"")</f>
        <v/>
      </c>
      <c r="J19" s="153"/>
      <c r="K19" s="169"/>
      <c r="L19" s="151"/>
      <c r="M19" s="151"/>
      <c r="N19" s="151"/>
      <c r="O19" s="158"/>
      <c r="P19" s="170"/>
      <c r="Q19" s="171"/>
      <c r="R19" s="172"/>
      <c r="S19" s="170"/>
      <c r="T19" s="170"/>
      <c r="U19" s="170"/>
      <c r="V19" s="162" t="str">
        <f>IF(OR(Z19="! A",Z19="! B",Z19="! C",Z19="! D",Z19="! E",O19&gt;0,H19="",AND(WEEKDAY(A19,2)&gt;5,H19=""),AND(H19="",K19="",L19="",M19="",N19="",O19="",P19="",R19="",S19="",T19="",U19="")),"",IF(OR(WEEKDAY(A19,2)&gt;5,COUNTIF(Grunddata!$A$15:$A$18,A19)&gt;0),H19-R19-S19,IF(H19+K19+L19+M19+N19+O19+P19-R19-S19+T19+U19=Grunddata!$C$1,"",IF(H19+K19+L19+M19+N19+O19+P19-R19-S19+T19-U19&gt;Grunddata!$C$1,H19+K19+L19+M19+N19+O19+P19-R19-S19+T19-U19-Grunddata!$C$1,""))))</f>
        <v/>
      </c>
      <c r="W19" s="163" t="str">
        <f>IF(OR(Z19="! A",Z19="! B",Z19="! C",Z19="! D",Z19="! E",O19&gt;0,H19="",AND(WEEKDAY(A19,2)&gt;5,H19=""),AND(H19="",K19="",L19="",M19="",N19="",O19="",P19="",R19="",S19="",T19="",U19="")),"",IF(OR(WEEKDAY(A19,2)&gt;5,COUNTIF(Grunddata!$A$15:$A$18,A19)&gt;0),"",IF(H19+K19+L19+M19+N19+O19+P19-R19-S19+T19+U19=Grunddata!$C$1,"",IF(H19+K19+L19+M19+N19+O19+P19-R19-S19+T19-U19&lt;Grunddata!$C$1,H19+K19+L19+M19+N19+O19+P19-R19-S19+T19-U19-Grunddata!$C$1,""))))</f>
        <v/>
      </c>
      <c r="X19" s="202">
        <f>IF(AND(WEEKDAY(A19,2)&lt;6,COUNTIF(Grunddata!$A$15:$A$21,A19)&gt;0),$D$7,IF(H19="","",IF(V19="",IF(W19="",H19-R19-S19,H19-R19-S19-W19),H19-R19-S19-V19)))</f>
        <v>0.30208333333333331</v>
      </c>
      <c r="Y19" s="173"/>
      <c r="Z19" s="165" t="str">
        <f>IF(AND(WEEKDAY(A19,2)&gt;5,OR(U19&gt;0,T19&gt;0)),"! D",IF(O19&gt;0,IF(H19="",IF(COUNTA(L19:N19,P19:U19)&gt;0,"! C",""),"! C"),IF(H19="",IF(COUNTA(R19:S19),"! A",IF(K19+L19+M19+N19+P19+T19+U19&gt;Grunddata!$C$1,"! E","")),IF(AND(H19&gt;Grunddata!$C$1,K19="",L19="",M19="",N19="",O19="",P19=""),"",IF(H19+K19+L19+M19+N19+P19+T19+U19&gt;Grunddata!$C$1,"! B","")))))</f>
        <v/>
      </c>
      <c r="AA19" s="97" t="str">
        <f>IF(WEEKDAY(A19,2)=7,SUM(X13:X19)+SUM(K13:K19)+SUM(L13:L19)+SUM(M13:M19)+SUM(N13:N19)+COUNT(O13:O19)*Grunddata!$C$1+SUM(P13:P19)+SUM(R13:R19)+SUM(S13:S19)+SUM(T13:T19)+SUM(U13:U19)+SUM(V13:V19)+SUM(W13:W19),"")</f>
        <v/>
      </c>
      <c r="AB19" s="113" t="str">
        <f>IF(AND(WEEKDAY(A19,2)=7,SUM(R13:S19)&gt;0),IF(AA19-SUM(R13:S19)&lt;Grunddata!$C$2,"! G",""),"")</f>
        <v/>
      </c>
      <c r="AC19" s="167"/>
    </row>
    <row r="20" spans="1:34" s="113" customFormat="1" ht="30" customHeight="1" x14ac:dyDescent="0.25">
      <c r="A20" s="213">
        <v>42729</v>
      </c>
      <c r="B20" s="150">
        <f t="shared" si="1"/>
        <v>42729</v>
      </c>
      <c r="C20" s="151"/>
      <c r="D20" s="151"/>
      <c r="E20" s="151"/>
      <c r="F20" s="152"/>
      <c r="G20" s="153"/>
      <c r="H20" s="154" t="str">
        <f t="shared" si="0"/>
        <v/>
      </c>
      <c r="I20" s="155" t="str">
        <f>IF($J$1="Ja",IF(F20&gt;0,IF(AND(WEEKDAY(A20,2)&lt;6,COUNTIF(Grunddata!$A$14:$A$17,A20)=0,C20&gt;0),"BL",""),""),"")</f>
        <v/>
      </c>
      <c r="J20" s="156"/>
      <c r="K20" s="157"/>
      <c r="L20" s="152"/>
      <c r="M20" s="152"/>
      <c r="N20" s="152"/>
      <c r="O20" s="158"/>
      <c r="P20" s="159"/>
      <c r="Q20" s="160"/>
      <c r="R20" s="155"/>
      <c r="S20" s="159"/>
      <c r="T20" s="159"/>
      <c r="U20" s="159"/>
      <c r="V20" s="162" t="str">
        <f>IF(OR(Z20="! A",Z20="! B",Z20="! C",Z20="! D",Z20="! E",O20&gt;0,H20="",AND(WEEKDAY(A20,2)&gt;5,H20=""),AND(H20="",K20="",L20="",M20="",N20="",O20="",P20="",R20="",S20="",T20="",U20="")),"",IF(OR(WEEKDAY(A20,2)&gt;5,COUNTIF(Grunddata!$A$15:$A$18,A20)&gt;0),H20-R20-S20,IF(H20+K20+L20+M20+N20+O20+P20-R20-S20+T20+U20=Grunddata!$C$1,"",IF(H20+K20+L20+M20+N20+O20+P20-R20-S20+T20-U20&gt;Grunddata!$C$1,H20+K20+L20+M20+N20+O20+P20-R20-S20+T20-U20-Grunddata!$C$1,""))))</f>
        <v/>
      </c>
      <c r="W20" s="163" t="str">
        <f>IF(OR(Z20="! A",Z20="! B",Z20="! C",Z20="! D",Z20="! E",O20&gt;0,H20="",AND(WEEKDAY(A20,2)&gt;5,H20=""),AND(H20="",K20="",L20="",M20="",N20="",O20="",P20="",R20="",S20="",T20="",U20="")),"",IF(OR(WEEKDAY(A20,2)&gt;5,COUNTIF(Grunddata!$A$15:$A$18,A20)&gt;0),"",IF(H20+K20+L20+M20+N20+O20+P20-R20-S20+T20+U20=Grunddata!$C$1,"",IF(H20+K20+L20+M20+N20+O20+P20-R20-S20+T20-U20&lt;Grunddata!$C$1,H20+K20+L20+M20+N20+O20+P20-R20-S20+T20-U20-Grunddata!$C$1,""))))</f>
        <v/>
      </c>
      <c r="X20" s="202" t="str">
        <f>IF(AND(WEEKDAY(A20,2)&lt;6,COUNTIF(Grunddata!$A$15:$A$21,A20)&gt;0),$D$7,IF(H20="","",IF(V20="",IF(W20="",H20-R20-S20,H20-R20-S20-W20),H20-R20-S20-V20)))</f>
        <v/>
      </c>
      <c r="Y20" s="166"/>
      <c r="Z20" s="165" t="str">
        <f>IF(AND(WEEKDAY(A20,2)&gt;5,OR(U20&gt;0,T20&gt;0)),"! D",IF(O20&gt;0,IF(H20="",IF(COUNTA(L20:N20,P20:U20)&gt;0,"! C",""),"! C"),IF(H20="",IF(COUNTA(R20:S20),"! A",IF(K20+L20+M20+N20+P20+T20+U20&gt;Grunddata!$C$1,"! E","")),IF(AND(H20&gt;Grunddata!$C$1,K20="",L20="",M20="",N20="",O20="",P20=""),"",IF(H20+K20+L20+M20+N20+P20+T20+U20&gt;Grunddata!$C$1,"! B","")))))</f>
        <v/>
      </c>
      <c r="AA20" s="97" t="str">
        <f>IF(WEEKDAY(A20,2)=7,SUM(X14:X20)+SUM(K14:K20)+SUM(L14:L20)+SUM(M14:M20)+SUM(N14:N20)+COUNT(O14:O20)*Grunddata!$C$1+SUM(P14:P20)+SUM(R14:R20)+SUM(S14:S20)+SUM(T14:T20)+SUM(U14:U20)+SUM(V14:V20)+SUM(W14:W20),"")</f>
        <v/>
      </c>
      <c r="AB20" s="113" t="str">
        <f>IF(AND(WEEKDAY(A20,2)=7,SUM(R14:S20)&gt;0),IF(AA20-SUM(R14:S20)&lt;Grunddata!$C$2,"! G",""),"")</f>
        <v/>
      </c>
      <c r="AC20" s="167"/>
    </row>
    <row r="21" spans="1:34" s="113" customFormat="1" ht="30" customHeight="1" x14ac:dyDescent="0.25">
      <c r="A21" s="213">
        <v>42730</v>
      </c>
      <c r="B21" s="150">
        <f t="shared" si="1"/>
        <v>42730</v>
      </c>
      <c r="C21" s="151"/>
      <c r="D21" s="151"/>
      <c r="E21" s="151"/>
      <c r="F21" s="151"/>
      <c r="G21" s="153"/>
      <c r="H21" s="154" t="str">
        <f t="shared" si="0"/>
        <v/>
      </c>
      <c r="I21" s="155" t="str">
        <f>IF($J$1="Ja",IF(F21&gt;0,IF(AND(WEEKDAY(A21,2)&lt;6,COUNTIF(Grunddata!$A$14:$A$17,A21)=0,C21&gt;0),"BL",""),""),"")</f>
        <v/>
      </c>
      <c r="J21" s="156"/>
      <c r="K21" s="157"/>
      <c r="L21" s="152"/>
      <c r="M21" s="152"/>
      <c r="N21" s="152"/>
      <c r="O21" s="158"/>
      <c r="P21" s="159"/>
      <c r="Q21" s="160"/>
      <c r="R21" s="155"/>
      <c r="S21" s="159"/>
      <c r="T21" s="159"/>
      <c r="U21" s="159"/>
      <c r="V21" s="162" t="str">
        <f>IF(OR(Z21="! A",Z21="! B",Z21="! C",Z21="! D",Z21="! E",O21&gt;0,H21="",AND(WEEKDAY(A21,2)&gt;5,H21=""),AND(H21="",K21="",L21="",M21="",N21="",O21="",P21="",R21="",S21="",T21="",U21="")),"",IF(OR(WEEKDAY(A21,2)&gt;5,COUNTIF(Grunddata!$A$15:$A$18,A21)&gt;0),H21-R21-S21,IF(H21+K21+L21+M21+N21+O21+P21-R21-S21+T21+U21=Grunddata!$C$1,"",IF(H21+K21+L21+M21+N21+O21+P21-R21-S21+T21-U21&gt;Grunddata!$C$1,H21+K21+L21+M21+N21+O21+P21-R21-S21+T21-U21-Grunddata!$C$1,""))))</f>
        <v/>
      </c>
      <c r="W21" s="163" t="str">
        <f>IF(OR(Z21="! A",Z21="! B",Z21="! C",Z21="! D",Z21="! E",O21&gt;0,H21="",AND(WEEKDAY(A21,2)&gt;5,H21=""),AND(H21="",K21="",L21="",M21="",N21="",O21="",P21="",R21="",S21="",T21="",U21="")),"",IF(OR(WEEKDAY(A21,2)&gt;5,COUNTIF(Grunddata!$A$15:$A$18,A21)&gt;0),"",IF(H21+K21+L21+M21+N21+O21+P21-R21-S21+T21+U21=Grunddata!$C$1,"",IF(H21+K21+L21+M21+N21+O21+P21-R21-S21+T21-U21&lt;Grunddata!$C$1,H21+K21+L21+M21+N21+O21+P21-R21-S21+T21-U21-Grunddata!$C$1,""))))</f>
        <v/>
      </c>
      <c r="X21" s="202" t="str">
        <f>IF(AND(WEEKDAY(A21,2)&lt;6,COUNTIF(Grunddata!$A$15:$A$21,A21)&gt;0),$D$7,IF(H21="","",IF(V21="",IF(W21="",H21-R21-S21,H21-R21-S21-W21),H21-R21-S21-V21)))</f>
        <v/>
      </c>
      <c r="Y21" s="166"/>
      <c r="Z21" s="165" t="str">
        <f>IF(AND(WEEKDAY(A21,2)&gt;5,OR(U21&gt;0,T21&gt;0)),"! D",IF(O21&gt;0,IF(H21="",IF(COUNTA(L21:N21,P21:U21)&gt;0,"! C",""),"! C"),IF(H21="",IF(COUNTA(R21:S21),"! A",IF(K21+L21+M21+N21+P21+T21+U21&gt;Grunddata!$C$1,"! E","")),IF(AND(H21&gt;Grunddata!$C$1,K21="",L21="",M21="",N21="",O21="",P21=""),"",IF(H21+K21+L21+M21+N21+P21+T21+U21&gt;Grunddata!$C$1,"! B","")))))</f>
        <v/>
      </c>
      <c r="AA21" s="97">
        <f>IF(WEEKDAY(A21,2)=7,SUM(X15:X21)+SUM(K15:K21)+SUM(L15:L21)+SUM(M15:M21)+SUM(N15:N21)+COUNT(O15:O21)*Grunddata!$C$1+SUM(P15:P21)+SUM(R15:R21)+SUM(S15:S21)+SUM(T15:T21)+SUM(U15:U21)+SUM(V15:V21)+SUM(W15:W21),"")</f>
        <v>0.60416666666666663</v>
      </c>
      <c r="AB21" s="113" t="str">
        <f>IF(AND(WEEKDAY(A21,2)=7,SUM(R15:S21)&gt;0),IF(AA21-SUM(R15:S21)&lt;Grunddata!$C$2,"! G",""),"")</f>
        <v/>
      </c>
      <c r="AC21" s="167"/>
      <c r="AD21" s="174"/>
    </row>
    <row r="22" spans="1:34" s="113" customFormat="1" ht="30" customHeight="1" x14ac:dyDescent="0.25">
      <c r="A22" s="213">
        <v>42731</v>
      </c>
      <c r="B22" s="150">
        <f t="shared" si="1"/>
        <v>42731</v>
      </c>
      <c r="C22" s="151"/>
      <c r="D22" s="151"/>
      <c r="E22" s="151"/>
      <c r="F22" s="151"/>
      <c r="G22" s="153"/>
      <c r="H22" s="154" t="str">
        <f t="shared" si="0"/>
        <v/>
      </c>
      <c r="I22" s="155" t="str">
        <f>IF($J$1="Ja",IF(F22&gt;0,IF(AND(WEEKDAY(A22,2)&lt;6,COUNTIF(Grunddata!$A$14:$A$17,A22)=0,C22&gt;0),"BL",""),""),"")</f>
        <v/>
      </c>
      <c r="J22" s="156"/>
      <c r="K22" s="157"/>
      <c r="L22" s="152"/>
      <c r="M22" s="152"/>
      <c r="N22" s="152"/>
      <c r="O22" s="158"/>
      <c r="P22" s="159"/>
      <c r="Q22" s="160"/>
      <c r="R22" s="155"/>
      <c r="S22" s="159"/>
      <c r="T22" s="159"/>
      <c r="U22" s="159"/>
      <c r="V22" s="162" t="str">
        <f>IF(OR(Z22="! A",Z22="! B",Z22="! C",Z22="! D",Z22="! E",O22&gt;0,H22="",AND(WEEKDAY(A22,2)&gt;5,H22=""),AND(H22="",K22="",L22="",M22="",N22="",O22="",P22="",R22="",S22="",T22="",U22="")),"",IF(OR(WEEKDAY(A22,2)&gt;5,COUNTIF(Grunddata!$A$15:$A$18,A22)&gt;0),H22-R22-S22,IF(H22+K22+L22+M22+N22+O22+P22-R22-S22+T22+U22=Grunddata!$C$1,"",IF(H22+K22+L22+M22+N22+O22+P22-R22-S22+T22-U22&gt;Grunddata!$C$1,H22+K22+L22+M22+N22+O22+P22-R22-S22+T22-U22-Grunddata!$C$1,""))))</f>
        <v/>
      </c>
      <c r="W22" s="163" t="str">
        <f>IF(OR(Z22="! A",Z22="! B",Z22="! C",Z22="! D",Z22="! E",O22&gt;0,H22="",AND(WEEKDAY(A22,2)&gt;5,H22=""),AND(H22="",K22="",L22="",M22="",N22="",O22="",P22="",R22="",S22="",T22="",U22="")),"",IF(OR(WEEKDAY(A22,2)&gt;5,COUNTIF(Grunddata!$A$15:$A$18,A22)&gt;0),"",IF(H22+K22+L22+M22+N22+O22+P22-R22-S22+T22+U22=Grunddata!$C$1,"",IF(H22+K22+L22+M22+N22+O22+P22-R22-S22+T22-U22&lt;Grunddata!$C$1,H22+K22+L22+M22+N22+O22+P22-R22-S22+T22-U22-Grunddata!$C$1,""))))</f>
        <v/>
      </c>
      <c r="X22" s="202" t="str">
        <f>IF(AND(WEEKDAY(A22,2)&lt;6,COUNTIF(Grunddata!$A$15:$A$21,A22)&gt;0),$D$7,IF(H22="","",IF(V22="",IF(W22="",H22-R22-S22,H22-R22-S22-W22),H22-R22-S22-V22)))</f>
        <v/>
      </c>
      <c r="Y22" s="166"/>
      <c r="Z22" s="165" t="str">
        <f>IF(AND(WEEKDAY(A22,2)&gt;5,OR(U22&gt;0,T22&gt;0)),"! D",IF(O22&gt;0,IF(H22="",IF(COUNTA(L22:N22,P22:U22)&gt;0,"! C",""),"! C"),IF(H22="",IF(COUNTA(R22:S22),"! A",IF(K22+L22+M22+N22+P22+T22+U22&gt;Grunddata!$C$1,"! E","")),IF(AND(H22&gt;Grunddata!$C$1,K22="",L22="",M22="",N22="",O22="",P22=""),"",IF(H22+K22+L22+M22+N22+P22+T22+U22&gt;Grunddata!$C$1,"! B","")))))</f>
        <v/>
      </c>
      <c r="AA22" s="97" t="str">
        <f>IF(WEEKDAY(A22,2)=7,SUM(X16:X22)+SUM(K16:K22)+SUM(L16:L22)+SUM(M16:M22)+SUM(N16:N22)+COUNT(O16:O22)*Grunddata!$C$1+SUM(P16:P22)+SUM(R16:R22)+SUM(S16:S22)+SUM(T16:T22)+SUM(U16:U22)+SUM(V16:V22)+SUM(W16:W22),"")</f>
        <v/>
      </c>
      <c r="AB22" s="113" t="str">
        <f>IF(AND(WEEKDAY(A22,2)=7,SUM(R16:S22)&gt;0),IF(AA22-SUM(R16:S22)&lt;Grunddata!$C$2,"! G",""),"")</f>
        <v/>
      </c>
    </row>
    <row r="23" spans="1:34" s="113" customFormat="1" ht="30" customHeight="1" x14ac:dyDescent="0.25">
      <c r="A23" s="213">
        <v>42732</v>
      </c>
      <c r="B23" s="150">
        <f t="shared" si="1"/>
        <v>42732</v>
      </c>
      <c r="C23" s="151"/>
      <c r="D23" s="151"/>
      <c r="E23" s="151"/>
      <c r="F23" s="151"/>
      <c r="G23" s="153"/>
      <c r="H23" s="154" t="str">
        <f t="shared" si="0"/>
        <v/>
      </c>
      <c r="I23" s="155" t="str">
        <f>IF($J$1="Ja",IF(F23&gt;0,IF(AND(WEEKDAY(A23,2)&lt;6,COUNTIF(Grunddata!$A$14:$A$17,A23)=0,C23&gt;0),"BL",""),""),"")</f>
        <v/>
      </c>
      <c r="J23" s="156"/>
      <c r="K23" s="157"/>
      <c r="L23" s="152"/>
      <c r="M23" s="152"/>
      <c r="N23" s="152"/>
      <c r="O23" s="158"/>
      <c r="P23" s="159"/>
      <c r="Q23" s="160"/>
      <c r="R23" s="155"/>
      <c r="S23" s="159"/>
      <c r="T23" s="159"/>
      <c r="U23" s="159"/>
      <c r="V23" s="162" t="str">
        <f>IF(OR(Z23="! A",Z23="! B",Z23="! C",Z23="! D",Z23="! E",O23&gt;0,H23="",AND(WEEKDAY(A23,2)&gt;5,H23=""),AND(H23="",K23="",L23="",M23="",N23="",O23="",P23="",R23="",S23="",T23="",U23="")),"",IF(OR(WEEKDAY(A23,2)&gt;5,COUNTIF(Grunddata!$A$15:$A$18,A23)&gt;0),H23-R23-S23,IF(H23+K23+L23+M23+N23+O23+P23-R23-S23+T23+U23=Grunddata!$C$1,"",IF(H23+K23+L23+M23+N23+O23+P23-R23-S23+T23-U23&gt;Grunddata!$C$1,H23+K23+L23+M23+N23+O23+P23-R23-S23+T23-U23-Grunddata!$C$1,""))))</f>
        <v/>
      </c>
      <c r="W23" s="163" t="str">
        <f>IF(OR(Z23="! A",Z23="! B",Z23="! C",Z23="! D",Z23="! E",O23&gt;0,H23="",AND(WEEKDAY(A23,2)&gt;5,H23=""),AND(H23="",K23="",L23="",M23="",N23="",O23="",P23="",R23="",S23="",T23="",U23="")),"",IF(OR(WEEKDAY(A23,2)&gt;5,COUNTIF(Grunddata!$A$15:$A$18,A23)&gt;0),"",IF(H23+K23+L23+M23+N23+O23+P23-R23-S23+T23+U23=Grunddata!$C$1,"",IF(H23+K23+L23+M23+N23+O23+P23-R23-S23+T23-U23&lt;Grunddata!$C$1,H23+K23+L23+M23+N23+O23+P23-R23-S23+T23-U23-Grunddata!$C$1,""))))</f>
        <v/>
      </c>
      <c r="X23" s="202" t="str">
        <f>IF(AND(WEEKDAY(A23,2)&lt;6,COUNTIF(Grunddata!$A$15:$A$21,A23)&gt;0),$D$7,IF(H23="","",IF(V23="",IF(W23="",H23-R23-S23,H23-R23-S23-W23),H23-R23-S23-V23)))</f>
        <v/>
      </c>
      <c r="Y23" s="166"/>
      <c r="Z23" s="165" t="str">
        <f>IF(AND(WEEKDAY(A23,2)&gt;5,OR(U23&gt;0,T23&gt;0)),"! D",IF(O23&gt;0,IF(H23="",IF(COUNTA(L23:N23,P23:U23)&gt;0,"! C",""),"! C"),IF(H23="",IF(COUNTA(R23:S23),"! A",IF(K23+L23+M23+N23+P23+T23+U23&gt;Grunddata!$C$1,"! E","")),IF(AND(H23&gt;Grunddata!$C$1,K23="",L23="",M23="",N23="",O23="",P23=""),"",IF(H23+K23+L23+M23+N23+P23+T23+U23&gt;Grunddata!$C$1,"! B","")))))</f>
        <v/>
      </c>
      <c r="AA23" s="97" t="str">
        <f>IF(WEEKDAY(A23,2)=7,SUM(X17:X23)+SUM(K17:K23)+SUM(L17:L23)+SUM(M17:M23)+SUM(N17:N23)+COUNT(O17:O23)*Grunddata!$C$1+SUM(P17:P23)+SUM(R17:R23)+SUM(S17:S23)+SUM(T17:T23)+SUM(U17:U23)+SUM(V17:V23)+SUM(W17:W23),"")</f>
        <v/>
      </c>
      <c r="AB23" s="113" t="str">
        <f>IF(AND(WEEKDAY(A23,2)=7,SUM(R17:S23)&gt;0),IF(AA23-SUM(R17:S23)&lt;Grunddata!$C$2,"! G",""),"")</f>
        <v/>
      </c>
    </row>
    <row r="24" spans="1:34" s="113" customFormat="1" ht="30" customHeight="1" x14ac:dyDescent="0.25">
      <c r="A24" s="213">
        <v>42733</v>
      </c>
      <c r="B24" s="150">
        <f t="shared" si="1"/>
        <v>42733</v>
      </c>
      <c r="C24" s="151"/>
      <c r="D24" s="151"/>
      <c r="E24" s="152"/>
      <c r="F24" s="151"/>
      <c r="G24" s="153"/>
      <c r="H24" s="154" t="str">
        <f t="shared" si="0"/>
        <v/>
      </c>
      <c r="I24" s="155" t="str">
        <f>IF($J$1="Ja",IF(F24&gt;0,IF(AND(WEEKDAY(A24,2)&lt;6,COUNTIF(Grunddata!$A$14:$A$17,A24)=0,C24&gt;0),"BL",""),""),"")</f>
        <v/>
      </c>
      <c r="J24" s="156"/>
      <c r="K24" s="157"/>
      <c r="L24" s="152"/>
      <c r="M24" s="152"/>
      <c r="N24" s="152"/>
      <c r="O24" s="158"/>
      <c r="P24" s="159"/>
      <c r="Q24" s="160"/>
      <c r="R24" s="155"/>
      <c r="S24" s="159"/>
      <c r="T24" s="159"/>
      <c r="U24" s="159"/>
      <c r="V24" s="162" t="str">
        <f>IF(OR(Z24="! A",Z24="! B",Z24="! C",Z24="! D",Z24="! E",O24&gt;0,H24="",AND(WEEKDAY(A24,2)&gt;5,H24=""),AND(H24="",K24="",L24="",M24="",N24="",O24="",P24="",R24="",S24="",T24="",U24="")),"",IF(OR(WEEKDAY(A24,2)&gt;5,COUNTIF(Grunddata!$A$15:$A$18,A24)&gt;0),H24-R24-S24,IF(H24+K24+L24+M24+N24+O24+P24-R24-S24+T24+U24=Grunddata!$C$1,"",IF(H24+K24+L24+M24+N24+O24+P24-R24-S24+T24-U24&gt;Grunddata!$C$1,H24+K24+L24+M24+N24+O24+P24-R24-S24+T24-U24-Grunddata!$C$1,""))))</f>
        <v/>
      </c>
      <c r="W24" s="163" t="str">
        <f>IF(OR(Z24="! A",Z24="! B",Z24="! C",Z24="! D",Z24="! E",O24&gt;0,H24="",AND(WEEKDAY(A24,2)&gt;5,H24=""),AND(H24="",K24="",L24="",M24="",N24="",O24="",P24="",R24="",S24="",T24="",U24="")),"",IF(OR(WEEKDAY(A24,2)&gt;5,COUNTIF(Grunddata!$A$15:$A$18,A24)&gt;0),"",IF(H24+K24+L24+M24+N24+O24+P24-R24-S24+T24+U24=Grunddata!$C$1,"",IF(H24+K24+L24+M24+N24+O24+P24-R24-S24+T24-U24&lt;Grunddata!$C$1,H24+K24+L24+M24+N24+O24+P24-R24-S24+T24-U24-Grunddata!$C$1,""))))</f>
        <v/>
      </c>
      <c r="X24" s="202" t="str">
        <f>IF(AND(WEEKDAY(A24,2)&lt;6,COUNTIF(Grunddata!$A$15:$A$21,A24)&gt;0),$D$7,IF(H24="","",IF(V24="",IF(W24="",H24-R24-S24,H24-R24-S24-W24),H24-R24-S24-V24)))</f>
        <v/>
      </c>
      <c r="Y24" s="166"/>
      <c r="Z24" s="165" t="str">
        <f>IF(AND(WEEKDAY(A24,2)&gt;5,OR(U24&gt;0,T24&gt;0)),"! D",IF(O24&gt;0,IF(H24="",IF(COUNTA(L24:N24,P24:U24)&gt;0,"! C",""),"! C"),IF(H24="",IF(COUNTA(R24:S24),"! A",IF(K24+L24+M24+N24+P24+T24+U24&gt;Grunddata!$C$1,"! E","")),IF(AND(H24&gt;Grunddata!$C$1,K24="",L24="",M24="",N24="",O24="",P24=""),"",IF(H24+K24+L24+M24+N24+P24+T24+U24&gt;Grunddata!$C$1,"! B","")))))</f>
        <v/>
      </c>
      <c r="AA24" s="97" t="str">
        <f>IF(WEEKDAY(A24,2)=7,SUM(X18:X24)+SUM(K18:K24)+SUM(L18:L24)+SUM(M18:M24)+SUM(N18:N24)+COUNT(O18:O24)*Grunddata!$C$1+SUM(P18:P24)+SUM(R18:R24)+SUM(S18:S24)+SUM(T18:T24)+SUM(U18:U24)+SUM(V18:V24)+SUM(W18:W24),"")</f>
        <v/>
      </c>
      <c r="AB24" s="113" t="str">
        <f>IF(AND(WEEKDAY(A24,2)=7,SUM(R18:S24)&gt;0),IF(AA24-SUM(R18:S24)&lt;Grunddata!$C$2,"! G",""),"")</f>
        <v/>
      </c>
    </row>
    <row r="25" spans="1:34" s="113" customFormat="1" ht="30" customHeight="1" x14ac:dyDescent="0.25">
      <c r="A25" s="213">
        <v>42734</v>
      </c>
      <c r="B25" s="150">
        <f t="shared" si="1"/>
        <v>42734</v>
      </c>
      <c r="C25" s="151"/>
      <c r="D25" s="151"/>
      <c r="E25" s="152"/>
      <c r="F25" s="151"/>
      <c r="G25" s="153"/>
      <c r="H25" s="154" t="str">
        <f t="shared" si="0"/>
        <v/>
      </c>
      <c r="I25" s="155" t="str">
        <f>IF($J$1="Ja",IF(F25&gt;0,IF(AND(WEEKDAY(A25,2)&lt;6,COUNTIF(Grunddata!$A$14:$A$17,A25)=0,C25&gt;0),"BL",""),""),"")</f>
        <v/>
      </c>
      <c r="J25" s="156"/>
      <c r="K25" s="157"/>
      <c r="L25" s="152"/>
      <c r="M25" s="152"/>
      <c r="N25" s="152"/>
      <c r="O25" s="158"/>
      <c r="P25" s="159"/>
      <c r="Q25" s="160"/>
      <c r="R25" s="155"/>
      <c r="S25" s="159"/>
      <c r="T25" s="159"/>
      <c r="U25" s="159"/>
      <c r="V25" s="162" t="str">
        <f>IF(OR(Z25="! A",Z25="! B",Z25="! C",Z25="! D",Z25="! E",O25&gt;0,H25="",AND(WEEKDAY(A25,2)&gt;5,H25=""),AND(H25="",K25="",L25="",M25="",N25="",O25="",P25="",R25="",S25="",T25="",U25="")),"",IF(OR(WEEKDAY(A25,2)&gt;5,COUNTIF(Grunddata!$A$15:$A$18,A25)&gt;0),H25-R25-S25,IF(H25+K25+L25+M25+N25+O25+P25-R25-S25+T25+U25=Grunddata!$C$1,"",IF(H25+K25+L25+M25+N25+O25+P25-R25-S25+T25-U25&gt;Grunddata!$C$1,H25+K25+L25+M25+N25+O25+P25-R25-S25+T25-U25-Grunddata!$C$1,""))))</f>
        <v/>
      </c>
      <c r="W25" s="163" t="str">
        <f>IF(OR(Z25="! A",Z25="! B",Z25="! C",Z25="! D",Z25="! E",O25&gt;0,H25="",AND(WEEKDAY(A25,2)&gt;5,H25=""),AND(H25="",K25="",L25="",M25="",N25="",O25="",P25="",R25="",S25="",T25="",U25="")),"",IF(OR(WEEKDAY(A25,2)&gt;5,COUNTIF(Grunddata!$A$15:$A$18,A25)&gt;0),"",IF(H25+K25+L25+M25+N25+O25+P25-R25-S25+T25+U25=Grunddata!$C$1,"",IF(H25+K25+L25+M25+N25+O25+P25-R25-S25+T25-U25&lt;Grunddata!$C$1,H25+K25+L25+M25+N25+O25+P25-R25-S25+T25-U25-Grunddata!$C$1,""))))</f>
        <v/>
      </c>
      <c r="X25" s="202">
        <f>IF(AND(WEEKDAY(A25,2)&lt;6,COUNTIF(Grunddata!$A$15:$A$21,A25)&gt;0),$D$7,IF(H25="","",IF(V25="",IF(W25="",H25-R25-S25,H25-R25-S25-W25),H25-R25-S25-V25)))</f>
        <v>0.30208333333333331</v>
      </c>
      <c r="Y25" s="175"/>
      <c r="Z25" s="165" t="str">
        <f>IF(AND(WEEKDAY(A25,2)&gt;5,OR(U25&gt;0,T25&gt;0)),"! D",IF(O25&gt;0,IF(H25="",IF(COUNTA(L25:N25,P25:U25)&gt;0,"! C",""),"! C"),IF(H25="",IF(COUNTA(R25:S25),"! A",IF(K25+L25+M25+N25+P25+T25+U25&gt;Grunddata!$C$1,"! E","")),IF(AND(H25&gt;Grunddata!$C$1,K25="",L25="",M25="",N25="",O25="",P25=""),"",IF(H25+K25+L25+M25+N25+P25+T25+U25&gt;Grunddata!$C$1,"! B","")))))</f>
        <v/>
      </c>
      <c r="AA25" s="97" t="str">
        <f>IF(WEEKDAY(A25,2)=7,SUM(X19:X25)+SUM(K19:K25)+SUM(L19:L25)+SUM(M19:M25)+SUM(N19:N25)+COUNT(O19:O25)*Grunddata!$C$1+SUM(P19:P25)+SUM(R19:R25)+SUM(S19:S25)+SUM(T19:T25)+SUM(U19:U25)+SUM(V19:V25)+SUM(W19:W25),"")</f>
        <v/>
      </c>
      <c r="AB25" s="113" t="str">
        <f>IF(AND(WEEKDAY(A25,2)=7,SUM(R19:S25)&gt;0),IF(AA25-SUM(R19:S25)&lt;Grunddata!$C$2,"! G",""),"")</f>
        <v/>
      </c>
    </row>
    <row r="26" spans="1:34" s="113" customFormat="1" ht="30" customHeight="1" x14ac:dyDescent="0.25">
      <c r="A26" s="213">
        <v>42735</v>
      </c>
      <c r="B26" s="150">
        <f t="shared" si="1"/>
        <v>42735</v>
      </c>
      <c r="C26" s="151"/>
      <c r="D26" s="151"/>
      <c r="E26" s="152"/>
      <c r="F26" s="151"/>
      <c r="G26" s="153"/>
      <c r="H26" s="154" t="str">
        <f t="shared" si="0"/>
        <v/>
      </c>
      <c r="I26" s="155" t="str">
        <f>IF($J$1="Ja",IF(F26&gt;0,IF(AND(WEEKDAY(A26,2)&lt;6,COUNTIF(Grunddata!$A$14:$A$17,A26)=0,C26&gt;0),"BL",""),""),"")</f>
        <v/>
      </c>
      <c r="J26" s="156"/>
      <c r="K26" s="157"/>
      <c r="L26" s="152"/>
      <c r="M26" s="152"/>
      <c r="N26" s="152"/>
      <c r="O26" s="158"/>
      <c r="P26" s="159"/>
      <c r="Q26" s="160"/>
      <c r="R26" s="155"/>
      <c r="S26" s="170"/>
      <c r="T26" s="170"/>
      <c r="U26" s="159"/>
      <c r="V26" s="162" t="str">
        <f>IF(OR(Z26="! A",Z26="! B",Z26="! C",Z26="! D",Z26="! E",O26&gt;0,H26="",AND(WEEKDAY(A26,2)&gt;5,H26=""),AND(H26="",K26="",L26="",M26="",N26="",O26="",P26="",R26="",S26="",T26="",U26="")),"",IF(OR(WEEKDAY(A26,2)&gt;5,COUNTIF(Grunddata!$A$15:$A$18,A26)&gt;0),H26-R26-S26,IF(H26+K26+L26+M26+N26+O26+P26-R26-S26+T26+U26=Grunddata!$C$1,"",IF(H26+K26+L26+M26+N26+O26+P26-R26-S26+T26-U26&gt;Grunddata!$C$1,H26+K26+L26+M26+N26+O26+P26-R26-S26+T26-U26-Grunddata!$C$1,""))))</f>
        <v/>
      </c>
      <c r="W26" s="163" t="str">
        <f>IF(OR(Z26="! A",Z26="! B",Z26="! C",Z26="! D",Z26="! E",O26&gt;0,H26="",AND(WEEKDAY(A26,2)&gt;5,H26=""),AND(H26="",K26="",L26="",M26="",N26="",O26="",P26="",R26="",S26="",T26="",U26="")),"",IF(OR(WEEKDAY(A26,2)&gt;5,COUNTIF(Grunddata!$A$15:$A$18,A26)&gt;0),"",IF(H26+K26+L26+M26+N26+O26+P26-R26-S26+T26+U26=Grunddata!$C$1,"",IF(H26+K26+L26+M26+N26+O26+P26-R26-S26+T26-U26&lt;Grunddata!$C$1,H26+K26+L26+M26+N26+O26+P26-R26-S26+T26-U26-Grunddata!$C$1,""))))</f>
        <v/>
      </c>
      <c r="X26" s="202">
        <f>IF(AND(WEEKDAY(A26,2)&lt;6,COUNTIF(Grunddata!$A$15:$A$21,A26)&gt;0),$D$7,IF(H26="","",IF(V26="",IF(W26="",H26-R26-S26,H26-R26-S26-W26),H26-R26-S26-V26)))</f>
        <v>0.30208333333333331</v>
      </c>
      <c r="Y26" s="166"/>
      <c r="Z26" s="165" t="str">
        <f>IF(AND(WEEKDAY(A26,2)&gt;5,OR(U26&gt;0,T26&gt;0)),"! D",IF(O26&gt;0,IF(H26="",IF(COUNTA(L26:N26,P26:U26)&gt;0,"! C",""),"! C"),IF(H26="",IF(COUNTA(R26:S26),"! A",IF(K26+L26+M26+N26+P26+T26+U26&gt;Grunddata!$C$1,"! E","")),IF(AND(H26&gt;Grunddata!$C$1,K26="",L26="",M26="",N26="",O26="",P26=""),"",IF(H26+K26+L26+M26+N26+P26+T26+U26&gt;Grunddata!$C$1,"! B","")))))</f>
        <v/>
      </c>
      <c r="AA26" s="97" t="str">
        <f>IF(WEEKDAY(A26,2)=7,SUM(X20:X26)+SUM(K20:K26)+SUM(L20:L26)+SUM(M20:M26)+SUM(N20:N26)+COUNT(O20:O26)*Grunddata!$C$1+SUM(P20:P26)+SUM(R20:R26)+SUM(S20:S26)+SUM(T20:T26)+SUM(U20:U26)+SUM(V20:V26)+SUM(W20:W26),"")</f>
        <v/>
      </c>
      <c r="AB26" s="113" t="str">
        <f>IF(AND(WEEKDAY(A26,2)=7,SUM(R20:S26)&gt;0),IF(AA26-SUM(R20:S26)&lt;Grunddata!$C$2,"! G",""),"")</f>
        <v/>
      </c>
      <c r="AH26" s="105"/>
    </row>
    <row r="27" spans="1:34" s="113" customFormat="1" ht="30" customHeight="1" x14ac:dyDescent="0.25">
      <c r="A27" s="213">
        <v>42736</v>
      </c>
      <c r="B27" s="150">
        <f t="shared" si="1"/>
        <v>42736</v>
      </c>
      <c r="C27" s="151"/>
      <c r="D27" s="151"/>
      <c r="E27" s="151"/>
      <c r="F27" s="151"/>
      <c r="G27" s="153"/>
      <c r="H27" s="154" t="str">
        <f t="shared" si="0"/>
        <v/>
      </c>
      <c r="I27" s="155" t="str">
        <f>IF($J$1="Ja",IF(F27&gt;0,IF(AND(WEEKDAY(A27,2)&lt;6,COUNTIF(Grunddata!$A$14:$A$17,A27)=0,C27&gt;0),"BL",""),""),"")</f>
        <v/>
      </c>
      <c r="J27" s="156"/>
      <c r="K27" s="157"/>
      <c r="L27" s="152"/>
      <c r="M27" s="152"/>
      <c r="N27" s="152"/>
      <c r="O27" s="158"/>
      <c r="P27" s="159"/>
      <c r="Q27" s="160"/>
      <c r="R27" s="155"/>
      <c r="S27" s="159"/>
      <c r="T27" s="159"/>
      <c r="U27" s="159"/>
      <c r="V27" s="162" t="str">
        <f>IF(OR(Z27="! A",Z27="! B",Z27="! C",Z27="! D",Z27="! E",O27&gt;0,H27="",AND(WEEKDAY(A27,2)&gt;5,H27=""),AND(H27="",K27="",L27="",M27="",N27="",O27="",P27="",R27="",S27="",T27="",U27="")),"",IF(OR(WEEKDAY(A27,2)&gt;5,COUNTIF(Grunddata!$A$15:$A$18,A27)&gt;0),H27-R27-S27,IF(H27+K27+L27+M27+N27+O27+P27-R27-S27+T27+U27=Grunddata!$C$1,"",IF(H27+K27+L27+M27+N27+O27+P27-R27-S27+T27-U27&gt;Grunddata!$C$1,H27+K27+L27+M27+N27+O27+P27-R27-S27+T27-U27-Grunddata!$C$1,""))))</f>
        <v/>
      </c>
      <c r="W27" s="163" t="str">
        <f>IF(OR(Z27="! A",Z27="! B",Z27="! C",Z27="! D",Z27="! E",O27&gt;0,H27="",AND(WEEKDAY(A27,2)&gt;5,H27=""),AND(H27="",K27="",L27="",M27="",N27="",O27="",P27="",R27="",S27="",T27="",U27="")),"",IF(OR(WEEKDAY(A27,2)&gt;5,COUNTIF(Grunddata!$A$15:$A$18,A27)&gt;0),"",IF(H27+K27+L27+M27+N27+O27+P27-R27-S27+T27+U27=Grunddata!$C$1,"",IF(H27+K27+L27+M27+N27+O27+P27-R27-S27+T27-U27&lt;Grunddata!$C$1,H27+K27+L27+M27+N27+O27+P27-R27-S27+T27-U27-Grunddata!$C$1,""))))</f>
        <v/>
      </c>
      <c r="X27" s="202" t="str">
        <f>IF(AND(WEEKDAY(A27,2)&lt;6,COUNTIF(Grunddata!$A$15:$A$21,A27)&gt;0),$D$7,IF(H27="","",IF(V27="",IF(W27="",H27-R27-S27,H27-R27-S27-W27),H27-R27-S27-V27)))</f>
        <v/>
      </c>
      <c r="Y27" s="166"/>
      <c r="Z27" s="165" t="str">
        <f>IF(AND(WEEKDAY(A27,2)&gt;5,OR(U27&gt;0,T27&gt;0)),"! D",IF(O27&gt;0,IF(H27="",IF(COUNTA(L27:N27,P27:U27)&gt;0,"! C",""),"! C"),IF(H27="",IF(COUNTA(R27:S27),"! A",IF(K27+L27+M27+N27+P27+T27+U27&gt;Grunddata!$C$1,"! E","")),IF(AND(H27&gt;Grunddata!$C$1,K27="",L27="",M27="",N27="",O27="",P27=""),"",IF(H27+K27+L27+M27+N27+P27+T27+U27&gt;Grunddata!$C$1,"! B","")))))</f>
        <v/>
      </c>
      <c r="AA27" s="97" t="str">
        <f>IF(WEEKDAY(A27,2)=7,SUM(X21:X27)+SUM(K21:K27)+SUM(L21:L27)+SUM(M21:M27)+SUM(N21:N27)+COUNT(O21:O27)*Grunddata!$C$1+SUM(P21:P27)+SUM(R21:R27)+SUM(S21:S27)+SUM(T21:T27)+SUM(U21:U27)+SUM(V21:V27)+SUM(W21:W27),"")</f>
        <v/>
      </c>
      <c r="AB27" s="113" t="str">
        <f>IF(AND(WEEKDAY(A27,2)=7,SUM(R21:S27)&gt;0),IF(AA27-SUM(R21:S27)&lt;Grunddata!$C$2,"! G",""),"")</f>
        <v/>
      </c>
    </row>
    <row r="28" spans="1:34" s="113" customFormat="1" ht="30" customHeight="1" x14ac:dyDescent="0.25">
      <c r="A28" s="213">
        <v>42737</v>
      </c>
      <c r="B28" s="150">
        <f t="shared" si="1"/>
        <v>42737</v>
      </c>
      <c r="C28" s="151"/>
      <c r="D28" s="151"/>
      <c r="E28" s="151"/>
      <c r="F28" s="151"/>
      <c r="G28" s="153"/>
      <c r="H28" s="154" t="str">
        <f t="shared" si="0"/>
        <v/>
      </c>
      <c r="I28" s="155" t="str">
        <f>IF($J$1="Ja",IF(F28&gt;0,IF(AND(WEEKDAY(A28,2)&lt;6,COUNTIF(Grunddata!$A$14:$A$17,A28)=0,C28&gt;0),"BL",""),""),"")</f>
        <v/>
      </c>
      <c r="J28" s="156"/>
      <c r="K28" s="157"/>
      <c r="L28" s="152"/>
      <c r="M28" s="152"/>
      <c r="N28" s="152"/>
      <c r="O28" s="158"/>
      <c r="P28" s="159"/>
      <c r="Q28" s="160"/>
      <c r="R28" s="155"/>
      <c r="S28" s="159"/>
      <c r="T28" s="159"/>
      <c r="U28" s="159"/>
      <c r="V28" s="162" t="str">
        <f>IF(OR(Z28="! A",Z28="! B",Z28="! C",Z28="! D",Z28="! E",O28&gt;0,H28="",AND(WEEKDAY(A28,2)&gt;5,H28=""),AND(H28="",K28="",L28="",M28="",N28="",O28="",P28="",R28="",S28="",T28="",U28="")),"",IF(OR(WEEKDAY(A28,2)&gt;5,COUNTIF(Grunddata!$A$15:$A$18,A28)&gt;0),H28-R28-S28,IF(H28+K28+L28+M28+N28+O28+P28-R28-S28+T28+U28=Grunddata!$C$1,"",IF(H28+K28+L28+M28+N28+O28+P28-R28-S28+T28-U28&gt;Grunddata!$C$1,H28+K28+L28+M28+N28+O28+P28-R28-S28+T28-U28-Grunddata!$C$1,""))))</f>
        <v/>
      </c>
      <c r="W28" s="163" t="str">
        <f>IF(OR(Z28="! A",Z28="! B",Z28="! C",Z28="! D",Z28="! E",O28&gt;0,H28="",AND(WEEKDAY(A28,2)&gt;5,H28=""),AND(H28="",K28="",L28="",M28="",N28="",O28="",P28="",R28="",S28="",T28="",U28="")),"",IF(OR(WEEKDAY(A28,2)&gt;5,COUNTIF(Grunddata!$A$15:$A$18,A28)&gt;0),"",IF(H28+K28+L28+M28+N28+O28+P28-R28-S28+T28+U28=Grunddata!$C$1,"",IF(H28+K28+L28+M28+N28+O28+P28-R28-S28+T28-U28&lt;Grunddata!$C$1,H28+K28+L28+M28+N28+O28+P28-R28-S28+T28-U28-Grunddata!$C$1,""))))</f>
        <v/>
      </c>
      <c r="X28" s="202" t="str">
        <f>IF(AND(WEEKDAY(A28,2)&lt;6,COUNTIF(Grunddata!$A$15:$A$21,A28)&gt;0),$D$7,IF(H28="","",IF(V28="",IF(W28="",H28-R28-S28,H28-R28-S28-W28),H28-R28-S28-V28)))</f>
        <v/>
      </c>
      <c r="Y28" s="166"/>
      <c r="Z28" s="165" t="str">
        <f>IF(AND(WEEKDAY(A28,2)&gt;5,OR(U28&gt;0,T28&gt;0)),"! D",IF(O28&gt;0,IF(H28="",IF(COUNTA(L28:N28,P28:U28)&gt;0,"! C",""),"! C"),IF(H28="",IF(COUNTA(R28:S28),"! A",IF(K28+L28+M28+N28+P28+T28+U28&gt;Grunddata!$C$1,"! E","")),IF(AND(H28&gt;Grunddata!$C$1,K28="",L28="",M28="",N28="",O28="",P28=""),"",IF(H28+K28+L28+M28+N28+P28+T28+U28&gt;Grunddata!$C$1,"! B","")))))</f>
        <v/>
      </c>
      <c r="AA28" s="97">
        <f>IF(WEEKDAY(A28,2)=7,SUM(X22:X28)+SUM(K22:K28)+SUM(L22:L28)+SUM(M22:M28)+SUM(N22:N28)+COUNT(O22:O28)*Grunddata!$C$1+SUM(P22:P28)+SUM(R22:R28)+SUM(S22:S28)+SUM(T22:T28)+SUM(U22:U28)+SUM(V22:V28)+SUM(W22:W28),"")</f>
        <v>0.60416666666666663</v>
      </c>
      <c r="AB28" s="113" t="str">
        <f>IF(AND(WEEKDAY(A28,2)=7,SUM(R22:S28)&gt;0),IF(AA28-SUM(R22:S28)&lt;Grunddata!$C$2,"! G",""),"")</f>
        <v/>
      </c>
    </row>
    <row r="29" spans="1:34" s="113" customFormat="1" ht="30" customHeight="1" x14ac:dyDescent="0.25">
      <c r="A29" s="213">
        <v>42738</v>
      </c>
      <c r="B29" s="150">
        <f t="shared" si="1"/>
        <v>42738</v>
      </c>
      <c r="C29" s="151"/>
      <c r="D29" s="151"/>
      <c r="E29" s="151"/>
      <c r="F29" s="151"/>
      <c r="G29" s="153"/>
      <c r="H29" s="154" t="str">
        <f t="shared" si="0"/>
        <v/>
      </c>
      <c r="I29" s="155" t="str">
        <f>IF($J$1="Ja",IF(F29&gt;0,IF(AND(WEEKDAY(A29,2)&lt;6,COUNTIF(Grunddata!$A$14:$A$17,A29)=0,C29&gt;0),"BL",""),""),"")</f>
        <v/>
      </c>
      <c r="J29" s="156"/>
      <c r="K29" s="157"/>
      <c r="L29" s="152"/>
      <c r="M29" s="152"/>
      <c r="N29" s="152"/>
      <c r="O29" s="158"/>
      <c r="P29" s="159"/>
      <c r="Q29" s="160"/>
      <c r="R29" s="155"/>
      <c r="S29" s="159"/>
      <c r="T29" s="159"/>
      <c r="U29" s="159"/>
      <c r="V29" s="162" t="str">
        <f>IF(OR(Z29="! A",Z29="! B",Z29="! C",Z29="! D",Z29="! E",O29&gt;0,H29="",AND(WEEKDAY(A29,2)&gt;5,H29=""),AND(H29="",K29="",L29="",M29="",N29="",O29="",P29="",R29="",S29="",T29="",U29="")),"",IF(OR(WEEKDAY(A29,2)&gt;5,COUNTIF(Grunddata!$A$15:$A$18,A29)&gt;0),H29-R29-S29,IF(H29+K29+L29+M29+N29+O29+P29-R29-S29+T29+U29=Grunddata!$C$1,"",IF(H29+K29+L29+M29+N29+O29+P29-R29-S29+T29-U29&gt;Grunddata!$C$1,H29+K29+L29+M29+N29+O29+P29-R29-S29+T29-U29-Grunddata!$C$1,""))))</f>
        <v/>
      </c>
      <c r="W29" s="163" t="str">
        <f>IF(OR(Z29="! A",Z29="! B",Z29="! C",Z29="! D",Z29="! E",O29&gt;0,H29="",AND(WEEKDAY(A29,2)&gt;5,H29=""),AND(H29="",K29="",L29="",M29="",N29="",O29="",P29="",R29="",S29="",T29="",U29="")),"",IF(OR(WEEKDAY(A29,2)&gt;5,COUNTIF(Grunddata!$A$15:$A$18,A29)&gt;0),"",IF(H29+K29+L29+M29+N29+O29+P29-R29-S29+T29+U29=Grunddata!$C$1,"",IF(H29+K29+L29+M29+N29+O29+P29-R29-S29+T29-U29&lt;Grunddata!$C$1,H29+K29+L29+M29+N29+O29+P29-R29-S29+T29-U29-Grunddata!$C$1,""))))</f>
        <v/>
      </c>
      <c r="X29" s="202" t="str">
        <f>IF(AND(WEEKDAY(A29,2)&lt;6,COUNTIF(Grunddata!$A$15:$A$21,A29)&gt;0),$D$7,IF(H29="","",IF(V29="",IF(W29="",H29-R29-S29,H29-R29-S29-W29),H29-R29-S29-V29)))</f>
        <v/>
      </c>
      <c r="Y29" s="166"/>
      <c r="Z29" s="165" t="str">
        <f>IF(AND(WEEKDAY(A29,2)&gt;5,OR(U29&gt;0,T29&gt;0)),"! D",IF(O29&gt;0,IF(H29="",IF(COUNTA(L29:N29,P29:U29)&gt;0,"! C",""),"! C"),IF(H29="",IF(COUNTA(R29:S29),"! A",IF(K29+L29+M29+N29+P29+T29+U29&gt;Grunddata!$C$1,"! E","")),IF(AND(H29&gt;Grunddata!$C$1,K29="",L29="",M29="",N29="",O29="",P29=""),"",IF(H29+K29+L29+M29+N29+P29+T29+U29&gt;Grunddata!$C$1,"! B","")))))</f>
        <v/>
      </c>
      <c r="AA29" s="97" t="str">
        <f>IF(WEEKDAY(A29,2)=7,SUM(X23:X29)+SUM(K23:K29)+SUM(L23:L29)+SUM(M23:M29)+SUM(N23:N29)+COUNT(O23:O29)*Grunddata!$C$1+SUM(P23:P29)+SUM(R23:R29)+SUM(S23:S29)+SUM(T23:T29)+SUM(U23:U29)+SUM(V23:V29)+SUM(W23:W29),"")</f>
        <v/>
      </c>
      <c r="AB29" s="113" t="str">
        <f>IF(AND(WEEKDAY(A29,2)=7,SUM(R23:S29)&gt;0),IF(AA29-SUM(R23:S29)&lt;Grunddata!$C$2,"! G",""),"")</f>
        <v/>
      </c>
    </row>
    <row r="30" spans="1:34" s="113" customFormat="1" ht="30" customHeight="1" x14ac:dyDescent="0.25">
      <c r="A30" s="213">
        <v>42739</v>
      </c>
      <c r="B30" s="150">
        <f t="shared" si="1"/>
        <v>42739</v>
      </c>
      <c r="C30" s="151"/>
      <c r="D30" s="151"/>
      <c r="E30" s="151"/>
      <c r="F30" s="151"/>
      <c r="G30" s="153"/>
      <c r="H30" s="154" t="str">
        <f t="shared" si="0"/>
        <v/>
      </c>
      <c r="I30" s="155" t="str">
        <f>IF($J$1="Ja",IF(F30&gt;0,IF(AND(WEEKDAY(A30,2)&lt;6,COUNTIF(Grunddata!$A$14:$A$17,A30)=0,C30&gt;0),"BL",""),""),"")</f>
        <v/>
      </c>
      <c r="J30" s="156"/>
      <c r="K30" s="157"/>
      <c r="L30" s="152"/>
      <c r="M30" s="152"/>
      <c r="N30" s="152"/>
      <c r="O30" s="158"/>
      <c r="P30" s="159"/>
      <c r="Q30" s="160"/>
      <c r="R30" s="155"/>
      <c r="S30" s="159"/>
      <c r="T30" s="159"/>
      <c r="U30" s="159"/>
      <c r="V30" s="162" t="str">
        <f>IF(OR(Z30="! A",Z30="! B",Z30="! C",Z30="! D",Z30="! E",O30&gt;0,H30="",AND(WEEKDAY(A30,2)&gt;5,H30=""),AND(H30="",K30="",L30="",M30="",N30="",O30="",P30="",R30="",S30="",T30="",U30="")),"",IF(OR(WEEKDAY(A30,2)&gt;5,COUNTIF(Grunddata!$A$15:$A$18,A30)&gt;0),H30-R30-S30,IF(H30+K30+L30+M30+N30+O30+P30-R30-S30+T30+U30=Grunddata!$C$1,"",IF(H30+K30+L30+M30+N30+O30+P30-R30-S30+T30-U30&gt;Grunddata!$C$1,H30+K30+L30+M30+N30+O30+P30-R30-S30+T30-U30-Grunddata!$C$1,""))))</f>
        <v/>
      </c>
      <c r="W30" s="163" t="str">
        <f>IF(OR(Z30="! A",Z30="! B",Z30="! C",Z30="! D",Z30="! E",O30&gt;0,H30="",AND(WEEKDAY(A30,2)&gt;5,H30=""),AND(H30="",K30="",L30="",M30="",N30="",O30="",P30="",R30="",S30="",T30="",U30="")),"",IF(OR(WEEKDAY(A30,2)&gt;5,COUNTIF(Grunddata!$A$15:$A$18,A30)&gt;0),"",IF(H30+K30+L30+M30+N30+O30+P30-R30-S30+T30+U30=Grunddata!$C$1,"",IF(H30+K30+L30+M30+N30+O30+P30-R30-S30+T30-U30&lt;Grunddata!$C$1,H30+K30+L30+M30+N30+O30+P30-R30-S30+T30-U30-Grunddata!$C$1,""))))</f>
        <v/>
      </c>
      <c r="X30" s="202" t="str">
        <f>IF(AND(WEEKDAY(A30,2)&lt;6,COUNTIF(Grunddata!$A$15:$A$21,A30)&gt;0),$D$7,IF(H30="","",IF(V30="",IF(W30="",H30-R30-S30,H30-R30-S30-W30),H30-R30-S30-V30)))</f>
        <v/>
      </c>
      <c r="Y30" s="166"/>
      <c r="Z30" s="165" t="str">
        <f>IF(AND(WEEKDAY(A30,2)&gt;5,OR(U30&gt;0,T30&gt;0)),"! D",IF(O30&gt;0,IF(H30="",IF(COUNTA(L30:N30,P30:U30)&gt;0,"! C",""),"! C"),IF(H30="",IF(COUNTA(R30:S30),"! A",IF(K30+L30+M30+N30+P30+T30+U30&gt;Grunddata!$C$1,"! E","")),IF(AND(H30&gt;Grunddata!$C$1,K30="",L30="",M30="",N30="",O30="",P30=""),"",IF(H30+K30+L30+M30+N30+P30+T30+U30&gt;Grunddata!$C$1,"! B","")))))</f>
        <v/>
      </c>
      <c r="AA30" s="97" t="str">
        <f>IF(WEEKDAY(A30,2)=7,SUM(X24:X30)+SUM(K24:K30)+SUM(L24:L30)+SUM(M24:M30)+SUM(N24:N30)+COUNT(O24:O30)*Grunddata!$C$1+SUM(P24:P30)+SUM(R24:R30)+SUM(S24:S30)+SUM(T24:T30)+SUM(U24:U30)+SUM(V24:V30)+SUM(W24:W30),"")</f>
        <v/>
      </c>
      <c r="AB30" s="113" t="str">
        <f>IF(AND(WEEKDAY(A30,2)=7,SUM(R24:S30)&gt;0),IF(AA30-SUM(R24:S30)&lt;Grunddata!$C$2,"! G",""),"")</f>
        <v/>
      </c>
    </row>
    <row r="31" spans="1:34" s="113" customFormat="1" ht="30" customHeight="1" x14ac:dyDescent="0.25">
      <c r="A31" s="213">
        <v>42740</v>
      </c>
      <c r="B31" s="150">
        <f t="shared" si="1"/>
        <v>42740</v>
      </c>
      <c r="C31" s="151"/>
      <c r="D31" s="151"/>
      <c r="E31" s="151"/>
      <c r="F31" s="151"/>
      <c r="G31" s="153"/>
      <c r="H31" s="154" t="str">
        <f t="shared" si="0"/>
        <v/>
      </c>
      <c r="I31" s="155" t="str">
        <f>IF($J$1="Ja",IF(F31&gt;0,IF(AND(WEEKDAY(A31,2)&lt;6,COUNTIF(Grunddata!$A$14:$A$17,A31)=0,C31&gt;0),"BL",""),""),"")</f>
        <v/>
      </c>
      <c r="J31" s="156"/>
      <c r="K31" s="157"/>
      <c r="L31" s="152"/>
      <c r="M31" s="152"/>
      <c r="N31" s="152"/>
      <c r="O31" s="158"/>
      <c r="P31" s="159"/>
      <c r="Q31" s="160"/>
      <c r="R31" s="155"/>
      <c r="S31" s="159"/>
      <c r="T31" s="159"/>
      <c r="U31" s="159"/>
      <c r="V31" s="162" t="str">
        <f>IF(OR(Z31="! A",Z31="! B",Z31="! C",Z31="! D",Z31="! E",O31&gt;0,H31="",AND(WEEKDAY(A31,2)&gt;5,H31=""),AND(H31="",K31="",L31="",M31="",N31="",O31="",P31="",R31="",S31="",T31="",U31="")),"",IF(OR(WEEKDAY(A31,2)&gt;5,COUNTIF(Grunddata!$A$15:$A$18,A31)&gt;0),H31-R31-S31,IF(H31+K31+L31+M31+N31+O31+P31-R31-S31+T31+U31=Grunddata!$C$1,"",IF(H31+K31+L31+M31+N31+O31+P31-R31-S31+T31-U31&gt;Grunddata!$C$1,H31+K31+L31+M31+N31+O31+P31-R31-S31+T31-U31-Grunddata!$C$1,""))))</f>
        <v/>
      </c>
      <c r="W31" s="163" t="str">
        <f>IF(OR(Z31="! A",Z31="! B",Z31="! C",Z31="! D",Z31="! E",O31&gt;0,H31="",AND(WEEKDAY(A31,2)&gt;5,H31=""),AND(H31="",K31="",L31="",M31="",N31="",O31="",P31="",R31="",S31="",T31="",U31="")),"",IF(OR(WEEKDAY(A31,2)&gt;5,COUNTIF(Grunddata!$A$15:$A$18,A31)&gt;0),"",IF(H31+K31+L31+M31+N31+O31+P31-R31-S31+T31+U31=Grunddata!$C$1,"",IF(H31+K31+L31+M31+N31+O31+P31-R31-S31+T31-U31&lt;Grunddata!$C$1,H31+K31+L31+M31+N31+O31+P31-R31-S31+T31-U31-Grunddata!$C$1,""))))</f>
        <v/>
      </c>
      <c r="X31" s="202">
        <f>IF(AND(WEEKDAY(A31,2)&lt;6,COUNTIF(Grunddata!$A$15:$A$21,A31)&gt;0),$D$7,IF(H31="","",IF(V31="",IF(W31="",H31-R31-S31,H31-R31-S31-W31),H31-R31-S31-V31)))</f>
        <v>0.30208333333333331</v>
      </c>
      <c r="Y31" s="166"/>
      <c r="Z31" s="165" t="str">
        <f>IF(AND(WEEKDAY(A31,2)&gt;5,OR(U31&gt;0,T31&gt;0)),"! D",IF(O31&gt;0,IF(H31="",IF(COUNTA(L31:N31,P31:U31)&gt;0,"! C",""),"! C"),IF(H31="",IF(COUNTA(R31:S31),"! A",IF(K31+L31+M31+N31+P31+T31+U31&gt;Grunddata!$C$1,"! E","")),IF(AND(H31&gt;Grunddata!$C$1,K31="",L31="",M31="",N31="",O31="",P31=""),"",IF(H31+K31+L31+M31+N31+P31+T31+U31&gt;Grunddata!$C$1,"! B","")))))</f>
        <v/>
      </c>
      <c r="AA31" s="97" t="str">
        <f>IF(WEEKDAY(A31,2)=7,SUM(X25:X31)+SUM(K25:K31)+SUM(L25:L31)+SUM(M25:M31)+SUM(N25:N31)+COUNT(O25:O31)*Grunddata!$C$1+SUM(P25:P31)+SUM(R25:R31)+SUM(S25:S31)+SUM(T25:T31)+SUM(U25:U31)+SUM(V25:V31)+SUM(W25:W31),"")</f>
        <v/>
      </c>
      <c r="AB31" s="113" t="str">
        <f>IF(AND(WEEKDAY(A31,2)=7,SUM(R25:S31)&gt;0),IF(AA31-SUM(R25:S31)&lt;Grunddata!$C$2,"! G",""),"")</f>
        <v/>
      </c>
    </row>
    <row r="32" spans="1:34" s="113" customFormat="1" ht="30" customHeight="1" x14ac:dyDescent="0.25">
      <c r="A32" s="213">
        <v>42741</v>
      </c>
      <c r="B32" s="150">
        <f t="shared" si="1"/>
        <v>42741</v>
      </c>
      <c r="C32" s="151"/>
      <c r="D32" s="151"/>
      <c r="E32" s="151"/>
      <c r="F32" s="151"/>
      <c r="G32" s="153"/>
      <c r="H32" s="154" t="str">
        <f t="shared" si="0"/>
        <v/>
      </c>
      <c r="I32" s="155" t="str">
        <f>IF($J$1="Ja",IF(F32&gt;0,IF(AND(WEEKDAY(A32,2)&lt;6,COUNTIF(Grunddata!$A$14:$A$17,A32)=0,C32&gt;0),"BL",""),""),"")</f>
        <v/>
      </c>
      <c r="J32" s="156"/>
      <c r="K32" s="157"/>
      <c r="L32" s="152"/>
      <c r="M32" s="152"/>
      <c r="N32" s="152"/>
      <c r="O32" s="158"/>
      <c r="P32" s="159"/>
      <c r="Q32" s="160"/>
      <c r="R32" s="155"/>
      <c r="S32" s="159"/>
      <c r="T32" s="159"/>
      <c r="U32" s="159"/>
      <c r="V32" s="162" t="str">
        <f>IF(OR(Z32="! A",Z32="! B",Z32="! C",Z32="! D",Z32="! E",O32&gt;0,H32="",AND(WEEKDAY(A32,2)&gt;5,H32=""),AND(H32="",K32="",L32="",M32="",N32="",O32="",P32="",R32="",S32="",T32="",U32="")),"",IF(OR(WEEKDAY(A32,2)&gt;5,COUNTIF(Grunddata!$A$15:$A$18,A32)&gt;0),H32-R32-S32,IF(H32+K32+L32+M32+N32+O32+P32-R32-S32+T32+U32=Grunddata!$C$1,"",IF(H32+K32+L32+M32+N32+O32+P32-R32-S32+T32-U32&gt;Grunddata!$C$1,H32+K32+L32+M32+N32+O32+P32-R32-S32+T32-U32-Grunddata!$C$1,""))))</f>
        <v/>
      </c>
      <c r="W32" s="163" t="str">
        <f>IF(OR(Z32="! A",Z32="! B",Z32="! C",Z32="! D",Z32="! E",O32&gt;0,H32="",AND(WEEKDAY(A32,2)&gt;5,H32=""),AND(H32="",K32="",L32="",M32="",N32="",O32="",P32="",R32="",S32="",T32="",U32="")),"",IF(OR(WEEKDAY(A32,2)&gt;5,COUNTIF(Grunddata!$A$15:$A$18,A32)&gt;0),"",IF(H32+K32+L32+M32+N32+O32+P32-R32-S32+T32+U32=Grunddata!$C$1,"",IF(H32+K32+L32+M32+N32+O32+P32-R32-S32+T32-U32&lt;Grunddata!$C$1,H32+K32+L32+M32+N32+O32+P32-R32-S32+T32-U32-Grunddata!$C$1,""))))</f>
        <v/>
      </c>
      <c r="X32" s="202" t="str">
        <f>IF(AND(WEEKDAY(A32,2)&lt;6,COUNTIF(Grunddata!$A$15:$A$21,A32)&gt;0),$D$7,IF(H32="","",IF(V32="",IF(W32="",H32-R32-S32,H32-R32-S32-W32),H32-R32-S32-V32)))</f>
        <v/>
      </c>
      <c r="Y32" s="166"/>
      <c r="Z32" s="165" t="str">
        <f>IF(AND(WEEKDAY(A32,2)&gt;5,OR(U32&gt;0,T32&gt;0)),"! D",IF(O32&gt;0,IF(H32="",IF(COUNTA(L32:N32,P32:U32)&gt;0,"! C",""),"! C"),IF(H32="",IF(COUNTA(R32:S32),"! A",IF(K32+L32+M32+N32+P32+T32+U32&gt;Grunddata!$C$1,"! E","")),IF(AND(H32&gt;Grunddata!$C$1,K32="",L32="",M32="",N32="",O32="",P32=""),"",IF(H32+K32+L32+M32+N32+P32+T32+U32&gt;Grunddata!$C$1,"! B","")))))</f>
        <v/>
      </c>
      <c r="AA32" s="97" t="str">
        <f>IF(WEEKDAY(A32,2)=7,SUM(X26:X32)+SUM(K26:K32)+SUM(L26:L32)+SUM(M26:M32)+SUM(N26:N32)+COUNT(O26:O32)*Grunddata!$C$1+SUM(P26:P32)+SUM(R26:R32)+SUM(S26:S32)+SUM(T26:T32)+SUM(U26:U32)+SUM(V26:V32)+SUM(W26:W32),"")</f>
        <v/>
      </c>
      <c r="AB32" s="113" t="str">
        <f>IF(AND(WEEKDAY(A32,2)=7,SUM(R26:S32)&gt;0),IF(AA32-SUM(R26:S32)&lt;Grunddata!$C$2,"! G",""),"")</f>
        <v/>
      </c>
    </row>
    <row r="33" spans="1:29" s="113" customFormat="1" ht="30" customHeight="1" x14ac:dyDescent="0.25">
      <c r="A33" s="213">
        <v>42742</v>
      </c>
      <c r="B33" s="150">
        <f t="shared" si="1"/>
        <v>42742</v>
      </c>
      <c r="C33" s="151"/>
      <c r="D33" s="151"/>
      <c r="E33" s="151"/>
      <c r="F33" s="151"/>
      <c r="G33" s="153"/>
      <c r="H33" s="154" t="str">
        <f t="shared" si="0"/>
        <v/>
      </c>
      <c r="I33" s="155" t="str">
        <f>IF($J$1="Ja",IF(F33&gt;0,IF(AND(WEEKDAY(A33,2)&lt;6,COUNTIF(Grunddata!$A$14:$A$17,A33)=0,C33&gt;0),"BL",""),""),"")</f>
        <v/>
      </c>
      <c r="J33" s="156"/>
      <c r="K33" s="157"/>
      <c r="L33" s="152"/>
      <c r="M33" s="152"/>
      <c r="N33" s="152"/>
      <c r="O33" s="158"/>
      <c r="P33" s="159"/>
      <c r="Q33" s="160"/>
      <c r="R33" s="155"/>
      <c r="S33" s="159"/>
      <c r="T33" s="159"/>
      <c r="U33" s="159"/>
      <c r="V33" s="162" t="str">
        <f>IF(OR(Z33="! A",Z33="! B",Z33="! C",Z33="! D",Z33="! E",O33&gt;0,H33="",AND(WEEKDAY(A33,2)&gt;5,H33=""),AND(H33="",K33="",L33="",M33="",N33="",O33="",P33="",R33="",S33="",T33="",U33="")),"",IF(OR(WEEKDAY(A33,2)&gt;5,COUNTIF(Grunddata!$A$15:$A$18,A33)&gt;0),H33-R33-S33,IF(H33+K33+L33+M33+N33+O33+P33-R33-S33+T33+U33=Grunddata!$C$1,"",IF(H33+K33+L33+M33+N33+O33+P33-R33-S33+T33-U33&gt;Grunddata!$C$1,H33+K33+L33+M33+N33+O33+P33-R33-S33+T33-U33-Grunddata!$C$1,""))))</f>
        <v/>
      </c>
      <c r="W33" s="163" t="str">
        <f>IF(OR(Z33="! A",Z33="! B",Z33="! C",Z33="! D",Z33="! E",O33&gt;0,H33="",AND(WEEKDAY(A33,2)&gt;5,H33=""),AND(H33="",K33="",L33="",M33="",N33="",O33="",P33="",R33="",S33="",T33="",U33="")),"",IF(OR(WEEKDAY(A33,2)&gt;5,COUNTIF(Grunddata!$A$15:$A$18,A33)&gt;0),"",IF(H33+K33+L33+M33+N33+O33+P33-R33-S33+T33+U33=Grunddata!$C$1,"",IF(H33+K33+L33+M33+N33+O33+P33-R33-S33+T33-U33&lt;Grunddata!$C$1,H33+K33+L33+M33+N33+O33+P33-R33-S33+T33-U33-Grunddata!$C$1,""))))</f>
        <v/>
      </c>
      <c r="X33" s="202" t="str">
        <f>IF(AND(WEEKDAY(A33,2)&lt;6,COUNTIF(Grunddata!$A$15:$A$21,A33)&gt;0),$D$7,IF(H33="","",IF(V33="",IF(W33="",H33-R33-S33,H33-R33-S33-W33),H33-R33-S33-V33)))</f>
        <v/>
      </c>
      <c r="Y33" s="166"/>
      <c r="Z33" s="165" t="str">
        <f>IF(AND(WEEKDAY(A33,2)&gt;5,OR(U33&gt;0,T33&gt;0)),"! D",IF(O33&gt;0,IF(H33="",IF(COUNTA(L33:N33,P33:U33)&gt;0,"! C",""),"! C"),IF(H33="",IF(COUNTA(R33:S33),"! A",IF(K33+L33+M33+N33+P33+T33+U33&gt;Grunddata!$C$1,"! E","")),IF(AND(H33&gt;Grunddata!$C$1,K33="",L33="",M33="",N33="",O33="",P33=""),"",IF(H33+K33+L33+M33+N33+P33+T33+U33&gt;Grunddata!$C$1,"! B","")))))</f>
        <v/>
      </c>
      <c r="AA33" s="97" t="str">
        <f>IF(WEEKDAY(A33,2)=7,SUM(X27:X33)+SUM(K27:K33)+SUM(L27:L33)+SUM(M27:M33)+SUM(N27:N33)+COUNT(O27:O33)*Grunddata!$C$1+SUM(P27:P33)+SUM(R27:R33)+SUM(S27:S33)+SUM(T27:T33)+SUM(U27:U33)+SUM(V27:V33)+SUM(W27:W33),"")</f>
        <v/>
      </c>
      <c r="AB33" s="113" t="str">
        <f>IF(AND(WEEKDAY(A33,2)=7,SUM(R27:S33)&gt;0),IF(AA33-SUM(R27:S33)&lt;Grunddata!$C$2,"! G",""),"")</f>
        <v/>
      </c>
    </row>
    <row r="34" spans="1:29" s="113" customFormat="1" ht="30" customHeight="1" x14ac:dyDescent="0.25">
      <c r="A34" s="213">
        <v>42743</v>
      </c>
      <c r="B34" s="150">
        <f t="shared" si="1"/>
        <v>42743</v>
      </c>
      <c r="C34" s="151"/>
      <c r="D34" s="151"/>
      <c r="E34" s="151"/>
      <c r="F34" s="151"/>
      <c r="G34" s="153"/>
      <c r="H34" s="154" t="str">
        <f t="shared" si="0"/>
        <v/>
      </c>
      <c r="I34" s="155" t="str">
        <f>IF($J$1="Ja",IF(F34&gt;0,IF(AND(WEEKDAY(A34,2)&lt;6,COUNTIF(Grunddata!$A$14:$A$17,A34)=0,C34&gt;0),"BL",""),""),"")</f>
        <v/>
      </c>
      <c r="J34" s="156"/>
      <c r="K34" s="157"/>
      <c r="L34" s="152"/>
      <c r="M34" s="152"/>
      <c r="N34" s="152"/>
      <c r="O34" s="158"/>
      <c r="P34" s="159"/>
      <c r="Q34" s="160"/>
      <c r="R34" s="155"/>
      <c r="S34" s="159"/>
      <c r="T34" s="159"/>
      <c r="U34" s="159"/>
      <c r="V34" s="162" t="str">
        <f>IF(OR(Z34="! A",Z34="! B",Z34="! C",Z34="! D",Z34="! E",O34&gt;0,H34="",AND(WEEKDAY(A34,2)&gt;5,H34=""),AND(H34="",K34="",L34="",M34="",N34="",O34="",P34="",R34="",S34="",T34="",U34="")),"",IF(OR(WEEKDAY(A34,2)&gt;5,COUNTIF(Grunddata!$A$15:$A$18,A34)&gt;0),H34-R34-S34,IF(H34+K34+L34+M34+N34+O34+P34-R34-S34+T34+U34=Grunddata!$C$1,"",IF(H34+K34+L34+M34+N34+O34+P34-R34-S34+T34-U34&gt;Grunddata!$C$1,H34+K34+L34+M34+N34+O34+P34-R34-S34+T34-U34-Grunddata!$C$1,""))))</f>
        <v/>
      </c>
      <c r="W34" s="163" t="str">
        <f>IF(OR(Z34="! A",Z34="! B",Z34="! C",Z34="! D",Z34="! E",O34&gt;0,H34="",AND(WEEKDAY(A34,2)&gt;5,H34=""),AND(H34="",K34="",L34="",M34="",N34="",O34="",P34="",R34="",S34="",T34="",U34="")),"",IF(OR(WEEKDAY(A34,2)&gt;5,COUNTIF(Grunddata!$A$15:$A$18,A34)&gt;0),"",IF(H34+K34+L34+M34+N34+O34+P34-R34-S34+T34+U34=Grunddata!$C$1,"",IF(H34+K34+L34+M34+N34+O34+P34-R34-S34+T34-U34&lt;Grunddata!$C$1,H34+K34+L34+M34+N34+O34+P34-R34-S34+T34-U34-Grunddata!$C$1,""))))</f>
        <v/>
      </c>
      <c r="X34" s="202" t="str">
        <f>IF(AND(WEEKDAY(A34,2)&lt;6,COUNTIF(Grunddata!$A$15:$A$21,A34)&gt;0),$D$7,IF(H34="","",IF(V34="",IF(W34="",H34-R34-S34,H34-R34-S34-W34),H34-R34-S34-V34)))</f>
        <v/>
      </c>
      <c r="Y34" s="166"/>
      <c r="Z34" s="165" t="str">
        <f>IF(AND(WEEKDAY(A34,2)&gt;5,OR(U34&gt;0,T34&gt;0)),"! D",IF(O34&gt;0,IF(H34="",IF(COUNTA(L34:N34,P34:U34)&gt;0,"! C",""),"! C"),IF(H34="",IF(COUNTA(R34:S34),"! A",IF(K34+L34+M34+N34+P34+T34+U34&gt;Grunddata!$C$1,"! E","")),IF(AND(H34&gt;Grunddata!$C$1,K34="",L34="",M34="",N34="",O34="",P34=""),"",IF(H34+K34+L34+M34+N34+P34+T34+U34&gt;Grunddata!$C$1,"! B","")))))</f>
        <v/>
      </c>
      <c r="AA34" s="97" t="str">
        <f>IF(WEEKDAY(A34,2)=7,SUM(X28:X34)+SUM(K28:K34)+SUM(L28:L34)+SUM(M28:M34)+SUM(N28:N34)+COUNT(O28:O34)*Grunddata!$C$1+SUM(P28:P34)+SUM(R28:R34)+SUM(S28:S34)+SUM(T28:T34)+SUM(U28:U34)+SUM(V28:V34)+SUM(W28:W34),"")</f>
        <v/>
      </c>
      <c r="AB34" s="113" t="str">
        <f>IF(AND(WEEKDAY(A34,2)=7,SUM(R28:S34)&gt;0),IF(AA34-SUM(R28:S34)&lt;Grunddata!$C$2,"! G",""),"")</f>
        <v/>
      </c>
    </row>
    <row r="35" spans="1:29" s="113" customFormat="1" ht="30" customHeight="1" x14ac:dyDescent="0.25">
      <c r="A35" s="213">
        <v>42744</v>
      </c>
      <c r="B35" s="150">
        <f t="shared" si="1"/>
        <v>42744</v>
      </c>
      <c r="C35" s="151"/>
      <c r="D35" s="151"/>
      <c r="E35" s="151"/>
      <c r="F35" s="151"/>
      <c r="G35" s="153"/>
      <c r="H35" s="154" t="str">
        <f t="shared" si="0"/>
        <v/>
      </c>
      <c r="I35" s="155" t="str">
        <f>IF($J$1="Ja",IF(F35&gt;0,IF(AND(WEEKDAY(A35,2)&lt;6,COUNTIF(Grunddata!$A$14:$A$17,A35)=0,C35&gt;0),"BL",""),""),"")</f>
        <v/>
      </c>
      <c r="J35" s="156"/>
      <c r="K35" s="157"/>
      <c r="L35" s="152"/>
      <c r="M35" s="152"/>
      <c r="N35" s="152"/>
      <c r="O35" s="158"/>
      <c r="P35" s="159"/>
      <c r="Q35" s="160"/>
      <c r="R35" s="155"/>
      <c r="S35" s="159"/>
      <c r="T35" s="159"/>
      <c r="U35" s="159"/>
      <c r="V35" s="162" t="str">
        <f>IF(OR(Z35="! A",Z35="! B",Z35="! C",Z35="! D",Z35="! E",O35&gt;0,H35="",AND(WEEKDAY(A35,2)&gt;5,H35=""),AND(H35="",K35="",L35="",M35="",N35="",O35="",P35="",R35="",S35="",T35="",U35="")),"",IF(OR(WEEKDAY(A35,2)&gt;5,COUNTIF(Grunddata!$A$15:$A$18,A35)&gt;0),H35-R35-S35,IF(H35+K35+L35+M35+N35+O35+P35-R35-S35+T35+U35=Grunddata!$C$1,"",IF(H35+K35+L35+M35+N35+O35+P35-R35-S35+T35-U35&gt;Grunddata!$C$1,H35+K35+L35+M35+N35+O35+P35-R35-S35+T35-U35-Grunddata!$C$1,""))))</f>
        <v/>
      </c>
      <c r="W35" s="163" t="str">
        <f>IF(OR(Z35="! A",Z35="! B",Z35="! C",Z35="! D",Z35="! E",O35&gt;0,H35="",AND(WEEKDAY(A35,2)&gt;5,H35=""),AND(H35="",K35="",L35="",M35="",N35="",O35="",P35="",R35="",S35="",T35="",U35="")),"",IF(OR(WEEKDAY(A35,2)&gt;5,COUNTIF(Grunddata!$A$15:$A$18,A35)&gt;0),"",IF(H35+K35+L35+M35+N35+O35+P35-R35-S35+T35+U35=Grunddata!$C$1,"",IF(H35+K35+L35+M35+N35+O35+P35-R35-S35+T35-U35&lt;Grunddata!$C$1,H35+K35+L35+M35+N35+O35+P35-R35-S35+T35-U35-Grunddata!$C$1,""))))</f>
        <v/>
      </c>
      <c r="X35" s="202" t="str">
        <f>IF(AND(WEEKDAY(A35,2)&lt;6,COUNTIF(Grunddata!$A$15:$A$21,A35)&gt;0),$D$7,IF(H35="","",IF(V35="",IF(W35="",H35-R35-S35,H35-R35-S35-W35),H35-R35-S35-V35)))</f>
        <v/>
      </c>
      <c r="Y35" s="166"/>
      <c r="Z35" s="165" t="str">
        <f>IF(AND(WEEKDAY(A35,2)&gt;5,OR(U35&gt;0,T35&gt;0)),"! D",IF(O35&gt;0,IF(H35="",IF(COUNTA(L35:N35,P35:U35)&gt;0,"! C",""),"! C"),IF(H35="",IF(COUNTA(R35:S35),"! A",IF(K35+L35+M35+N35+P35+T35+U35&gt;Grunddata!$C$1,"! E","")),IF(AND(H35&gt;Grunddata!$C$1,K35="",L35="",M35="",N35="",O35="",P35=""),"",IF(H35+K35+L35+M35+N35+P35+T35+U35&gt;Grunddata!$C$1,"! B","")))))</f>
        <v/>
      </c>
      <c r="AA35" s="97">
        <f>IF(WEEKDAY(A35,2)=7,SUM(X29:X35)+SUM(K29:K35)+SUM(L29:L35)+SUM(M29:M35)+SUM(N29:N35)+COUNT(O29:O35)*Grunddata!$C$1+SUM(P29:P35)+SUM(R29:R35)+SUM(S29:S35)+SUM(T29:T35)+SUM(U29:U35)+SUM(V29:V35)+SUM(W29:W35),"")</f>
        <v>0.30208333333333331</v>
      </c>
      <c r="AB35" s="113" t="str">
        <f>IF(AND(WEEKDAY(A35,2)=7,SUM(R29:S35)&gt;0),IF(AA35-SUM(R29:S35)&lt;Grunddata!$C$2,"! G",""),"")</f>
        <v/>
      </c>
    </row>
    <row r="36" spans="1:29" s="113" customFormat="1" ht="30" customHeight="1" x14ac:dyDescent="0.25">
      <c r="A36" s="213">
        <v>42745</v>
      </c>
      <c r="B36" s="150">
        <f t="shared" si="1"/>
        <v>42745</v>
      </c>
      <c r="C36" s="151"/>
      <c r="D36" s="151"/>
      <c r="E36" s="151"/>
      <c r="F36" s="151"/>
      <c r="G36" s="153"/>
      <c r="H36" s="154" t="str">
        <f t="shared" si="0"/>
        <v/>
      </c>
      <c r="I36" s="155" t="str">
        <f>IF($J$1="Ja",IF(F36&gt;0,IF(AND(WEEKDAY(A36,2)&lt;6,COUNTIF(Grunddata!$A$14:$A$17,A36)=0,C36&gt;0),"BL",""),""),"")</f>
        <v/>
      </c>
      <c r="J36" s="156"/>
      <c r="K36" s="157"/>
      <c r="L36" s="152"/>
      <c r="M36" s="152"/>
      <c r="N36" s="152"/>
      <c r="O36" s="158"/>
      <c r="P36" s="159"/>
      <c r="Q36" s="160"/>
      <c r="R36" s="155"/>
      <c r="S36" s="159"/>
      <c r="T36" s="159"/>
      <c r="U36" s="159"/>
      <c r="V36" s="162" t="str">
        <f>IF(OR(Z36="! A",Z36="! B",Z36="! C",Z36="! D",Z36="! E",O36&gt;0,H36="",AND(WEEKDAY(A36,2)&gt;5,H36=""),AND(H36="",K36="",L36="",M36="",N36="",O36="",P36="",R36="",S36="",T36="",U36="")),"",IF(OR(WEEKDAY(A36,2)&gt;5,COUNTIF(Grunddata!$A$15:$A$18,A36)&gt;0),H36-R36-S36,IF(H36+K36+L36+M36+N36+O36+P36-R36-S36+T36+U36=Grunddata!$C$1,"",IF(H36+K36+L36+M36+N36+O36+P36-R36-S36+T36-U36&gt;Grunddata!$C$1,H36+K36+L36+M36+N36+O36+P36-R36-S36+T36-U36-Grunddata!$C$1,""))))</f>
        <v/>
      </c>
      <c r="W36" s="163" t="str">
        <f>IF(OR(Z36="! A",Z36="! B",Z36="! C",Z36="! D",Z36="! E",O36&gt;0,H36="",AND(WEEKDAY(A36,2)&gt;5,H36=""),AND(H36="",K36="",L36="",M36="",N36="",O36="",P36="",R36="",S36="",T36="",U36="")),"",IF(OR(WEEKDAY(A36,2)&gt;5,COUNTIF(Grunddata!$A$15:$A$18,A36)&gt;0),"",IF(H36+K36+L36+M36+N36+O36+P36-R36-S36+T36+U36=Grunddata!$C$1,"",IF(H36+K36+L36+M36+N36+O36+P36-R36-S36+T36-U36&lt;Grunddata!$C$1,H36+K36+L36+M36+N36+O36+P36-R36-S36+T36-U36-Grunddata!$C$1,""))))</f>
        <v/>
      </c>
      <c r="X36" s="202" t="str">
        <f>IF(AND(WEEKDAY(A36,2)&lt;6,COUNTIF(Grunddata!$A$15:$A$21,A36)&gt;0),$D$7,IF(H36="","",IF(V36="",IF(W36="",H36-R36-S36,H36-R36-S36-W36),H36-R36-S36-V36)))</f>
        <v/>
      </c>
      <c r="Y36" s="166"/>
      <c r="Z36" s="165" t="str">
        <f>IF(AND(WEEKDAY(A36,2)&gt;5,OR(U36&gt;0,T36&gt;0)),"! D",IF(O36&gt;0,IF(H36="",IF(COUNTA(L36:N36,P36:U36)&gt;0,"! C",""),"! C"),IF(H36="",IF(COUNTA(R36:S36),"! A",IF(K36+L36+M36+N36+P36+T36+U36&gt;Grunddata!$C$1,"! E","")),IF(AND(H36&gt;Grunddata!$C$1,K36="",L36="",M36="",N36="",O36="",P36=""),"",IF(H36+K36+L36+M36+N36+P36+T36+U36&gt;Grunddata!$C$1,"! B","")))))</f>
        <v/>
      </c>
      <c r="AA36" s="97" t="str">
        <f>IF(WEEKDAY(A36,2)=7,SUM(X30:X36)+SUM(K30:K36)+SUM(L30:L36)+SUM(M30:M36)+SUM(N30:N36)+COUNT(O30:O36)*Grunddata!$C$1+SUM(P30:P36)+SUM(R30:R36)+SUM(S30:S36)+SUM(T30:T36)+SUM(U30:U36)+SUM(V30:V36)+SUM(W30:W36),"")</f>
        <v/>
      </c>
      <c r="AB36" s="113" t="str">
        <f>IF(AND(WEEKDAY(A36,2)=7,SUM(R30:S36)&gt;0),IF(AA36-SUM(R30:S36)&lt;Grunddata!$C$2,"! G",""),"")</f>
        <v/>
      </c>
    </row>
    <row r="37" spans="1:29" s="113" customFormat="1" ht="30" customHeight="1" x14ac:dyDescent="0.25">
      <c r="A37" s="213">
        <v>42746</v>
      </c>
      <c r="B37" s="150">
        <f t="shared" si="1"/>
        <v>42746</v>
      </c>
      <c r="C37" s="151"/>
      <c r="D37" s="151"/>
      <c r="E37" s="151"/>
      <c r="F37" s="151"/>
      <c r="G37" s="153"/>
      <c r="H37" s="154" t="str">
        <f t="shared" si="0"/>
        <v/>
      </c>
      <c r="I37" s="155" t="str">
        <f>IF($J$1="Ja",IF(F37&gt;0,IF(AND(WEEKDAY(A37,2)&lt;6,COUNTIF(Grunddata!$A$14:$A$17,A37)=0,C37&gt;0),"BL",""),""),"")</f>
        <v/>
      </c>
      <c r="J37" s="156"/>
      <c r="K37" s="157"/>
      <c r="L37" s="152"/>
      <c r="M37" s="152"/>
      <c r="N37" s="152"/>
      <c r="O37" s="158"/>
      <c r="P37" s="159"/>
      <c r="Q37" s="160"/>
      <c r="R37" s="155"/>
      <c r="S37" s="159"/>
      <c r="T37" s="159"/>
      <c r="U37" s="159"/>
      <c r="V37" s="162" t="str">
        <f>IF(OR(Z37="! A",Z37="! B",Z37="! C",Z37="! D",Z37="! E",O37&gt;0,H37="",AND(WEEKDAY(A37,2)&gt;5,H37=""),AND(H37="",K37="",L37="",M37="",N37="",O37="",P37="",R37="",S37="",T37="",U37="")),"",IF(OR(WEEKDAY(A37,2)&gt;5,COUNTIF(Grunddata!$A$15:$A$18,A37)&gt;0),H37-R37-S37,IF(H37+K37+L37+M37+N37+O37+P37-R37-S37+T37+U37=Grunddata!$C$1,"",IF(H37+K37+L37+M37+N37+O37+P37-R37-S37+T37-U37&gt;Grunddata!$C$1,H37+K37+L37+M37+N37+O37+P37-R37-S37+T37-U37-Grunddata!$C$1,""))))</f>
        <v/>
      </c>
      <c r="W37" s="163" t="str">
        <f>IF(OR(Z37="! A",Z37="! B",Z37="! C",Z37="! D",Z37="! E",O37&gt;0,H37="",AND(WEEKDAY(A37,2)&gt;5,H37=""),AND(H37="",K37="",L37="",M37="",N37="",O37="",P37="",R37="",S37="",T37="",U37="")),"",IF(OR(WEEKDAY(A37,2)&gt;5,COUNTIF(Grunddata!$A$15:$A$18,A37)&gt;0),"",IF(H37+K37+L37+M37+N37+O37+P37-R37-S37+T37+U37=Grunddata!$C$1,"",IF(H37+K37+L37+M37+N37+O37+P37-R37-S37+T37-U37&lt;Grunddata!$C$1,H37+K37+L37+M37+N37+O37+P37-R37-S37+T37-U37-Grunddata!$C$1,""))))</f>
        <v/>
      </c>
      <c r="X37" s="202" t="str">
        <f>IF(AND(WEEKDAY(A37,2)&lt;6,COUNTIF(Grunddata!$A$15:$A$21,A37)&gt;0),$D$7,IF(H37="","",IF(V37="",IF(W37="",H37-R37-S37,H37-R37-S37-W37),H37-R37-S37-V37)))</f>
        <v/>
      </c>
      <c r="Y37" s="166"/>
      <c r="Z37" s="165" t="str">
        <f>IF(AND(WEEKDAY(A37,2)&gt;5,OR(U37&gt;0,T37&gt;0)),"! D",IF(O37&gt;0,IF(H37="",IF(COUNTA(L37:N37,P37:U37)&gt;0,"! C",""),"! C"),IF(H37="",IF(COUNTA(R37:S37),"! A",IF(K37+L37+M37+N37+P37+T37+U37&gt;Grunddata!$C$1,"! E","")),IF(AND(H37&gt;Grunddata!$C$1,K37="",L37="",M37="",N37="",O37="",P37=""),"",IF(H37+K37+L37+M37+N37+P37+T37+U37&gt;Grunddata!$C$1,"! B","")))))</f>
        <v/>
      </c>
      <c r="AA37" s="97" t="str">
        <f>IF(WEEKDAY(A37,2)=7,SUM(X31:X37)+SUM(K31:K37)+SUM(L31:L37)+SUM(M31:M37)+SUM(N31:N37)+COUNT(O31:O37)*Grunddata!$C$1+SUM(P31:P37)+SUM(R31:R37)+SUM(S31:S37)+SUM(T31:T37)+SUM(U31:U37)+SUM(V31:V37)+SUM(W31:W37),"")</f>
        <v/>
      </c>
      <c r="AB37" s="113" t="str">
        <f>IF(AND(WEEKDAY(A37,2)=7,SUM(R31:S37)&gt;0),IF(AA37-SUM(R31:S37)&lt;Grunddata!$C$2,"! G",""),"")</f>
        <v/>
      </c>
    </row>
    <row r="38" spans="1:29" s="113" customFormat="1" ht="30" customHeight="1" x14ac:dyDescent="0.25">
      <c r="A38" s="213">
        <v>42747</v>
      </c>
      <c r="B38" s="150">
        <f t="shared" si="1"/>
        <v>42747</v>
      </c>
      <c r="C38" s="151"/>
      <c r="D38" s="151"/>
      <c r="E38" s="151"/>
      <c r="F38" s="151"/>
      <c r="G38" s="153"/>
      <c r="H38" s="154" t="str">
        <f t="shared" si="0"/>
        <v/>
      </c>
      <c r="I38" s="155" t="str">
        <f>IF($J$1="Ja",IF(F38&gt;0,IF(AND(WEEKDAY(A38,2)&lt;6,COUNTIF(Grunddata!$A$14:$A$17,A38)=0,C38&gt;0),"BL",""),""),"")</f>
        <v/>
      </c>
      <c r="J38" s="156"/>
      <c r="K38" s="157"/>
      <c r="L38" s="152"/>
      <c r="M38" s="152"/>
      <c r="N38" s="152"/>
      <c r="O38" s="158"/>
      <c r="P38" s="159"/>
      <c r="Q38" s="160"/>
      <c r="R38" s="155"/>
      <c r="S38" s="159"/>
      <c r="T38" s="159"/>
      <c r="U38" s="159"/>
      <c r="V38" s="162" t="str">
        <f>IF(OR(Z38="! A",Z38="! B",Z38="! C",Z38="! D",Z38="! E",O38&gt;0,H38="",AND(WEEKDAY(A38,2)&gt;5,H38=""),AND(H38="",K38="",L38="",M38="",N38="",O38="",P38="",R38="",S38="",T38="",U38="")),"",IF(OR(WEEKDAY(A38,2)&gt;5,COUNTIF(Grunddata!$A$15:$A$18,A38)&gt;0),H38-R38-S38,IF(H38+K38+L38+M38+N38+O38+P38-R38-S38+T38+U38=Grunddata!$C$1,"",IF(H38+K38+L38+M38+N38+O38+P38-R38-S38+T38-U38&gt;Grunddata!$C$1,H38+K38+L38+M38+N38+O38+P38-R38-S38+T38-U38-Grunddata!$C$1,""))))</f>
        <v/>
      </c>
      <c r="W38" s="163" t="str">
        <f>IF(OR(Z38="! A",Z38="! B",Z38="! C",Z38="! D",Z38="! E",O38&gt;0,H38="",AND(WEEKDAY(A38,2)&gt;5,H38=""),AND(H38="",K38="",L38="",M38="",N38="",O38="",P38="",R38="",S38="",T38="",U38="")),"",IF(OR(WEEKDAY(A38,2)&gt;5,COUNTIF(Grunddata!$A$15:$A$18,A38)&gt;0),"",IF(H38+K38+L38+M38+N38+O38+P38-R38-S38+T38+U38=Grunddata!$C$1,"",IF(H38+K38+L38+M38+N38+O38+P38-R38-S38+T38-U38&lt;Grunddata!$C$1,H38+K38+L38+M38+N38+O38+P38-R38-S38+T38-U38-Grunddata!$C$1,""))))</f>
        <v/>
      </c>
      <c r="X38" s="202" t="str">
        <f>IF(AND(WEEKDAY(A38,2)&lt;6,COUNTIF(Grunddata!$A$15:$A$21,A38)&gt;0),$D$7,IF(H38="","",IF(V38="",IF(W38="",H38-R38-S38,H38-R38-S38-W38),H38-R38-S38-V38)))</f>
        <v/>
      </c>
      <c r="Y38" s="166"/>
      <c r="Z38" s="165" t="str">
        <f>IF(AND(WEEKDAY(A38,2)&gt;5,OR(U38&gt;0,T38&gt;0)),"! D",IF(O38&gt;0,IF(H38="",IF(COUNTA(L38:N38,P38:U38)&gt;0,"! C",""),"! C"),IF(H38="",IF(COUNTA(R38:S38),"! A",IF(K38+L38+M38+N38+P38+T38+U38&gt;Grunddata!$C$1,"! E","")),IF(AND(H38&gt;Grunddata!$C$1,K38="",L38="",M38="",N38="",O38="",P38=""),"",IF(H38+K38+L38+M38+N38+P38+T38+U38&gt;Grunddata!$C$1,"! B","")))))</f>
        <v/>
      </c>
      <c r="AA38" s="97" t="str">
        <f>IF(WEEKDAY(A38,2)=7,SUM(X32:X38)+SUM(K32:K38)+SUM(L32:L38)+SUM(M32:M38)+SUM(N32:N38)+COUNT(O32:O38)*Grunddata!$C$1+SUM(P32:P38)+SUM(R32:R38)+SUM(S32:S38)+SUM(T32:T38)+SUM(U32:U38)+SUM(V32:V38)+SUM(W32:W38),"")</f>
        <v/>
      </c>
      <c r="AB38" s="113" t="str">
        <f>IF(AND(WEEKDAY(A38,2)=7,SUM(R32:S38)&gt;0),IF(AA38-SUM(R32:S38)&lt;Grunddata!$C$2,"! G",""),"")</f>
        <v/>
      </c>
    </row>
    <row r="39" spans="1:29" s="113" customFormat="1" ht="30" customHeight="1" x14ac:dyDescent="0.25">
      <c r="A39" s="213">
        <v>42748</v>
      </c>
      <c r="B39" s="150">
        <f t="shared" si="1"/>
        <v>42748</v>
      </c>
      <c r="C39" s="151"/>
      <c r="D39" s="151"/>
      <c r="E39" s="151"/>
      <c r="F39" s="151"/>
      <c r="G39" s="153"/>
      <c r="H39" s="154" t="str">
        <f t="shared" si="0"/>
        <v/>
      </c>
      <c r="I39" s="155" t="str">
        <f>IF($J$1="Ja",IF(F39&gt;0,IF(AND(WEEKDAY(A39,2)&lt;6,COUNTIF(Grunddata!$A$14:$A$17,A39)=0,C39&gt;0),"BL",""),""),"")</f>
        <v/>
      </c>
      <c r="J39" s="156"/>
      <c r="K39" s="157"/>
      <c r="L39" s="152"/>
      <c r="M39" s="152"/>
      <c r="N39" s="152"/>
      <c r="O39" s="158"/>
      <c r="P39" s="159"/>
      <c r="Q39" s="160">
        <v>0.20833333333333334</v>
      </c>
      <c r="R39" s="155"/>
      <c r="S39" s="159"/>
      <c r="T39" s="159"/>
      <c r="U39" s="159">
        <v>8.3333333333333329E-2</v>
      </c>
      <c r="V39" s="162" t="str">
        <f>IF(OR(Z39="! A",Z39="! B",Z39="! C",Z39="! D",Z39="! E",O39&gt;0,H39="",AND(WEEKDAY(A39,2)&gt;5,H39=""),AND(H39="",K39="",L39="",M39="",N39="",O39="",P39="",R39="",S39="",T39="",U39="")),"",IF(OR(WEEKDAY(A39,2)&gt;5,COUNTIF(Grunddata!$A$15:$A$18,A39)&gt;0),H39-R39-S39,IF(H39+K39+L39+M39+N39+O39+P39-R39-S39+T39+U39=Grunddata!$C$1,"",IF(H39+K39+L39+M39+N39+O39+P39-R39-S39+T39-U39&gt;Grunddata!$C$1,H39+K39+L39+M39+N39+O39+P39-R39-S39+T39-U39-Grunddata!$C$1,""))))</f>
        <v/>
      </c>
      <c r="W39" s="163" t="str">
        <f>IF(OR(Z39="! A",Z39="! B",Z39="! C",Z39="! D",Z39="! E",O39&gt;0,H39="",AND(WEEKDAY(A39,2)&gt;5,H39=""),AND(H39="",K39="",L39="",M39="",N39="",O39="",P39="",R39="",S39="",T39="",U39="")),"",IF(OR(WEEKDAY(A39,2)&gt;5,COUNTIF(Grunddata!$A$15:$A$18,A39)&gt;0),"",IF(H39+K39+L39+M39+N39+O39+P39-R39-S39+T39+U39=Grunddata!$C$1,"",IF(H39+K39+L39+M39+N39+O39+P39-R39-S39+T39-U39&lt;Grunddata!$C$1,H39+K39+L39+M39+N39+O39+P39-R39-S39+T39-U39-Grunddata!$C$1,""))))</f>
        <v/>
      </c>
      <c r="X39" s="202" t="str">
        <f>IF(AND(WEEKDAY(A39,2)&lt;6,COUNTIF(Grunddata!$A$15:$A$21,A39)&gt;0),$D$7,IF(H39="","",IF(V39="",IF(W39="",H39-R39-S39,H39-R39-S39-W39),H39-R39-S39-V39)))</f>
        <v/>
      </c>
      <c r="Y39" s="166"/>
      <c r="Z39" s="165" t="str">
        <f>IF(AND(WEEKDAY(A39,2)&gt;5,OR(U39&gt;0,T39&gt;0)),"! D",IF(O39&gt;0,IF(H39="",IF(COUNTA(L39:N39,P39:U39)&gt;0,"! C",""),"! C"),IF(H39="",IF(COUNTA(R39:S39),"! A",IF(K39+L39+M39+N39+P39+T39+U39&gt;Grunddata!$C$1,"! E","")),IF(AND(H39&gt;Grunddata!$C$1,K39="",L39="",M39="",N39="",O39="",P39=""),"",IF(H39+K39+L39+M39+N39+P39+T39+U39&gt;Grunddata!$C$1,"! B","")))))</f>
        <v/>
      </c>
      <c r="AA39" s="97" t="str">
        <f>IF(WEEKDAY(A39,2)=7,SUM(X33:X39)+SUM(K33:K39)+SUM(L33:L39)+SUM(M33:M39)+SUM(N33:N39)+COUNT(O33:O39)*Grunddata!$C$1+SUM(P33:P39)+SUM(R33:R39)+SUM(S33:S39)+SUM(T33:T39)+SUM(U33:U39)+SUM(V33:V39)+SUM(W33:W39),"")</f>
        <v/>
      </c>
      <c r="AB39" s="113" t="str">
        <f>IF(AND(WEEKDAY(A39,2)=7,SUM(R33:S39)&gt;0),IF(AA39-SUM(R33:S39)&lt;Grunddata!$C$2,"! G",""),"")</f>
        <v/>
      </c>
    </row>
    <row r="40" spans="1:29" s="113" customFormat="1" ht="30" customHeight="1" thickBot="1" x14ac:dyDescent="0.3">
      <c r="A40" s="213">
        <v>42749</v>
      </c>
      <c r="B40" s="150">
        <f t="shared" si="1"/>
        <v>42749</v>
      </c>
      <c r="C40" s="151"/>
      <c r="D40" s="151"/>
      <c r="E40" s="151">
        <v>0.41666666666666669</v>
      </c>
      <c r="F40" s="151"/>
      <c r="G40" s="153"/>
      <c r="H40" s="154">
        <f t="shared" si="0"/>
        <v>0.41666666666666669</v>
      </c>
      <c r="I40" s="155" t="str">
        <f>IF($J$1="Ja",IF(F40&gt;0,IF(AND(WEEKDAY(A40,2)&lt;6,COUNTIF(Grunddata!$A$14:$A$17,A40)=0,C40&gt;0),"BL",""),""),"")</f>
        <v/>
      </c>
      <c r="J40" s="156"/>
      <c r="K40" s="157"/>
      <c r="L40" s="152"/>
      <c r="M40" s="152"/>
      <c r="N40" s="152"/>
      <c r="O40" s="158"/>
      <c r="P40" s="159"/>
      <c r="Q40" s="160"/>
      <c r="R40" s="155">
        <v>8.3333333333333329E-2</v>
      </c>
      <c r="S40" s="159"/>
      <c r="T40" s="159">
        <v>4.1666666666666664E-2</v>
      </c>
      <c r="U40" s="159"/>
      <c r="V40" s="162">
        <f>IF(OR(Z40="! A",Z40="! B",Z40="! C",Z40="! D",Z40="! E",O40&gt;0,H40="",AND(WEEKDAY(A40,2)&gt;5,H40=""),AND(H40="",K40="",L40="",M40="",N40="",O40="",P40="",R40="",S40="",T40="",U40="")),"",IF(OR(WEEKDAY(A40,2)&gt;5,COUNTIF(Grunddata!$A$15:$A$18,A40)&gt;0),H40-R40-S40,IF(H40+K40+L40+M40+N40+O40+P40-R40-S40+T40+U40=Grunddata!$C$1,"",IF(H40+K40+L40+M40+N40+O40+P40-R40-S40+T40-U40&gt;Grunddata!$C$1,H40+K40+L40+M40+N40+O40+P40-R40-S40+T40-U40-Grunddata!$C$1,""))))</f>
        <v>4.1666666666666741E-2</v>
      </c>
      <c r="W40" s="163" t="str">
        <f>IF(OR(Z40="! A",Z40="! B",Z40="! C",Z40="! D",Z40="! E",O40&gt;0,H40="",AND(WEEKDAY(A40,2)&gt;5,H40=""),AND(H40="",K40="",L40="",M40="",N40="",O40="",P40="",R40="",S40="",T40="",U40="")),"",IF(OR(WEEKDAY(A40,2)&gt;5,COUNTIF(Grunddata!$A$15:$A$18,A40)&gt;0),"",IF(H40+K40+L40+M40+N40+O40+P40-R40-S40+T40+U40=Grunddata!$C$1,"",IF(H40+K40+L40+M40+N40+O40+P40-R40-S40+T40-U40&lt;Grunddata!$C$1,H40+K40+L40+M40+N40+O40+P40-R40-S40+T40-U40-Grunddata!$C$1,""))))</f>
        <v/>
      </c>
      <c r="X40" s="202">
        <f>IF(AND(WEEKDAY(A40,2)&lt;6,COUNTIF(Grunddata!$A$15:$A$21,A40)&gt;0),$D$7,IF(H40="","",IF(V40="",IF(W40="",H40-R40-S40,H40-R40-S40-W40),H40-R40-S40-V40)))</f>
        <v>0.29166666666666663</v>
      </c>
      <c r="Y40" s="166"/>
      <c r="Z40" s="165" t="str">
        <f>IF(AND(WEEKDAY(A40,2)&gt;5,OR(U40&gt;0,T40&gt;0)),"! D",IF(O40&gt;0,IF(H40="",IF(COUNTA(L40:N40,P40:U40)&gt;0,"! C",""),"! C"),IF(H40="",IF(COUNTA(R40:S40),"! A",IF(K40+L40+M40+N40+P40+T40+U40&gt;Grunddata!$C$1,"! E","")),IF(AND(H40&gt;Grunddata!$C$1,K40="",L40="",M40="",N40="",O40="",P40=""),"",IF(H40+K40+L40+M40+N40+P40+T40+U40&gt;Grunddata!$C$1,"! B","")))))</f>
        <v/>
      </c>
      <c r="AA40" s="97" t="str">
        <f>IF(WEEKDAY(A40,2)=7,SUM(X34:X40)+SUM(K34:K40)+SUM(L34:L40)+SUM(M34:M40)+SUM(N34:N40)+COUNT(O34:O40)*Grunddata!$C$1+SUM(P34:P40)+SUM(R34:R40)+SUM(S34:S40)+SUM(T34:T40)+SUM(U34:U40)+SUM(V34:V40)+SUM(W34:W40),"")</f>
        <v/>
      </c>
      <c r="AB40" s="113" t="str">
        <f>IF(AND(WEEKDAY(A40,2)=7,SUM(R34:S40)&gt;0),IF(AA40-SUM(R34:S40)&lt;Grunddata!$C$2,"! G",""),"")</f>
        <v/>
      </c>
      <c r="AC40" s="174"/>
    </row>
    <row r="41" spans="1:29" s="113" customFormat="1" ht="30" hidden="1" customHeight="1" thickBot="1" x14ac:dyDescent="0.3">
      <c r="A41" s="213">
        <v>42750</v>
      </c>
      <c r="B41" s="150">
        <f t="shared" si="1"/>
        <v>42750</v>
      </c>
      <c r="C41" s="151"/>
      <c r="D41" s="151"/>
      <c r="E41" s="151"/>
      <c r="F41" s="151"/>
      <c r="G41" s="153"/>
      <c r="H41" s="154" t="str">
        <f t="shared" si="0"/>
        <v/>
      </c>
      <c r="I41" s="155" t="str">
        <f>IF($J$1="Ja",IF(F41&gt;0,IF(AND(WEEKDAY(A41,2)&lt;6,COUNTIF(Grunddata!$A$14:$A$17,A41)=0,C41&gt;0),"BL",""),""),"")</f>
        <v/>
      </c>
      <c r="J41" s="156"/>
      <c r="K41" s="157"/>
      <c r="L41" s="152"/>
      <c r="M41" s="152"/>
      <c r="N41" s="152"/>
      <c r="O41" s="158"/>
      <c r="P41" s="159"/>
      <c r="Q41" s="160"/>
      <c r="R41" s="155"/>
      <c r="S41" s="159"/>
      <c r="T41" s="161"/>
      <c r="U41" s="176"/>
      <c r="V41" s="162" t="str">
        <f>IF(OR(Z41="! A",Z41="! B",Z41="! C",Z41="! D",Z41="! E",O41&gt;0,H41="",AND(WEEKDAY(A41,2)&gt;5,H41=""),AND(H41="",K41="",L41="",M41="",N41="",O41="",P41="",R41="",S41="",T41="",U41="")),"",IF(OR(WEEKDAY(A41,2)&gt;5,COUNTIF(Grunddata!$A$15:$A$18,A41)&gt;0),H41-R41-S41,IF(H41+K41+L41+M41+N41+O41+P41-R41-S41+T41+U41=Grunddata!$C$1,"",IF(H41+K41+L41+M41+N41+O41+P41-R41-S41+T41-U41&gt;Grunddata!$C$1,H41+K41+L41+M41+N41+O41+P41-R41-S41+T41-U41-Grunddata!$C$1,""))))</f>
        <v/>
      </c>
      <c r="W41" s="163" t="str">
        <f>IF(OR(Z41="! A",Z41="! B",Z41="! C",Z41="! D",Z41="! E",O41&gt;0,H41="",AND(WEEKDAY(A41,2)&gt;5,H41=""),AND(H41="",K41="",L41="",M41="",N41="",O41="",P41="",R41="",S41="",T41="",U41="")),"",IF(OR(WEEKDAY(A41,2)&gt;5,COUNTIF(Grunddata!$A$15:$A$18,A41)&gt;0),"",IF(H41+K41+L41+M41+N41+O41+P41-R41-S41+T41+U41=Grunddata!$C$1,"",IF(H41+K41+L41+M41+N41+O41+P41-R41-S41+T41-U41&lt;Grunddata!$C$1,H41+K41+L41+M41+N41+O41+P41-R41-S41+T41-U41-Grunddata!$C$1,""))))</f>
        <v/>
      </c>
      <c r="X41" s="202" t="str">
        <f>IF(AND(WEEKDAY(A41,2)&lt;6,COUNTIF(Grunddata!$A$15:$A$21,A41)&gt;0),$D$7,IF(H41="","",IF(V41="",IF(W41="",H41-R41-S41,H41-R41-S41-W41),H41-R41-S41-V41)))</f>
        <v/>
      </c>
      <c r="Y41" s="166"/>
      <c r="Z41" s="165" t="str">
        <f>IF(AND(WEEKDAY(A41,2)&gt;5,OR(U41&gt;0,T41&gt;0)),"! D",IF(O41&gt;0,IF(H41="",IF(COUNTA(L41:N41,P41:U41)&gt;0,"! C",""),"! C"),IF(H41="",IF(COUNTA(R41:S41),"! A",IF(K41+L41+M41+N41+P41+T41+U41&gt;Grunddata!$C$1,"! E","")),IF(AND(H41&gt;Grunddata!$C$1,K41="",L41="",M41="",N41="",O41="",P41=""),"",IF(H41+K41+L41+M41+N41+P41+T41+U41&gt;Grunddata!$C$1,"! B","")))))</f>
        <v/>
      </c>
      <c r="AA41" s="97" t="str">
        <f>IF(WEEKDAY(A41,2)=7,SUM(X35:X41)+SUM(K35:K41)+SUM(L35:L41)+SUM(M35:M41)+SUM(N35:N41)+COUNT(O35:O41)*Grunddata!$C$1+SUM(P35:P41)+SUM(T35:T41)+SUM(V35:V41)+SUM(W35:W41),"")</f>
        <v/>
      </c>
      <c r="AB41" s="113" t="str">
        <f>IF(AND(WEEKDAY(A41,2)=7,SUM(R35:S41)&gt;0),IF(AA41-SUM(R35:S41)&lt;Grunddata!$C$2,"! F",""),"")</f>
        <v/>
      </c>
    </row>
    <row r="42" spans="1:29" s="113" customFormat="1" ht="30" hidden="1" customHeight="1" thickBot="1" x14ac:dyDescent="0.3">
      <c r="A42" s="213">
        <v>42751</v>
      </c>
      <c r="B42" s="177">
        <f t="shared" si="1"/>
        <v>42751</v>
      </c>
      <c r="C42" s="178"/>
      <c r="D42" s="178"/>
      <c r="E42" s="178"/>
      <c r="F42" s="178"/>
      <c r="G42" s="179"/>
      <c r="H42" s="180" t="str">
        <f t="shared" si="0"/>
        <v/>
      </c>
      <c r="I42" s="155" t="str">
        <f>IF($J$1="Ja",IF(F42&gt;0,IF(AND(WEEKDAY(A42,2)&lt;6,COUNTIF(Grunddata!$A$14:$A$17,A42)=0,C42&gt;0),"BL",""),""),"")</f>
        <v/>
      </c>
      <c r="J42" s="181"/>
      <c r="K42" s="182"/>
      <c r="L42" s="183"/>
      <c r="M42" s="183"/>
      <c r="N42" s="183"/>
      <c r="O42" s="158"/>
      <c r="P42" s="184"/>
      <c r="Q42" s="185"/>
      <c r="R42" s="186"/>
      <c r="S42" s="184"/>
      <c r="T42" s="187"/>
      <c r="U42" s="188"/>
      <c r="V42" s="189" t="str">
        <f>IF(OR(Z42="! A",Z42="! B",Z42="! C",Z42="! D",Z42="! E",O42&gt;0,H42="",AND(WEEKDAY(A42,2)&gt;5,H42=""),AND(H42="",K42="",L42="",M42="",N42="",O42="",P42="",R42="",S42="",T42="",U42="")),"",IF(OR(WEEKDAY(A42,2)&gt;5,COUNTIF(Grunddata!$A$15:$A$18,A42)&gt;0),H42-R42-S42,IF(H42+K42+L42+M42+N42+O42+P42-R42-S42+T42+U42=Grunddata!$C$1,"",IF(H42+K42+L42+M42+N42+O42+P42-R42-S42+T42-U42&gt;Grunddata!$C$1,H42+K42+L42+M42+N42+O42+P42-R42-S42+T42-U42-Grunddata!$C$1,""))))</f>
        <v/>
      </c>
      <c r="W42" s="190" t="str">
        <f>IF(OR(Z42="! A",Z42="! B",Z42="! C",Z42="! D",Z42="! E",O42&gt;0,H42="",AND(WEEKDAY(A42,2)&gt;5,H42=""),AND(H42="",K42="",L42="",M42="",N42="",O42="",P42="",R42="",S42="",T42="",U42="")),"",IF(OR(WEEKDAY(A42,2)&gt;5,COUNTIF(Grunddata!$A$15:$A$18,A42)&gt;0),"",IF(H42+K42+L42+M42+N42+O42+P42-R42-S42+T42+U42=Grunddata!$C$1,"",IF(H42+K42+L42+M42+N42+O42+P42-R42-S42+T42-U42&lt;Grunddata!$C$1,H42+K42+L42+M42+N42+O42+P42-R42-S42+T42-U42-Grunddata!$C$1,""))))</f>
        <v/>
      </c>
      <c r="X42" s="202" t="str">
        <f>IF(AND(WEEKDAY(A42,2)&lt;6,COUNTIF(Grunddata!$A$15:$A$21,A42)&gt;0),$D$7,IF(H42="","",IF(V42="",IF(W42="",H42-R42-S42,H42-R42-S42-W42),H42-R42-S42-V42)))</f>
        <v/>
      </c>
      <c r="Y42" s="191"/>
      <c r="Z42" s="165" t="str">
        <f>IF(AND(WEEKDAY(A42,2)&gt;5,OR(U42&gt;0,T42&gt;0)),"! D",IF(O42&gt;0,IF(H42="",IF(COUNTA(L42:N42,P42:U42)&gt;0,"! C",""),"! C"),IF(H42="",IF(COUNTA(R42:S42),"! A",IF(K42+L42+M42+N42+P42+T42+U42&gt;Grunddata!$C$1,"! X","")),IF(AND(H42&gt;Grunddata!$C$1,K42="",L42="",M42="",N42="",O42="",P42=""),"",IF(H42+K42+L42+M42+N42+P42+T42+U42&gt;Grunddata!$C$1,"! B","")))))</f>
        <v/>
      </c>
      <c r="AA42" s="97">
        <f>IF(WEEKDAY(A42,2)=7,SUM(X36:X42)+SUM(K36:K42)+SUM(L36:L42)+SUM(M36:M42)+SUM(N36:N42)+COUNT(O36:O42)*Grunddata!$C$1+SUM(P36:P42)+SUM(T36:T42)+SUM(V36:V42)+SUM(W36:W42),"")</f>
        <v>0.37500000000000006</v>
      </c>
      <c r="AB42" s="113" t="str">
        <f>IF(AND(WEEKDAY(A42,2)=7,SUM(R36:S42)&gt;0),IF(AA42-SUM(R36:S42)&lt;Grunddata!$C$2,"! E",""),"")</f>
        <v>! E</v>
      </c>
    </row>
    <row r="43" spans="1:29" ht="30" customHeight="1" thickBot="1" x14ac:dyDescent="0.3">
      <c r="A43" s="10" t="s">
        <v>69</v>
      </c>
      <c r="B43" s="14" t="s">
        <v>65</v>
      </c>
      <c r="C43" s="93"/>
      <c r="D43" s="94"/>
      <c r="E43" s="90">
        <f t="shared" ref="E43:U43" si="2">SUM(E12:E42)</f>
        <v>0.41666666666666669</v>
      </c>
      <c r="F43" s="90">
        <f t="shared" si="2"/>
        <v>0</v>
      </c>
      <c r="G43" s="90">
        <f t="shared" si="2"/>
        <v>0</v>
      </c>
      <c r="H43" s="90">
        <f t="shared" si="2"/>
        <v>0.41666666666666669</v>
      </c>
      <c r="I43" s="96">
        <f>COUNTIF(I12:I42,"BL")</f>
        <v>0</v>
      </c>
      <c r="J43" s="90">
        <f t="shared" si="2"/>
        <v>0</v>
      </c>
      <c r="K43" s="90">
        <f t="shared" si="2"/>
        <v>0</v>
      </c>
      <c r="L43" s="90">
        <f t="shared" si="2"/>
        <v>0</v>
      </c>
      <c r="M43" s="90">
        <f t="shared" si="2"/>
        <v>0</v>
      </c>
      <c r="N43" s="90">
        <f t="shared" si="2"/>
        <v>0</v>
      </c>
      <c r="O43" s="145">
        <f>COUNTA(O12:O42)</f>
        <v>0</v>
      </c>
      <c r="P43" s="456">
        <f t="shared" si="2"/>
        <v>0</v>
      </c>
      <c r="Q43" s="456">
        <f t="shared" si="2"/>
        <v>0.20833333333333334</v>
      </c>
      <c r="R43" s="95">
        <f t="shared" si="2"/>
        <v>8.3333333333333329E-2</v>
      </c>
      <c r="S43" s="456">
        <f t="shared" si="2"/>
        <v>0</v>
      </c>
      <c r="T43" s="95">
        <f t="shared" si="2"/>
        <v>4.1666666666666664E-2</v>
      </c>
      <c r="U43" s="95">
        <f t="shared" si="2"/>
        <v>8.3333333333333329E-2</v>
      </c>
      <c r="V43" s="678">
        <f>SUM(W12:W42)+SUM(V12:V42)</f>
        <v>4.1666666666666741E-2</v>
      </c>
      <c r="W43" s="679"/>
      <c r="X43" s="95">
        <f>SUM(X12:X42)</f>
        <v>1.802083333333333</v>
      </c>
      <c r="Y43" s="149"/>
      <c r="Z43" s="74"/>
      <c r="AA43" s="98"/>
      <c r="AB43" s="261"/>
    </row>
    <row r="44" spans="1:29" ht="30" customHeight="1" x14ac:dyDescent="0.3">
      <c r="A44" s="192" t="s">
        <v>405</v>
      </c>
      <c r="B44" s="15"/>
      <c r="C44" s="5"/>
      <c r="D44" s="5"/>
      <c r="E44" s="454"/>
      <c r="F44" s="5"/>
      <c r="G44" s="8"/>
      <c r="H44" s="8"/>
      <c r="I44" s="344"/>
      <c r="J44" s="344"/>
      <c r="K44" s="344"/>
      <c r="L44" s="344"/>
      <c r="M44" s="344"/>
      <c r="N44" s="344"/>
      <c r="O44" s="146"/>
      <c r="P44" s="344"/>
      <c r="Q44" s="344"/>
      <c r="R44" s="344"/>
      <c r="S44" s="454"/>
      <c r="T44" s="454"/>
      <c r="U44" s="514" t="s">
        <v>66</v>
      </c>
      <c r="V44" s="514"/>
      <c r="W44" s="514"/>
      <c r="X44" s="88">
        <f>Q43+R43+T43+U43+X43</f>
        <v>2.2187499999999996</v>
      </c>
      <c r="Y44" s="81"/>
      <c r="Z44" s="6"/>
      <c r="AA44" s="99"/>
      <c r="AB44" s="6"/>
    </row>
    <row r="45" spans="1:29" ht="31.5" customHeight="1" x14ac:dyDescent="0.3">
      <c r="A45" s="453"/>
      <c r="E45" s="454"/>
      <c r="I45" s="454"/>
      <c r="J45" s="454"/>
      <c r="K45" s="454"/>
      <c r="L45" s="454"/>
      <c r="M45" s="454"/>
      <c r="N45" s="454"/>
      <c r="O45" s="146"/>
      <c r="P45" s="344"/>
      <c r="Q45" s="344"/>
      <c r="R45" s="344"/>
      <c r="S45" s="344"/>
      <c r="T45" s="454"/>
      <c r="U45" s="454"/>
      <c r="V45" s="454"/>
      <c r="W45" s="66"/>
      <c r="X45" s="88"/>
      <c r="Y45" s="142"/>
      <c r="Z45" s="6"/>
      <c r="AA45" s="99"/>
      <c r="AB45" s="6"/>
    </row>
    <row r="46" spans="1:29" ht="21.75" customHeight="1" x14ac:dyDescent="0.3">
      <c r="A46" s="85"/>
      <c r="B46" s="15"/>
      <c r="C46" s="5"/>
      <c r="D46" s="5"/>
      <c r="E46" s="72"/>
      <c r="F46" s="5"/>
      <c r="G46" s="8"/>
      <c r="H46" s="8"/>
      <c r="I46" s="344"/>
      <c r="J46" s="344"/>
      <c r="K46" s="344"/>
      <c r="L46" s="344"/>
      <c r="M46" s="344"/>
      <c r="N46" s="344"/>
      <c r="O46" s="146"/>
      <c r="P46" s="344"/>
      <c r="Q46" s="344"/>
      <c r="R46" s="344"/>
      <c r="S46" s="344"/>
      <c r="T46" s="344"/>
      <c r="U46" s="344"/>
      <c r="V46" s="344"/>
      <c r="W46" s="344"/>
      <c r="X46" s="88"/>
      <c r="Y46" s="453"/>
    </row>
    <row r="47" spans="1:29" ht="18.75" customHeight="1" x14ac:dyDescent="0.3">
      <c r="A47" s="453"/>
      <c r="E47" s="454"/>
      <c r="I47" s="454"/>
      <c r="J47" s="454"/>
      <c r="K47" s="454"/>
      <c r="L47" s="454"/>
      <c r="M47" s="454"/>
      <c r="N47" s="454"/>
      <c r="P47" s="454"/>
      <c r="Q47" s="344"/>
      <c r="R47" s="344"/>
      <c r="S47" s="344"/>
      <c r="T47" s="344"/>
      <c r="U47" s="344"/>
      <c r="V47" s="344"/>
      <c r="W47" s="344"/>
      <c r="X47" s="88"/>
      <c r="Y47" s="81"/>
      <c r="Z47" s="6"/>
      <c r="AA47" s="99"/>
      <c r="AB47" s="6"/>
    </row>
    <row r="48" spans="1:29" ht="15.6" x14ac:dyDescent="0.3">
      <c r="A48" s="453"/>
      <c r="D48" s="5"/>
      <c r="E48" s="72"/>
      <c r="F48" s="5"/>
      <c r="G48" s="8"/>
      <c r="H48" s="8"/>
      <c r="I48" s="344"/>
      <c r="J48" s="344"/>
      <c r="K48" s="344"/>
      <c r="L48" s="344"/>
      <c r="M48" s="344"/>
      <c r="N48" s="344"/>
      <c r="O48" s="146"/>
      <c r="P48" s="344"/>
      <c r="Q48" s="344"/>
      <c r="R48" s="344"/>
      <c r="S48" s="344"/>
      <c r="T48" s="344"/>
      <c r="U48" s="344"/>
      <c r="V48" s="344"/>
      <c r="W48" s="344"/>
      <c r="X48" s="88"/>
      <c r="Y48" s="81"/>
      <c r="Z48" s="6"/>
      <c r="AA48" s="99"/>
      <c r="AB48" s="6"/>
    </row>
    <row r="49" spans="1:28" ht="15.6" x14ac:dyDescent="0.3">
      <c r="A49" s="453"/>
      <c r="D49" s="5"/>
      <c r="E49" s="72"/>
      <c r="F49" s="5"/>
      <c r="G49" s="8"/>
      <c r="H49" s="8"/>
      <c r="I49" s="344"/>
      <c r="J49" s="344"/>
      <c r="K49" s="344"/>
      <c r="L49" s="344"/>
      <c r="M49" s="344"/>
      <c r="N49" s="344"/>
      <c r="O49" s="146"/>
      <c r="P49" s="344"/>
      <c r="Q49" s="344"/>
      <c r="R49" s="344"/>
      <c r="S49" s="344"/>
      <c r="T49" s="344"/>
      <c r="U49" s="344"/>
      <c r="V49" s="344"/>
      <c r="W49" s="344"/>
      <c r="X49" s="88"/>
      <c r="Y49" s="81"/>
      <c r="Z49" s="6"/>
      <c r="AA49" s="99"/>
      <c r="AB49" s="6"/>
    </row>
    <row r="50" spans="1:28" ht="15.6" x14ac:dyDescent="0.3">
      <c r="A50" s="453"/>
      <c r="D50" s="5"/>
      <c r="E50" s="72"/>
      <c r="F50" s="5"/>
      <c r="G50" s="8"/>
      <c r="H50" s="8"/>
      <c r="I50" s="344"/>
      <c r="J50" s="344"/>
      <c r="K50" s="344"/>
      <c r="L50" s="344"/>
      <c r="M50" s="344"/>
      <c r="N50" s="344"/>
      <c r="O50" s="146"/>
      <c r="P50" s="344"/>
      <c r="Q50" s="344"/>
      <c r="R50" s="344"/>
      <c r="S50" s="344"/>
      <c r="T50" s="344"/>
      <c r="U50" s="344"/>
      <c r="V50" s="344"/>
      <c r="W50" s="344"/>
      <c r="X50" s="88"/>
      <c r="Y50" s="81"/>
      <c r="Z50" s="6"/>
      <c r="AA50" s="99"/>
      <c r="AB50" s="6"/>
    </row>
    <row r="51" spans="1:28" ht="15.6" x14ac:dyDescent="0.3">
      <c r="A51" s="453"/>
      <c r="D51" s="5"/>
      <c r="E51" s="72"/>
      <c r="F51" s="5"/>
      <c r="G51" s="8"/>
      <c r="H51" s="8"/>
      <c r="I51" s="344"/>
      <c r="J51" s="344"/>
      <c r="K51" s="344"/>
      <c r="L51" s="344"/>
      <c r="M51" s="344"/>
      <c r="N51" s="344"/>
      <c r="O51" s="146"/>
      <c r="P51" s="344"/>
      <c r="Q51" s="344"/>
      <c r="R51" s="344"/>
      <c r="S51" s="344"/>
      <c r="T51" s="344"/>
      <c r="U51" s="344"/>
      <c r="V51" s="344"/>
      <c r="W51" s="344"/>
      <c r="X51" s="88"/>
      <c r="Y51" s="81"/>
      <c r="Z51" s="6"/>
      <c r="AA51" s="99"/>
      <c r="AB51" s="6"/>
    </row>
    <row r="52" spans="1:28" ht="15.6" x14ac:dyDescent="0.3">
      <c r="A52" s="453"/>
      <c r="D52" s="5"/>
      <c r="E52" s="72"/>
      <c r="F52" s="5"/>
      <c r="G52" s="8"/>
      <c r="H52" s="8"/>
      <c r="I52" s="344"/>
      <c r="J52" s="344"/>
      <c r="K52" s="344"/>
      <c r="L52" s="344"/>
      <c r="M52" s="344"/>
      <c r="N52" s="344"/>
      <c r="O52" s="146"/>
      <c r="P52" s="344"/>
      <c r="Q52" s="344"/>
      <c r="R52" s="344"/>
      <c r="S52" s="344"/>
      <c r="T52" s="344"/>
      <c r="U52" s="344"/>
      <c r="V52" s="344"/>
      <c r="W52" s="344"/>
      <c r="X52" s="88"/>
      <c r="Y52" s="81"/>
      <c r="Z52" s="6"/>
      <c r="AA52" s="99"/>
      <c r="AB52" s="6"/>
    </row>
    <row r="53" spans="1:28" ht="15.6" x14ac:dyDescent="0.3">
      <c r="A53" s="453"/>
      <c r="D53" s="5"/>
      <c r="E53" s="72"/>
      <c r="F53" s="5"/>
      <c r="G53" s="8"/>
      <c r="H53" s="8"/>
      <c r="I53" s="344"/>
      <c r="J53" s="344"/>
      <c r="K53" s="344"/>
      <c r="L53" s="344"/>
      <c r="M53" s="344"/>
      <c r="N53" s="344"/>
      <c r="O53" s="146"/>
      <c r="P53" s="344"/>
      <c r="Q53" s="344"/>
      <c r="R53" s="344"/>
      <c r="S53" s="344"/>
      <c r="T53" s="344"/>
      <c r="U53" s="344"/>
      <c r="V53" s="344"/>
      <c r="W53" s="344"/>
      <c r="X53" s="88"/>
      <c r="Y53" s="81"/>
      <c r="Z53" s="6"/>
      <c r="AA53" s="99"/>
      <c r="AB53" s="6"/>
    </row>
    <row r="54" spans="1:28" ht="15.6" x14ac:dyDescent="0.3">
      <c r="A54" s="453"/>
      <c r="D54" s="5"/>
      <c r="E54" s="72"/>
      <c r="F54" s="5"/>
      <c r="G54" s="8"/>
      <c r="H54" s="8"/>
      <c r="I54" s="344"/>
      <c r="J54" s="344"/>
      <c r="K54" s="344"/>
      <c r="L54" s="344"/>
      <c r="M54" s="344"/>
      <c r="N54" s="344"/>
      <c r="O54" s="146"/>
      <c r="P54" s="344"/>
      <c r="Q54" s="344"/>
      <c r="R54" s="344"/>
      <c r="S54" s="344"/>
      <c r="T54" s="344"/>
      <c r="U54" s="344"/>
      <c r="V54" s="344"/>
      <c r="W54" s="344"/>
      <c r="X54" s="88"/>
      <c r="Y54" s="81"/>
      <c r="Z54" s="6"/>
      <c r="AA54" s="99"/>
      <c r="AB54" s="6"/>
    </row>
    <row r="55" spans="1:28" ht="15.6" x14ac:dyDescent="0.3">
      <c r="A55" s="453"/>
      <c r="D55" s="5"/>
      <c r="E55" s="72"/>
      <c r="F55" s="5"/>
      <c r="G55" s="8"/>
      <c r="H55" s="8"/>
      <c r="I55" s="344"/>
      <c r="J55" s="344"/>
      <c r="K55" s="344"/>
      <c r="L55" s="344"/>
      <c r="M55" s="344"/>
      <c r="N55" s="344"/>
      <c r="O55" s="146"/>
      <c r="P55" s="344"/>
      <c r="Q55" s="344"/>
      <c r="R55" s="344"/>
      <c r="S55" s="344"/>
      <c r="T55" s="344"/>
      <c r="U55" s="344"/>
      <c r="V55" s="344"/>
      <c r="W55" s="344"/>
      <c r="X55" s="88"/>
      <c r="Y55" s="81"/>
      <c r="Z55" s="6"/>
      <c r="AA55" s="99"/>
      <c r="AB55" s="6"/>
    </row>
    <row r="56" spans="1:28" ht="15" x14ac:dyDescent="0.25">
      <c r="A56" s="453"/>
      <c r="D56" s="2"/>
      <c r="E56" s="72"/>
      <c r="F56" s="2"/>
      <c r="G56" s="1"/>
      <c r="H56" s="1"/>
      <c r="I56" s="71"/>
      <c r="J56" s="71"/>
      <c r="K56" s="71"/>
      <c r="L56" s="71"/>
      <c r="M56" s="71"/>
      <c r="N56" s="71"/>
      <c r="O56" s="147"/>
      <c r="P56" s="71"/>
      <c r="Q56" s="71"/>
      <c r="R56" s="71"/>
      <c r="S56" s="71"/>
      <c r="T56" s="71"/>
      <c r="U56" s="71"/>
      <c r="V56" s="71"/>
      <c r="W56" s="71"/>
      <c r="X56" s="71"/>
      <c r="Y56" s="82"/>
      <c r="Z56" s="1"/>
      <c r="AA56" s="100"/>
      <c r="AB56" s="1"/>
    </row>
    <row r="57" spans="1:28" ht="15" x14ac:dyDescent="0.25">
      <c r="A57" s="453"/>
      <c r="D57" s="453"/>
      <c r="E57" s="454"/>
      <c r="F57" s="453"/>
      <c r="G57" s="453"/>
      <c r="H57" s="453"/>
      <c r="I57" s="454"/>
      <c r="J57" s="454"/>
      <c r="K57" s="454"/>
      <c r="L57" s="454"/>
      <c r="M57" s="454"/>
      <c r="N57" s="454"/>
      <c r="P57" s="454"/>
      <c r="Q57" s="454"/>
      <c r="R57" s="454"/>
      <c r="S57" s="454"/>
      <c r="T57" s="454"/>
      <c r="U57" s="454"/>
      <c r="V57" s="454"/>
      <c r="W57" s="454"/>
      <c r="X57" s="454"/>
      <c r="Y57" s="453"/>
      <c r="Z57" s="453"/>
      <c r="AA57" s="100"/>
      <c r="AB57" s="1"/>
    </row>
    <row r="58" spans="1:28" ht="15" x14ac:dyDescent="0.25">
      <c r="A58" s="453"/>
      <c r="D58" s="2"/>
      <c r="E58" s="72"/>
      <c r="F58" s="2"/>
      <c r="G58" s="1"/>
      <c r="H58" s="1"/>
      <c r="I58" s="71"/>
      <c r="J58" s="71"/>
      <c r="K58" s="71"/>
      <c r="L58" s="71"/>
      <c r="M58" s="71"/>
      <c r="N58" s="71"/>
      <c r="O58" s="147"/>
      <c r="P58" s="71"/>
      <c r="Q58" s="71"/>
      <c r="R58" s="71"/>
      <c r="S58" s="71"/>
      <c r="T58" s="71"/>
      <c r="U58" s="71"/>
      <c r="V58" s="71"/>
      <c r="W58" s="71"/>
      <c r="X58" s="71"/>
      <c r="Y58" s="82"/>
      <c r="Z58" s="1"/>
      <c r="AA58" s="100"/>
      <c r="AB58" s="1"/>
    </row>
    <row r="59" spans="1:28" ht="15" x14ac:dyDescent="0.25">
      <c r="A59" s="453"/>
      <c r="D59" s="453"/>
      <c r="E59" s="454"/>
      <c r="F59" s="453"/>
      <c r="G59" s="453"/>
      <c r="H59" s="453"/>
      <c r="I59" s="454"/>
      <c r="J59" s="454"/>
      <c r="K59" s="454"/>
      <c r="L59" s="454"/>
      <c r="M59" s="454"/>
      <c r="N59" s="454"/>
      <c r="P59" s="454"/>
      <c r="Q59" s="454"/>
      <c r="R59" s="454"/>
      <c r="S59" s="454"/>
      <c r="T59" s="454"/>
      <c r="U59" s="454"/>
      <c r="V59" s="454"/>
      <c r="W59" s="454"/>
      <c r="X59" s="454"/>
      <c r="Y59" s="453"/>
      <c r="Z59" s="453"/>
      <c r="AA59" s="100"/>
      <c r="AB59" s="1"/>
    </row>
    <row r="60" spans="1:28" ht="15" x14ac:dyDescent="0.25">
      <c r="A60" s="453"/>
      <c r="D60" s="1"/>
      <c r="E60" s="71"/>
      <c r="F60" s="1"/>
      <c r="G60" s="1"/>
      <c r="H60" s="1"/>
      <c r="I60" s="71"/>
      <c r="J60" s="71"/>
      <c r="K60" s="71"/>
      <c r="L60" s="71"/>
      <c r="M60" s="71"/>
      <c r="N60" s="71"/>
      <c r="O60" s="147"/>
      <c r="P60" s="71"/>
      <c r="Q60" s="71"/>
      <c r="R60" s="71"/>
      <c r="S60" s="71"/>
      <c r="T60" s="71"/>
      <c r="U60" s="71"/>
      <c r="V60" s="71"/>
      <c r="W60" s="71"/>
      <c r="X60" s="71"/>
      <c r="Y60" s="82"/>
      <c r="Z60" s="1"/>
      <c r="AA60" s="100"/>
      <c r="AB60" s="1"/>
    </row>
    <row r="61" spans="1:28" ht="15" x14ac:dyDescent="0.25">
      <c r="A61" s="453"/>
      <c r="D61" s="1"/>
      <c r="E61" s="71"/>
      <c r="F61" s="1"/>
      <c r="G61" s="1"/>
      <c r="H61" s="1"/>
      <c r="I61" s="71"/>
      <c r="J61" s="71"/>
      <c r="K61" s="71"/>
      <c r="L61" s="71"/>
      <c r="M61" s="71"/>
      <c r="N61" s="71"/>
      <c r="O61" s="147"/>
      <c r="P61" s="71"/>
      <c r="Q61" s="71"/>
      <c r="R61" s="71"/>
      <c r="S61" s="71"/>
      <c r="T61" s="71"/>
      <c r="U61" s="71"/>
      <c r="V61" s="71"/>
      <c r="W61" s="71"/>
      <c r="X61" s="71"/>
      <c r="Y61" s="82"/>
      <c r="Z61" s="1"/>
      <c r="AA61" s="100"/>
      <c r="AB61" s="1"/>
    </row>
    <row r="62" spans="1:28" ht="15" x14ac:dyDescent="0.25">
      <c r="A62" s="87"/>
      <c r="B62" s="87"/>
      <c r="C62" s="1"/>
      <c r="D62" s="1"/>
      <c r="E62" s="71"/>
      <c r="F62" s="1"/>
      <c r="G62" s="1"/>
      <c r="H62" s="1"/>
      <c r="I62" s="71"/>
      <c r="J62" s="71"/>
      <c r="K62" s="71"/>
      <c r="L62" s="71"/>
      <c r="M62" s="71"/>
      <c r="N62" s="71"/>
      <c r="O62" s="147"/>
      <c r="P62" s="71"/>
      <c r="Q62" s="71"/>
      <c r="R62" s="71"/>
      <c r="S62" s="71"/>
      <c r="T62" s="71"/>
      <c r="U62" s="71"/>
      <c r="V62" s="71"/>
      <c r="W62" s="71"/>
      <c r="X62" s="71"/>
      <c r="Y62" s="82"/>
      <c r="Z62" s="1"/>
      <c r="AA62" s="100"/>
      <c r="AB62" s="1"/>
    </row>
    <row r="63" spans="1:28" ht="15" x14ac:dyDescent="0.25">
      <c r="A63" s="1"/>
      <c r="B63" s="1"/>
      <c r="C63" s="1"/>
      <c r="D63" s="1"/>
      <c r="E63" s="71"/>
      <c r="F63" s="1"/>
      <c r="G63" s="1"/>
      <c r="H63" s="1"/>
      <c r="I63" s="71"/>
      <c r="J63" s="71"/>
      <c r="K63" s="71"/>
      <c r="L63" s="71"/>
      <c r="M63" s="71"/>
      <c r="N63" s="71"/>
      <c r="O63" s="147"/>
      <c r="P63" s="71"/>
      <c r="Q63" s="71"/>
      <c r="R63" s="71"/>
      <c r="S63" s="71"/>
      <c r="T63" s="71"/>
      <c r="U63" s="71"/>
      <c r="V63" s="71"/>
      <c r="W63" s="71"/>
      <c r="X63" s="71"/>
      <c r="Y63" s="82"/>
      <c r="Z63" s="1"/>
      <c r="AA63" s="100"/>
      <c r="AB63" s="1"/>
    </row>
    <row r="64" spans="1:28" ht="15" x14ac:dyDescent="0.25">
      <c r="A64" s="1"/>
      <c r="B64" s="1"/>
      <c r="C64" s="1"/>
      <c r="D64" s="1"/>
      <c r="E64" s="71"/>
      <c r="F64" s="1"/>
      <c r="G64" s="1"/>
      <c r="H64" s="1"/>
      <c r="I64" s="71"/>
      <c r="J64" s="71"/>
      <c r="K64" s="71"/>
      <c r="L64" s="71"/>
      <c r="M64" s="71"/>
      <c r="N64" s="71"/>
      <c r="O64" s="147"/>
      <c r="P64" s="71"/>
      <c r="Q64" s="71"/>
      <c r="R64" s="71"/>
      <c r="S64" s="71"/>
      <c r="T64" s="71"/>
      <c r="U64" s="71"/>
      <c r="V64" s="71"/>
      <c r="W64" s="71"/>
      <c r="X64" s="71"/>
      <c r="Y64" s="82"/>
      <c r="Z64" s="1"/>
      <c r="AA64" s="100"/>
      <c r="AB64" s="1"/>
    </row>
    <row r="65" spans="2:28" ht="15" x14ac:dyDescent="0.25">
      <c r="B65" s="16"/>
      <c r="C65" s="1"/>
      <c r="D65" s="1"/>
      <c r="E65" s="71"/>
      <c r="F65" s="1"/>
      <c r="G65" s="1"/>
      <c r="H65" s="1"/>
      <c r="I65" s="71"/>
      <c r="J65" s="71"/>
      <c r="K65" s="71"/>
      <c r="L65" s="71"/>
      <c r="M65" s="71"/>
      <c r="N65" s="71"/>
      <c r="O65" s="147"/>
      <c r="P65" s="71"/>
      <c r="Q65" s="71"/>
      <c r="R65" s="71"/>
      <c r="S65" s="71"/>
      <c r="T65" s="71"/>
      <c r="U65" s="71"/>
      <c r="V65" s="71"/>
      <c r="W65" s="71"/>
      <c r="X65" s="71"/>
      <c r="Y65" s="82"/>
      <c r="Z65" s="1"/>
      <c r="AA65" s="100"/>
      <c r="AB65" s="1"/>
    </row>
    <row r="66" spans="2:28" ht="15" x14ac:dyDescent="0.25">
      <c r="B66" s="16"/>
      <c r="C66" s="1"/>
      <c r="D66" s="1"/>
      <c r="E66" s="71"/>
      <c r="F66" s="1"/>
      <c r="G66" s="1"/>
      <c r="H66" s="1"/>
      <c r="I66" s="71"/>
      <c r="J66" s="71"/>
      <c r="K66" s="71"/>
      <c r="L66" s="71"/>
      <c r="M66" s="71"/>
      <c r="N66" s="71"/>
      <c r="O66" s="147"/>
      <c r="P66" s="71"/>
      <c r="Q66" s="71"/>
      <c r="R66" s="71"/>
      <c r="S66" s="71"/>
      <c r="T66" s="71"/>
      <c r="U66" s="71"/>
      <c r="V66" s="71"/>
      <c r="W66" s="71"/>
      <c r="X66" s="71"/>
      <c r="Y66" s="82"/>
      <c r="Z66" s="1"/>
      <c r="AA66" s="100"/>
      <c r="AB66" s="1"/>
    </row>
    <row r="67" spans="2:28" x14ac:dyDescent="0.25">
      <c r="C67" s="2"/>
      <c r="D67" s="2"/>
      <c r="E67" s="72"/>
      <c r="F67" s="2"/>
      <c r="G67" s="2"/>
      <c r="H67" s="2"/>
      <c r="I67" s="72"/>
      <c r="J67" s="72"/>
      <c r="K67" s="72"/>
      <c r="L67" s="72"/>
      <c r="M67" s="72"/>
      <c r="N67" s="72"/>
      <c r="O67" s="148"/>
      <c r="P67" s="72"/>
      <c r="Q67" s="72"/>
      <c r="R67" s="72"/>
      <c r="S67" s="72"/>
      <c r="T67" s="72"/>
      <c r="U67" s="72"/>
      <c r="V67" s="72"/>
      <c r="W67" s="72"/>
      <c r="X67" s="72"/>
      <c r="Y67" s="11"/>
      <c r="Z67" s="2"/>
      <c r="AA67" s="101"/>
      <c r="AB67" s="2"/>
    </row>
    <row r="68" spans="2:28" x14ac:dyDescent="0.25">
      <c r="C68" s="2"/>
      <c r="D68" s="2"/>
      <c r="E68" s="72"/>
      <c r="F68" s="2"/>
      <c r="G68" s="2"/>
      <c r="H68" s="2"/>
      <c r="I68" s="72"/>
      <c r="J68" s="72"/>
      <c r="K68" s="72"/>
      <c r="L68" s="72"/>
      <c r="M68" s="72"/>
      <c r="N68" s="72"/>
      <c r="O68" s="148"/>
      <c r="P68" s="72"/>
      <c r="Q68" s="72"/>
      <c r="R68" s="72"/>
      <c r="S68" s="72"/>
      <c r="T68" s="72"/>
      <c r="U68" s="72"/>
      <c r="V68" s="72"/>
      <c r="W68" s="72"/>
      <c r="X68" s="72"/>
      <c r="Y68" s="11"/>
      <c r="Z68" s="2"/>
      <c r="AA68" s="101"/>
      <c r="AB68" s="2"/>
    </row>
    <row r="69" spans="2:28" x14ac:dyDescent="0.25">
      <c r="C69" s="2"/>
      <c r="D69" s="2"/>
      <c r="E69" s="72"/>
      <c r="F69" s="2"/>
      <c r="G69" s="2"/>
      <c r="H69" s="2"/>
      <c r="I69" s="72"/>
      <c r="J69" s="72"/>
      <c r="K69" s="72"/>
      <c r="L69" s="72"/>
      <c r="M69" s="72"/>
      <c r="N69" s="72"/>
      <c r="O69" s="148"/>
      <c r="P69" s="72"/>
      <c r="Q69" s="72"/>
      <c r="R69" s="72"/>
      <c r="S69" s="72"/>
      <c r="T69" s="72"/>
      <c r="U69" s="72"/>
      <c r="V69" s="72"/>
      <c r="W69" s="72"/>
      <c r="X69" s="72"/>
      <c r="Y69" s="11"/>
      <c r="Z69" s="2"/>
      <c r="AA69" s="101"/>
      <c r="AB69" s="2"/>
    </row>
    <row r="70" spans="2:28" x14ac:dyDescent="0.25">
      <c r="C70" s="2"/>
      <c r="D70" s="2"/>
      <c r="E70" s="72"/>
      <c r="F70" s="2"/>
      <c r="G70" s="2"/>
      <c r="H70" s="2"/>
      <c r="I70" s="72"/>
      <c r="J70" s="72"/>
      <c r="K70" s="72"/>
      <c r="L70" s="72"/>
      <c r="M70" s="72"/>
      <c r="N70" s="72"/>
      <c r="O70" s="148"/>
      <c r="P70" s="72"/>
      <c r="Q70" s="72"/>
      <c r="R70" s="72"/>
      <c r="S70" s="72"/>
      <c r="T70" s="72"/>
      <c r="U70" s="72"/>
      <c r="V70" s="72"/>
      <c r="W70" s="72"/>
      <c r="X70" s="72"/>
      <c r="Y70" s="11"/>
      <c r="Z70" s="2"/>
      <c r="AA70" s="101"/>
      <c r="AB70" s="2"/>
    </row>
    <row r="71" spans="2:28" x14ac:dyDescent="0.25">
      <c r="C71" s="2"/>
      <c r="D71" s="2"/>
      <c r="E71" s="72"/>
      <c r="F71" s="2"/>
      <c r="G71" s="2"/>
      <c r="H71" s="2"/>
      <c r="I71" s="72"/>
      <c r="J71" s="72"/>
      <c r="K71" s="72"/>
      <c r="L71" s="72"/>
      <c r="M71" s="72"/>
      <c r="N71" s="72"/>
      <c r="O71" s="148"/>
      <c r="P71" s="72"/>
      <c r="Q71" s="72"/>
      <c r="R71" s="72"/>
      <c r="S71" s="72"/>
      <c r="T71" s="72"/>
      <c r="U71" s="72"/>
      <c r="V71" s="72"/>
      <c r="W71" s="72"/>
      <c r="X71" s="72"/>
      <c r="Y71" s="11"/>
      <c r="Z71" s="2"/>
      <c r="AA71" s="101"/>
      <c r="AB71" s="2"/>
    </row>
    <row r="72" spans="2:28" x14ac:dyDescent="0.25">
      <c r="C72" s="2"/>
      <c r="D72" s="2"/>
      <c r="E72" s="72"/>
      <c r="F72" s="2"/>
      <c r="G72" s="2"/>
      <c r="H72" s="2"/>
      <c r="I72" s="72"/>
      <c r="J72" s="72"/>
      <c r="K72" s="72"/>
      <c r="L72" s="72"/>
      <c r="M72" s="72"/>
      <c r="N72" s="72"/>
      <c r="O72" s="148"/>
      <c r="P72" s="72"/>
      <c r="Q72" s="72"/>
      <c r="R72" s="72"/>
      <c r="S72" s="72"/>
      <c r="T72" s="72"/>
      <c r="U72" s="72"/>
      <c r="V72" s="72"/>
      <c r="W72" s="72"/>
      <c r="X72" s="72"/>
      <c r="Y72" s="11"/>
      <c r="Z72" s="2"/>
      <c r="AA72" s="101"/>
      <c r="AB72" s="2"/>
    </row>
    <row r="73" spans="2:28" x14ac:dyDescent="0.25">
      <c r="C73" s="2"/>
      <c r="D73" s="2"/>
      <c r="E73" s="72"/>
      <c r="F73" s="2"/>
      <c r="G73" s="2"/>
      <c r="H73" s="2"/>
      <c r="I73" s="72"/>
      <c r="J73" s="72"/>
      <c r="K73" s="72"/>
      <c r="L73" s="72"/>
      <c r="M73" s="72"/>
      <c r="N73" s="72"/>
      <c r="O73" s="148"/>
      <c r="P73" s="72"/>
      <c r="Q73" s="72"/>
      <c r="R73" s="72"/>
      <c r="S73" s="72"/>
      <c r="T73" s="72"/>
      <c r="U73" s="72"/>
      <c r="V73" s="72"/>
      <c r="W73" s="72"/>
      <c r="X73" s="72"/>
      <c r="Y73" s="11"/>
      <c r="Z73" s="2"/>
      <c r="AA73" s="101"/>
      <c r="AB73" s="2"/>
    </row>
    <row r="74" spans="2:28" x14ac:dyDescent="0.25">
      <c r="C74" s="2"/>
      <c r="D74" s="2"/>
      <c r="E74" s="72"/>
      <c r="F74" s="2"/>
      <c r="G74" s="2"/>
      <c r="H74" s="2"/>
      <c r="I74" s="72"/>
      <c r="J74" s="72"/>
      <c r="K74" s="72"/>
      <c r="L74" s="72"/>
      <c r="M74" s="72"/>
      <c r="N74" s="72"/>
      <c r="O74" s="148"/>
      <c r="P74" s="72"/>
      <c r="Q74" s="72"/>
      <c r="R74" s="72"/>
      <c r="S74" s="72"/>
      <c r="T74" s="72"/>
      <c r="U74" s="72"/>
      <c r="V74" s="72"/>
      <c r="W74" s="72"/>
      <c r="X74" s="72"/>
      <c r="Y74" s="11"/>
      <c r="Z74" s="2"/>
      <c r="AA74" s="101"/>
      <c r="AB74" s="2"/>
    </row>
    <row r="75" spans="2:28" x14ac:dyDescent="0.25">
      <c r="C75" s="2"/>
      <c r="D75" s="2"/>
      <c r="E75" s="72"/>
      <c r="F75" s="2"/>
      <c r="G75" s="2"/>
      <c r="H75" s="2"/>
      <c r="I75" s="72"/>
      <c r="J75" s="72"/>
      <c r="K75" s="72"/>
      <c r="L75" s="72"/>
      <c r="M75" s="72"/>
      <c r="N75" s="72"/>
      <c r="O75" s="148"/>
      <c r="P75" s="72"/>
      <c r="Q75" s="72"/>
      <c r="R75" s="72"/>
      <c r="S75" s="72"/>
      <c r="T75" s="72"/>
      <c r="U75" s="72"/>
      <c r="V75" s="72"/>
      <c r="W75" s="72"/>
      <c r="X75" s="72"/>
      <c r="Y75" s="11"/>
      <c r="Z75" s="2"/>
      <c r="AA75" s="101"/>
      <c r="AB75" s="2"/>
    </row>
    <row r="76" spans="2:28" x14ac:dyDescent="0.25">
      <c r="C76" s="2"/>
      <c r="D76" s="2"/>
      <c r="E76" s="72"/>
      <c r="F76" s="2"/>
      <c r="G76" s="2"/>
      <c r="H76" s="2"/>
      <c r="I76" s="72"/>
      <c r="J76" s="72"/>
      <c r="K76" s="72"/>
      <c r="L76" s="72"/>
      <c r="M76" s="72"/>
      <c r="N76" s="72"/>
      <c r="O76" s="148"/>
      <c r="P76" s="72"/>
      <c r="Q76" s="72"/>
      <c r="R76" s="72"/>
      <c r="S76" s="72"/>
      <c r="T76" s="72"/>
      <c r="U76" s="72"/>
      <c r="V76" s="72"/>
      <c r="W76" s="72"/>
      <c r="X76" s="72"/>
      <c r="Y76" s="11"/>
      <c r="Z76" s="2"/>
      <c r="AA76" s="101"/>
      <c r="AB76" s="2"/>
    </row>
    <row r="77" spans="2:28" x14ac:dyDescent="0.25">
      <c r="C77" s="2"/>
      <c r="D77" s="2"/>
      <c r="E77" s="72"/>
      <c r="F77" s="2"/>
      <c r="G77" s="2"/>
      <c r="H77" s="2"/>
      <c r="I77" s="72"/>
      <c r="J77" s="72"/>
      <c r="K77" s="72"/>
      <c r="L77" s="72"/>
      <c r="M77" s="72"/>
      <c r="N77" s="72"/>
      <c r="O77" s="148"/>
      <c r="P77" s="72"/>
      <c r="Q77" s="72"/>
      <c r="R77" s="72"/>
      <c r="S77" s="72"/>
      <c r="T77" s="72"/>
      <c r="U77" s="72"/>
      <c r="V77" s="72"/>
      <c r="W77" s="72"/>
      <c r="X77" s="72"/>
      <c r="Y77" s="11"/>
      <c r="Z77" s="2"/>
      <c r="AA77" s="101"/>
      <c r="AB77" s="2"/>
    </row>
    <row r="78" spans="2:28" x14ac:dyDescent="0.25">
      <c r="C78" s="2"/>
      <c r="D78" s="2"/>
      <c r="E78" s="72"/>
      <c r="F78" s="2"/>
      <c r="G78" s="2"/>
      <c r="H78" s="2"/>
      <c r="I78" s="72"/>
      <c r="J78" s="72"/>
      <c r="K78" s="72"/>
      <c r="L78" s="72"/>
      <c r="M78" s="72"/>
      <c r="N78" s="72"/>
      <c r="O78" s="148"/>
      <c r="P78" s="72"/>
      <c r="Q78" s="72"/>
      <c r="R78" s="72"/>
      <c r="S78" s="72"/>
      <c r="T78" s="72"/>
      <c r="U78" s="72"/>
      <c r="V78" s="72"/>
      <c r="W78" s="72"/>
      <c r="X78" s="72"/>
      <c r="Y78" s="11"/>
      <c r="Z78" s="2"/>
      <c r="AA78" s="101"/>
      <c r="AB78" s="2"/>
    </row>
    <row r="79" spans="2:28" x14ac:dyDescent="0.25">
      <c r="C79" s="2"/>
      <c r="D79" s="2"/>
      <c r="E79" s="72"/>
      <c r="F79" s="2"/>
      <c r="G79" s="2"/>
      <c r="H79" s="2"/>
      <c r="I79" s="72"/>
      <c r="J79" s="72"/>
      <c r="K79" s="72"/>
      <c r="L79" s="72"/>
      <c r="M79" s="72"/>
      <c r="N79" s="72"/>
      <c r="O79" s="148"/>
      <c r="P79" s="72"/>
      <c r="Q79" s="72"/>
      <c r="R79" s="72"/>
      <c r="S79" s="72"/>
      <c r="T79" s="72"/>
      <c r="U79" s="72"/>
      <c r="V79" s="72"/>
      <c r="W79" s="72"/>
      <c r="X79" s="72"/>
      <c r="Y79" s="11"/>
      <c r="Z79" s="2"/>
      <c r="AA79" s="101"/>
      <c r="AB79" s="2"/>
    </row>
    <row r="80" spans="2:28" x14ac:dyDescent="0.25">
      <c r="C80" s="2"/>
      <c r="D80" s="2"/>
      <c r="E80" s="72"/>
      <c r="F80" s="2"/>
      <c r="G80" s="2"/>
      <c r="H80" s="2"/>
      <c r="I80" s="72"/>
      <c r="J80" s="72"/>
      <c r="K80" s="72"/>
      <c r="L80" s="72"/>
      <c r="M80" s="72"/>
      <c r="N80" s="72"/>
      <c r="O80" s="148"/>
      <c r="P80" s="72"/>
      <c r="Q80" s="72"/>
      <c r="R80" s="72"/>
      <c r="S80" s="72"/>
      <c r="T80" s="72"/>
      <c r="U80" s="72"/>
      <c r="V80" s="72"/>
      <c r="W80" s="72"/>
      <c r="X80" s="72"/>
      <c r="Y80" s="11"/>
      <c r="Z80" s="2"/>
      <c r="AA80" s="101"/>
      <c r="AB80" s="2"/>
    </row>
    <row r="81" spans="3:28" x14ac:dyDescent="0.25">
      <c r="C81" s="2"/>
      <c r="D81" s="2"/>
      <c r="E81" s="72"/>
      <c r="F81" s="2"/>
      <c r="G81" s="2"/>
      <c r="H81" s="2"/>
      <c r="I81" s="72"/>
      <c r="J81" s="72"/>
      <c r="K81" s="72"/>
      <c r="L81" s="72"/>
      <c r="M81" s="72"/>
      <c r="N81" s="72"/>
      <c r="O81" s="148"/>
      <c r="P81" s="72"/>
      <c r="Q81" s="72"/>
      <c r="R81" s="72"/>
      <c r="S81" s="72"/>
      <c r="T81" s="72"/>
      <c r="U81" s="72"/>
      <c r="V81" s="72"/>
      <c r="W81" s="72"/>
      <c r="X81" s="72"/>
      <c r="Y81" s="11"/>
      <c r="Z81" s="2"/>
      <c r="AA81" s="101"/>
      <c r="AB81" s="2"/>
    </row>
    <row r="82" spans="3:28" x14ac:dyDescent="0.25">
      <c r="C82" s="2"/>
      <c r="D82" s="2"/>
      <c r="E82" s="72"/>
      <c r="F82" s="2"/>
      <c r="G82" s="2"/>
      <c r="H82" s="2"/>
      <c r="I82" s="72"/>
      <c r="J82" s="72"/>
      <c r="K82" s="72"/>
      <c r="L82" s="72"/>
      <c r="M82" s="72"/>
      <c r="N82" s="72"/>
      <c r="O82" s="148"/>
      <c r="P82" s="72"/>
      <c r="Q82" s="72"/>
      <c r="R82" s="72"/>
      <c r="S82" s="72"/>
      <c r="T82" s="72"/>
      <c r="U82" s="72"/>
      <c r="V82" s="72"/>
      <c r="W82" s="72"/>
      <c r="X82" s="72"/>
      <c r="Y82" s="11"/>
      <c r="Z82" s="2"/>
      <c r="AA82" s="101"/>
      <c r="AB82" s="2"/>
    </row>
    <row r="83" spans="3:28" x14ac:dyDescent="0.25">
      <c r="C83" s="2"/>
      <c r="D83" s="2"/>
      <c r="E83" s="72"/>
      <c r="F83" s="2"/>
      <c r="G83" s="2"/>
      <c r="H83" s="2"/>
      <c r="I83" s="72"/>
      <c r="J83" s="72"/>
      <c r="K83" s="72"/>
      <c r="L83" s="72"/>
      <c r="M83" s="72"/>
      <c r="N83" s="72"/>
      <c r="O83" s="148"/>
      <c r="P83" s="72"/>
      <c r="Q83" s="72"/>
      <c r="R83" s="72"/>
      <c r="S83" s="72"/>
      <c r="T83" s="72"/>
      <c r="U83" s="72"/>
      <c r="V83" s="72"/>
      <c r="W83" s="72"/>
      <c r="X83" s="72"/>
      <c r="Y83" s="11"/>
      <c r="Z83" s="2"/>
      <c r="AA83" s="101"/>
      <c r="AB83" s="2"/>
    </row>
  </sheetData>
  <protectedRanges>
    <protectedRange sqref="Y12:Y43 C12:G42 J12:V42" name="Område1_4"/>
  </protectedRanges>
  <mergeCells count="39">
    <mergeCell ref="U44:W44"/>
    <mergeCell ref="A10:A11"/>
    <mergeCell ref="B10:B11"/>
    <mergeCell ref="C10:D10"/>
    <mergeCell ref="F10:F11"/>
    <mergeCell ref="G10:G11"/>
    <mergeCell ref="H10:H11"/>
    <mergeCell ref="I10:I11"/>
    <mergeCell ref="J10:J11"/>
    <mergeCell ref="R10:T10"/>
    <mergeCell ref="V10:W10"/>
    <mergeCell ref="V43:W43"/>
    <mergeCell ref="Y4:AB4"/>
    <mergeCell ref="Y5:AB5"/>
    <mergeCell ref="A6:B6"/>
    <mergeCell ref="Y6:AB6"/>
    <mergeCell ref="A7:C7"/>
    <mergeCell ref="G7:P8"/>
    <mergeCell ref="Y7:AD7"/>
    <mergeCell ref="AA8:AA9"/>
    <mergeCell ref="C9:J9"/>
    <mergeCell ref="K9:P9"/>
    <mergeCell ref="Q9:W9"/>
    <mergeCell ref="G1:I1"/>
    <mergeCell ref="Y1:AB1"/>
    <mergeCell ref="A2:B2"/>
    <mergeCell ref="C2:F2"/>
    <mergeCell ref="L2:P5"/>
    <mergeCell ref="Y2:AB2"/>
    <mergeCell ref="A3:B3"/>
    <mergeCell ref="C3:F3"/>
    <mergeCell ref="H3:I3"/>
    <mergeCell ref="V3:W3"/>
    <mergeCell ref="Y3:AB3"/>
    <mergeCell ref="A4:B4"/>
    <mergeCell ref="C4:D4"/>
    <mergeCell ref="E4:F4"/>
    <mergeCell ref="G4:H4"/>
    <mergeCell ref="V4:W4"/>
  </mergeCells>
  <conditionalFormatting sqref="W45:X45">
    <cfRule type="cellIs" dxfId="35" priority="25" operator="notBetween">
      <formula>-20</formula>
      <formula>20</formula>
    </cfRule>
  </conditionalFormatting>
  <conditionalFormatting sqref="AA12:AA42">
    <cfRule type="notContainsBlanks" dxfId="34" priority="31">
      <formula>LEN(TRIM(AA12))&gt;0</formula>
    </cfRule>
  </conditionalFormatting>
  <conditionalFormatting sqref="Z15:Z42 AB41:AB42">
    <cfRule type="notContainsBlanks" dxfId="33" priority="26">
      <formula>LEN(TRIM(Z15))&gt;0</formula>
    </cfRule>
  </conditionalFormatting>
  <conditionalFormatting sqref="Z11">
    <cfRule type="cellIs" dxfId="32" priority="22" operator="equal">
      <formula>"!"</formula>
    </cfRule>
  </conditionalFormatting>
  <conditionalFormatting sqref="X7:Y7 X1:Y5">
    <cfRule type="notContainsBlanks" dxfId="31" priority="27">
      <formula>LEN(TRIM(X1))&gt;0</formula>
    </cfRule>
  </conditionalFormatting>
  <conditionalFormatting sqref="K6">
    <cfRule type="notContainsBlanks" dxfId="30" priority="21">
      <formula>LEN(TRIM(K6))&gt;0</formula>
    </cfRule>
  </conditionalFormatting>
  <conditionalFormatting sqref="F6 D6">
    <cfRule type="cellIs" dxfId="29" priority="20" operator="greaterThan">
      <formula>0.833333333333333</formula>
    </cfRule>
  </conditionalFormatting>
  <conditionalFormatting sqref="O43 Q43:R43 T43:U43 X43">
    <cfRule type="cellIs" dxfId="28" priority="19" operator="greaterThan">
      <formula>0</formula>
    </cfRule>
  </conditionalFormatting>
  <conditionalFormatting sqref="B35:U35 Y35 W12:W42">
    <cfRule type="expression" dxfId="27" priority="18">
      <formula>"ANTAL.OM(Grunddata!A7:A19;$A32)&gt;0)"</formula>
    </cfRule>
  </conditionalFormatting>
  <conditionalFormatting sqref="B15:G17 W42:Y42 Y15:Y41 I15:U17 B18:U23 I12:I14 H12:H17 B29:U42 B24:D28 F24:R28 U24:U28 W12:X41">
    <cfRule type="expression" dxfId="26" priority="28">
      <formula>WEEKDAY($A12,2)&gt;5</formula>
    </cfRule>
  </conditionalFormatting>
  <conditionalFormatting sqref="C2:F2">
    <cfRule type="expression" dxfId="25" priority="8">
      <formula>$G$2&lt;&gt;4</formula>
    </cfRule>
    <cfRule type="cellIs" dxfId="24" priority="16" operator="notBetween">
      <formula>1</formula>
      <formula>9999</formula>
    </cfRule>
  </conditionalFormatting>
  <conditionalFormatting sqref="A12:A42">
    <cfRule type="duplicateValues" dxfId="23" priority="13"/>
  </conditionalFormatting>
  <conditionalFormatting sqref="Z12:Z14 AB12:AB40">
    <cfRule type="notContainsBlanks" dxfId="22" priority="14">
      <formula>LEN(TRIM(Z12))&gt;0</formula>
    </cfRule>
  </conditionalFormatting>
  <conditionalFormatting sqref="A12:A42">
    <cfRule type="expression" dxfId="21" priority="12">
      <formula>"ANTAL.OM(Grunddata!$A$6:$A$18;A12)&gt;0"</formula>
    </cfRule>
  </conditionalFormatting>
  <conditionalFormatting sqref="A12:A42">
    <cfRule type="duplicateValues" dxfId="20" priority="11"/>
  </conditionalFormatting>
  <conditionalFormatting sqref="A12:G12 Y12:Y14 B13:G14 I12:U14 A13:A42">
    <cfRule type="expression" dxfId="19" priority="15">
      <formula>WEEKDAY($A12,2)&gt;5</formula>
    </cfRule>
  </conditionalFormatting>
  <conditionalFormatting sqref="V12:V42">
    <cfRule type="expression" dxfId="18" priority="9">
      <formula>"ANTAL.OM(Grunddata!A7:A19;$A32)&gt;0)"</formula>
    </cfRule>
  </conditionalFormatting>
  <conditionalFormatting sqref="V12:V42">
    <cfRule type="expression" dxfId="17" priority="10">
      <formula>WEEKDAY($A12,2)&gt;5</formula>
    </cfRule>
  </conditionalFormatting>
  <conditionalFormatting sqref="V43">
    <cfRule type="expression" dxfId="16" priority="6">
      <formula>"ANTAL.OM(Grunddata!A7:A19;$A32)&gt;0)"</formula>
    </cfRule>
  </conditionalFormatting>
  <conditionalFormatting sqref="V43">
    <cfRule type="expression" dxfId="15" priority="7">
      <formula>WEEKDAY($A43,2)&gt;5</formula>
    </cfRule>
  </conditionalFormatting>
  <conditionalFormatting sqref="D6 F6">
    <cfRule type="expression" dxfId="14" priority="5">
      <formula>COUNT($F$6,$D$6)=2</formula>
    </cfRule>
  </conditionalFormatting>
  <conditionalFormatting sqref="L37:L38">
    <cfRule type="expression" dxfId="13" priority="4">
      <formula>"ANTAL.OM(Grunddata!A7:A19;$A32)&gt;0)"</formula>
    </cfRule>
  </conditionalFormatting>
  <conditionalFormatting sqref="AG47">
    <cfRule type="expression" dxfId="12" priority="3">
      <formula>CELL("skydd",AG47)=1</formula>
    </cfRule>
  </conditionalFormatting>
  <conditionalFormatting sqref="E24:E28">
    <cfRule type="expression" dxfId="11" priority="2">
      <formula>WEEKDAY($A24,2)&gt;5</formula>
    </cfRule>
  </conditionalFormatting>
  <conditionalFormatting sqref="S24:T28">
    <cfRule type="expression" dxfId="10" priority="1">
      <formula>WEEKDAY($A24,2)&gt;5</formula>
    </cfRule>
  </conditionalFormatting>
  <pageMargins left="0.62992125984251968" right="0.19685039370078741" top="0.47244094488188981" bottom="0.33645833333333336" header="0.23622047244094491" footer="7.874015748031496E-2"/>
  <pageSetup paperSize="9" scale="51" orientation="landscape" horizontalDpi="4294967292" r:id="rId1"/>
  <headerFooter alignWithMargins="0">
    <oddHeader>&amp;L&amp;"Arial,Fet"&amp;12TIDRAPPORT             &amp;C&amp;"Arial,Fet"&amp;12Björn Lundén Information AB</oddHeader>
    <oddFooter>&amp;L&amp;F</oddFooter>
  </headerFooter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4" operator="between" id="{3E9F472E-A049-4DED-B9C3-5810FD839730}">
            <xm:f>0</xm:f>
            <xm:f>Grunddata!$C$2</xm:f>
            <x14:dxf>
              <font>
                <color theme="3"/>
              </font>
              <fill>
                <patternFill>
                  <bgColor theme="8" tint="0.59996337778862885"/>
                </patternFill>
              </fill>
            </x14:dxf>
          </x14:cfRule>
          <xm:sqref>AA12:AA42</xm:sqref>
        </x14:conditionalFormatting>
        <x14:conditionalFormatting xmlns:xm="http://schemas.microsoft.com/office/excel/2006/main">
          <x14:cfRule type="cellIs" priority="23" operator="equal" id="{DAE89DA5-25E9-474F-B73B-9D63FCA97CEF}">
            <xm:f>Grunddata!$C$2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AA12:AA42</xm:sqref>
        </x14:conditionalFormatting>
        <x14:conditionalFormatting xmlns:xm="http://schemas.microsoft.com/office/excel/2006/main">
          <x14:cfRule type="cellIs" priority="29" operator="greaterThan" id="{C78EB21C-688B-4485-BFA7-42E0693F2B9C}">
            <xm:f>Grunddata!$C$3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0" operator="lessThan" id="{A521C84B-00B8-46E3-9F97-47C3B8C7AD0F}">
            <xm:f>Grunddata!$C$4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V4</xm:sqref>
        </x14:conditionalFormatting>
        <x14:conditionalFormatting xmlns:xm="http://schemas.microsoft.com/office/excel/2006/main">
          <x14:cfRule type="cellIs" priority="17" operator="between" id="{85D4279A-2CCD-4BA2-8803-64064DF125C9}">
            <xm:f>Grunddata!$C$4</xm:f>
            <xm:f>Grunddata!$C$3</xm:f>
            <x14:dxf>
              <fill>
                <patternFill>
                  <bgColor theme="6" tint="0.59996337778862885"/>
                </patternFill>
              </fill>
            </x14:dxf>
          </x14:cfRule>
          <xm:sqref>V4</xm:sqref>
        </x14:conditionalFormatting>
        <x14:conditionalFormatting xmlns:xm="http://schemas.microsoft.com/office/excel/2006/main">
          <x14:cfRule type="cellIs" priority="32" operator="lessThan" id="{68D6AA43-7CFA-4C1D-AC75-6F83A3C89920}">
            <xm:f>Grunddata!$C$1</xm:f>
            <x14:dxf>
              <font>
                <color rgb="FF0070C0"/>
              </font>
            </x14:dxf>
          </x14:cfRule>
          <xm:sqref>H12:H42</xm:sqref>
        </x14:conditionalFormatting>
        <x14:conditionalFormatting xmlns:xm="http://schemas.microsoft.com/office/excel/2006/main">
          <x14:cfRule type="cellIs" priority="33" operator="greaterThan" id="{28088E48-1A95-480C-8879-A1687546D798}">
            <xm:f>Grunddata!$C$1</xm:f>
            <x14:dxf>
              <font>
                <color rgb="FF9C0006"/>
              </font>
            </x14:dxf>
          </x14:cfRule>
          <xm:sqref>H12:H42</xm:sqref>
        </x14:conditionalFormatting>
        <x14:conditionalFormatting xmlns:xm="http://schemas.microsoft.com/office/excel/2006/main">
          <x14:cfRule type="expression" priority="170" id="{7C1124E0-0090-4FC9-A3E2-D5F22441BE41}">
            <xm:f>OR(Grunddata!$A$20=$A12,Grunddata!$A$21=$A12,Grunddata!$A$22=$A12,Grunddata!$A$23=$A12,Grunddata!$A$24=$A12,Grunddata!$A$25=$A12,Grunddata!$A$26=$A12,Grunddata!$A$27=$A12,Grunddata!$A$28=$A12,Grunddata!$A$29=$A12,Grunddata!$A$30=$A12,Grunddata!$A$31=$A12,Grunddata!$A$16=$A12,Grunddata!$A$17=$A12,Grunddata!$A$18=$A12,Grunddata!$A$19=$A12)</xm:f>
            <x14:dxf>
              <fill>
                <patternFill>
                  <bgColor rgb="FFD0E0F4"/>
                </patternFill>
              </fill>
            </x14:dxf>
          </x14:cfRule>
          <xm:sqref>A12:G12 B13:G17 V12:V43 H12:U17 B18:U42 W12:Y42 A13:A42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CADC03-6AAE-44C3-B45D-DB6180D1A52E}">
          <x14:formula1>
            <xm:f>Grunddata!$E$1:$E$2</xm:f>
          </x14:formula1>
          <xm:sqref>J1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7A152-B079-4E79-BA21-B85E10AC80BE}">
  <sheetPr codeName="Blad8"/>
  <dimension ref="A1:T133"/>
  <sheetViews>
    <sheetView topLeftCell="A118" workbookViewId="0">
      <selection activeCell="F133" sqref="F133"/>
    </sheetView>
  </sheetViews>
  <sheetFormatPr defaultColWidth="8.88671875" defaultRowHeight="14.4" x14ac:dyDescent="0.3"/>
  <cols>
    <col min="1" max="1" width="8.88671875" style="234"/>
    <col min="2" max="2" width="24.44140625" style="229" bestFit="1" customWidth="1"/>
    <col min="3" max="3" width="7.109375" style="229" bestFit="1" customWidth="1"/>
    <col min="4" max="4" width="8.88671875" style="229"/>
    <col min="5" max="5" width="8.88671875" style="235"/>
    <col min="6" max="6" width="10.6640625" style="227" customWidth="1"/>
    <col min="7" max="8" width="8.88671875" style="428"/>
    <col min="9" max="12" width="8.88671875" style="229"/>
    <col min="13" max="13" width="14.88671875" style="229" customWidth="1"/>
    <col min="14" max="16384" width="8.88671875" style="229"/>
  </cols>
  <sheetData>
    <row r="1" spans="1:20" ht="15.6" x14ac:dyDescent="0.3">
      <c r="A1" s="223" t="s">
        <v>408</v>
      </c>
      <c r="B1" s="224"/>
      <c r="C1" s="225"/>
      <c r="D1" s="226"/>
      <c r="E1" s="226"/>
    </row>
    <row r="2" spans="1:20" ht="15.6" x14ac:dyDescent="0.3">
      <c r="A2" s="223" t="s">
        <v>409</v>
      </c>
      <c r="B2" s="224"/>
      <c r="C2" s="225"/>
      <c r="D2" s="226" t="s">
        <v>410</v>
      </c>
      <c r="E2" s="226"/>
    </row>
    <row r="3" spans="1:20" ht="15.6" x14ac:dyDescent="0.3">
      <c r="A3" s="230"/>
      <c r="B3" s="224"/>
      <c r="C3" s="225"/>
      <c r="D3" s="226"/>
      <c r="E3" s="226"/>
    </row>
    <row r="4" spans="1:20" ht="53.4" x14ac:dyDescent="0.3">
      <c r="A4" s="394" t="s">
        <v>411</v>
      </c>
      <c r="B4" s="394" t="s">
        <v>103</v>
      </c>
      <c r="C4" s="395" t="s">
        <v>412</v>
      </c>
      <c r="D4" s="396" t="s">
        <v>413</v>
      </c>
      <c r="E4" s="397" t="s">
        <v>414</v>
      </c>
      <c r="F4" s="398" t="s">
        <v>415</v>
      </c>
      <c r="J4" s="229" t="s">
        <v>111</v>
      </c>
      <c r="K4" s="229">
        <f>J4*1</f>
        <v>1002</v>
      </c>
      <c r="L4" s="228" t="e">
        <f>IF(VLOOKUP(K4,$A$5:$F$117,6,FALSE)=0,"X",VLOOKUP(K4,$A$5:$F$117,6,FALSE))</f>
        <v>#N/A</v>
      </c>
      <c r="M4" s="231" t="e">
        <f>TEXT(L4/24,"tt:mm")</f>
        <v>#N/A</v>
      </c>
      <c r="N4" s="231" t="e">
        <f>M4*1</f>
        <v>#N/A</v>
      </c>
      <c r="P4" s="232" t="s">
        <v>416</v>
      </c>
      <c r="Q4" s="232"/>
      <c r="R4" s="232"/>
      <c r="S4" s="232"/>
      <c r="T4" s="232"/>
    </row>
    <row r="5" spans="1:20" x14ac:dyDescent="0.3">
      <c r="A5" s="408">
        <v>1006</v>
      </c>
      <c r="B5" s="408" t="s">
        <v>117</v>
      </c>
      <c r="C5" s="409">
        <v>242</v>
      </c>
      <c r="D5" s="410">
        <f t="shared" ref="D5:D36" si="0">SUM(C5/1040)</f>
        <v>0.2326923076923077</v>
      </c>
      <c r="E5" s="410">
        <v>0.25</v>
      </c>
      <c r="F5" s="411">
        <v>2</v>
      </c>
      <c r="G5" s="428" t="str">
        <f>TEXT(F5/24,"tt:mm")</f>
        <v>02:00</v>
      </c>
      <c r="J5" s="229" t="s">
        <v>113</v>
      </c>
      <c r="K5" s="229">
        <f t="shared" ref="K5:K68" si="1">J5*1</f>
        <v>1005</v>
      </c>
      <c r="L5" s="228" t="e">
        <f t="shared" ref="L5:L68" si="2">IF(VLOOKUP(K5,$A$5:$F$117,6,FALSE)=0,"X",VLOOKUP(K5,$A$5:$F$117,6,FALSE))</f>
        <v>#N/A</v>
      </c>
      <c r="M5" s="231" t="e">
        <f t="shared" ref="M5:M68" si="3">TEXT(L5/24,"tt:mm")</f>
        <v>#N/A</v>
      </c>
      <c r="N5" s="231" t="e">
        <f t="shared" ref="N5:N68" si="4">M5*1</f>
        <v>#N/A</v>
      </c>
    </row>
    <row r="6" spans="1:20" x14ac:dyDescent="0.3">
      <c r="A6" s="408">
        <v>1007</v>
      </c>
      <c r="B6" s="408" t="s">
        <v>119</v>
      </c>
      <c r="C6" s="409">
        <v>1208</v>
      </c>
      <c r="D6" s="410">
        <f t="shared" si="0"/>
        <v>1.1615384615384616</v>
      </c>
      <c r="E6" s="410">
        <v>1</v>
      </c>
      <c r="F6" s="411">
        <v>8</v>
      </c>
      <c r="G6" s="428" t="str">
        <f t="shared" ref="G6:G69" si="5">TEXT(F6/24,"tt:mm")</f>
        <v>08:00</v>
      </c>
      <c r="J6" s="229" t="s">
        <v>116</v>
      </c>
      <c r="K6" s="229">
        <f t="shared" si="1"/>
        <v>1006</v>
      </c>
      <c r="L6" s="228">
        <f t="shared" si="2"/>
        <v>2</v>
      </c>
      <c r="M6" s="231" t="str">
        <f t="shared" si="3"/>
        <v>02:00</v>
      </c>
      <c r="N6" s="231">
        <f t="shared" si="4"/>
        <v>8.3333333333333329E-2</v>
      </c>
    </row>
    <row r="7" spans="1:20" x14ac:dyDescent="0.3">
      <c r="A7" s="408">
        <v>1010</v>
      </c>
      <c r="B7" s="408" t="s">
        <v>128</v>
      </c>
      <c r="C7" s="409">
        <v>962</v>
      </c>
      <c r="D7" s="410">
        <f t="shared" si="0"/>
        <v>0.92500000000000004</v>
      </c>
      <c r="E7" s="410">
        <v>0.95</v>
      </c>
      <c r="F7" s="411">
        <v>7.75</v>
      </c>
      <c r="G7" s="428" t="str">
        <f t="shared" si="5"/>
        <v>07:45</v>
      </c>
      <c r="J7" s="229" t="s">
        <v>118</v>
      </c>
      <c r="K7" s="229">
        <f t="shared" si="1"/>
        <v>1007</v>
      </c>
      <c r="L7" s="228">
        <f t="shared" si="2"/>
        <v>8</v>
      </c>
      <c r="M7" s="231" t="str">
        <f t="shared" si="3"/>
        <v>08:00</v>
      </c>
      <c r="N7" s="231">
        <f t="shared" si="4"/>
        <v>0.33333333333333331</v>
      </c>
    </row>
    <row r="8" spans="1:20" x14ac:dyDescent="0.3">
      <c r="A8" s="408">
        <v>1011</v>
      </c>
      <c r="B8" s="408" t="s">
        <v>132</v>
      </c>
      <c r="C8" s="409">
        <v>716</v>
      </c>
      <c r="D8" s="410">
        <f t="shared" si="0"/>
        <v>0.68846153846153846</v>
      </c>
      <c r="E8" s="410">
        <v>0.7</v>
      </c>
      <c r="F8" s="411">
        <v>8</v>
      </c>
      <c r="G8" s="428" t="str">
        <f t="shared" si="5"/>
        <v>08:00</v>
      </c>
      <c r="J8" s="229" t="s">
        <v>124</v>
      </c>
      <c r="K8" s="229">
        <f t="shared" si="1"/>
        <v>1008</v>
      </c>
      <c r="L8" s="228" t="e">
        <f t="shared" si="2"/>
        <v>#N/A</v>
      </c>
      <c r="M8" s="231" t="e">
        <f t="shared" si="3"/>
        <v>#N/A</v>
      </c>
      <c r="N8" s="231" t="e">
        <f t="shared" si="4"/>
        <v>#N/A</v>
      </c>
    </row>
    <row r="9" spans="1:20" x14ac:dyDescent="0.3">
      <c r="A9" s="408">
        <v>1012</v>
      </c>
      <c r="B9" s="408" t="s">
        <v>136</v>
      </c>
      <c r="C9" s="409">
        <v>1131</v>
      </c>
      <c r="D9" s="410">
        <f t="shared" si="0"/>
        <v>1.0874999999999999</v>
      </c>
      <c r="E9" s="410">
        <v>1</v>
      </c>
      <c r="F9" s="411">
        <v>8</v>
      </c>
      <c r="G9" s="428" t="str">
        <f t="shared" si="5"/>
        <v>08:00</v>
      </c>
      <c r="J9" s="229" t="s">
        <v>127</v>
      </c>
      <c r="K9" s="229">
        <f t="shared" si="1"/>
        <v>1010</v>
      </c>
      <c r="L9" s="228">
        <f t="shared" si="2"/>
        <v>7.75</v>
      </c>
      <c r="M9" s="231" t="str">
        <f t="shared" si="3"/>
        <v>07:45</v>
      </c>
      <c r="N9" s="231">
        <f t="shared" si="4"/>
        <v>0.32291666666666669</v>
      </c>
      <c r="Q9" s="233"/>
    </row>
    <row r="10" spans="1:20" x14ac:dyDescent="0.3">
      <c r="A10" s="408">
        <v>1013</v>
      </c>
      <c r="B10" s="408" t="s">
        <v>140</v>
      </c>
      <c r="C10" s="409">
        <v>1024</v>
      </c>
      <c r="D10" s="410">
        <f t="shared" si="0"/>
        <v>0.98461538461538467</v>
      </c>
      <c r="E10" s="410">
        <v>1</v>
      </c>
      <c r="F10" s="411">
        <v>8</v>
      </c>
      <c r="G10" s="428" t="str">
        <f t="shared" si="5"/>
        <v>08:00</v>
      </c>
      <c r="J10" s="229" t="s">
        <v>131</v>
      </c>
      <c r="K10" s="229">
        <f t="shared" si="1"/>
        <v>1011</v>
      </c>
      <c r="L10" s="228">
        <f t="shared" si="2"/>
        <v>8</v>
      </c>
      <c r="M10" s="231" t="str">
        <f t="shared" si="3"/>
        <v>08:00</v>
      </c>
      <c r="N10" s="231">
        <f t="shared" si="4"/>
        <v>0.33333333333333331</v>
      </c>
    </row>
    <row r="11" spans="1:20" x14ac:dyDescent="0.3">
      <c r="A11" s="408">
        <v>1014</v>
      </c>
      <c r="B11" s="408" t="s">
        <v>142</v>
      </c>
      <c r="C11" s="409">
        <v>1079</v>
      </c>
      <c r="D11" s="410">
        <f t="shared" si="0"/>
        <v>1.0375000000000001</v>
      </c>
      <c r="E11" s="410">
        <v>1</v>
      </c>
      <c r="F11" s="411">
        <v>8</v>
      </c>
      <c r="G11" s="428" t="str">
        <f t="shared" si="5"/>
        <v>08:00</v>
      </c>
      <c r="J11" s="229" t="s">
        <v>135</v>
      </c>
      <c r="K11" s="229">
        <f t="shared" si="1"/>
        <v>1012</v>
      </c>
      <c r="L11" s="228">
        <f t="shared" si="2"/>
        <v>8</v>
      </c>
      <c r="M11" s="231" t="str">
        <f t="shared" si="3"/>
        <v>08:00</v>
      </c>
      <c r="N11" s="231">
        <f t="shared" si="4"/>
        <v>0.33333333333333331</v>
      </c>
    </row>
    <row r="12" spans="1:20" x14ac:dyDescent="0.3">
      <c r="A12" s="408">
        <v>1017</v>
      </c>
      <c r="B12" s="408" t="s">
        <v>145</v>
      </c>
      <c r="C12" s="409">
        <v>1027</v>
      </c>
      <c r="D12" s="410">
        <f t="shared" si="0"/>
        <v>0.98750000000000004</v>
      </c>
      <c r="E12" s="410">
        <v>1</v>
      </c>
      <c r="F12" s="411">
        <v>8</v>
      </c>
      <c r="G12" s="428" t="str">
        <f t="shared" si="5"/>
        <v>08:00</v>
      </c>
      <c r="J12" s="229" t="s">
        <v>139</v>
      </c>
      <c r="K12" s="229">
        <f t="shared" si="1"/>
        <v>1013</v>
      </c>
      <c r="L12" s="228">
        <f t="shared" si="2"/>
        <v>8</v>
      </c>
      <c r="M12" s="231" t="str">
        <f t="shared" si="3"/>
        <v>08:00</v>
      </c>
      <c r="N12" s="231">
        <f t="shared" si="4"/>
        <v>0.33333333333333331</v>
      </c>
    </row>
    <row r="13" spans="1:20" x14ac:dyDescent="0.3">
      <c r="A13" s="408">
        <v>1019</v>
      </c>
      <c r="B13" s="408" t="s">
        <v>147</v>
      </c>
      <c r="C13" s="409">
        <v>1076</v>
      </c>
      <c r="D13" s="410">
        <f t="shared" si="0"/>
        <v>1.0346153846153847</v>
      </c>
      <c r="E13" s="410">
        <v>1</v>
      </c>
      <c r="F13" s="411">
        <v>8</v>
      </c>
      <c r="G13" s="428" t="str">
        <f t="shared" si="5"/>
        <v>08:00</v>
      </c>
      <c r="J13" s="229" t="s">
        <v>141</v>
      </c>
      <c r="K13" s="229">
        <f t="shared" si="1"/>
        <v>1014</v>
      </c>
      <c r="L13" s="228">
        <f t="shared" si="2"/>
        <v>8</v>
      </c>
      <c r="M13" s="231" t="str">
        <f t="shared" si="3"/>
        <v>08:00</v>
      </c>
      <c r="N13" s="231">
        <f t="shared" si="4"/>
        <v>0.33333333333333331</v>
      </c>
    </row>
    <row r="14" spans="1:20" x14ac:dyDescent="0.3">
      <c r="A14" s="408">
        <v>1021</v>
      </c>
      <c r="B14" s="408" t="s">
        <v>150</v>
      </c>
      <c r="C14" s="409">
        <v>1057</v>
      </c>
      <c r="D14" s="410">
        <f t="shared" si="0"/>
        <v>1.0163461538461538</v>
      </c>
      <c r="E14" s="410">
        <v>1</v>
      </c>
      <c r="F14" s="411">
        <v>8</v>
      </c>
      <c r="G14" s="428" t="str">
        <f t="shared" si="5"/>
        <v>08:00</v>
      </c>
      <c r="J14" s="229" t="s">
        <v>144</v>
      </c>
      <c r="K14" s="229">
        <f t="shared" si="1"/>
        <v>1017</v>
      </c>
      <c r="L14" s="228">
        <f t="shared" si="2"/>
        <v>8</v>
      </c>
      <c r="M14" s="231" t="str">
        <f t="shared" si="3"/>
        <v>08:00</v>
      </c>
      <c r="N14" s="231">
        <f t="shared" si="4"/>
        <v>0.33333333333333331</v>
      </c>
    </row>
    <row r="15" spans="1:20" x14ac:dyDescent="0.3">
      <c r="A15" s="408">
        <v>1023</v>
      </c>
      <c r="B15" s="408" t="s">
        <v>152</v>
      </c>
      <c r="C15" s="409">
        <v>833</v>
      </c>
      <c r="D15" s="410">
        <f t="shared" si="0"/>
        <v>0.8009615384615385</v>
      </c>
      <c r="E15" s="410">
        <v>0.8</v>
      </c>
      <c r="F15" s="411">
        <v>8</v>
      </c>
      <c r="G15" s="428" t="str">
        <f t="shared" si="5"/>
        <v>08:00</v>
      </c>
      <c r="J15" s="229" t="s">
        <v>146</v>
      </c>
      <c r="K15" s="229">
        <f t="shared" si="1"/>
        <v>1019</v>
      </c>
      <c r="L15" s="228">
        <f t="shared" si="2"/>
        <v>8</v>
      </c>
      <c r="M15" s="231" t="str">
        <f t="shared" si="3"/>
        <v>08:00</v>
      </c>
      <c r="N15" s="231">
        <f t="shared" si="4"/>
        <v>0.33333333333333331</v>
      </c>
    </row>
    <row r="16" spans="1:20" x14ac:dyDescent="0.3">
      <c r="A16" s="408">
        <v>1025</v>
      </c>
      <c r="B16" s="408" t="s">
        <v>417</v>
      </c>
      <c r="C16" s="409">
        <v>1028</v>
      </c>
      <c r="D16" s="410">
        <f t="shared" si="0"/>
        <v>0.9884615384615385</v>
      </c>
      <c r="E16" s="410">
        <v>1</v>
      </c>
      <c r="F16" s="411">
        <v>8</v>
      </c>
      <c r="G16" s="428" t="str">
        <f t="shared" si="5"/>
        <v>08:00</v>
      </c>
      <c r="J16" s="229" t="s">
        <v>149</v>
      </c>
      <c r="K16" s="229">
        <f t="shared" si="1"/>
        <v>1021</v>
      </c>
      <c r="L16" s="228">
        <f t="shared" si="2"/>
        <v>8</v>
      </c>
      <c r="M16" s="231" t="str">
        <f t="shared" si="3"/>
        <v>08:00</v>
      </c>
      <c r="N16" s="231">
        <f t="shared" si="4"/>
        <v>0.33333333333333331</v>
      </c>
    </row>
    <row r="17" spans="1:14" x14ac:dyDescent="0.3">
      <c r="A17" s="408">
        <v>1026</v>
      </c>
      <c r="B17" s="408" t="s">
        <v>158</v>
      </c>
      <c r="C17" s="409">
        <v>1001</v>
      </c>
      <c r="D17" s="410">
        <f t="shared" si="0"/>
        <v>0.96250000000000002</v>
      </c>
      <c r="E17" s="410">
        <v>1</v>
      </c>
      <c r="F17" s="411">
        <v>8</v>
      </c>
      <c r="G17" s="428" t="str">
        <f t="shared" si="5"/>
        <v>08:00</v>
      </c>
      <c r="J17" s="229" t="s">
        <v>151</v>
      </c>
      <c r="K17" s="229">
        <f t="shared" si="1"/>
        <v>1023</v>
      </c>
      <c r="L17" s="228">
        <f t="shared" si="2"/>
        <v>8</v>
      </c>
      <c r="M17" s="231" t="str">
        <f t="shared" si="3"/>
        <v>08:00</v>
      </c>
      <c r="N17" s="231">
        <f t="shared" si="4"/>
        <v>0.33333333333333331</v>
      </c>
    </row>
    <row r="18" spans="1:14" x14ac:dyDescent="0.3">
      <c r="A18" s="408">
        <v>1027</v>
      </c>
      <c r="B18" s="408" t="s">
        <v>161</v>
      </c>
      <c r="C18" s="409">
        <v>1106</v>
      </c>
      <c r="D18" s="410">
        <f t="shared" si="0"/>
        <v>1.0634615384615385</v>
      </c>
      <c r="E18" s="410">
        <v>1</v>
      </c>
      <c r="F18" s="411">
        <v>8</v>
      </c>
      <c r="G18" s="428" t="str">
        <f t="shared" si="5"/>
        <v>08:00</v>
      </c>
      <c r="J18" s="229" t="s">
        <v>154</v>
      </c>
      <c r="K18" s="229">
        <f t="shared" si="1"/>
        <v>1025</v>
      </c>
      <c r="L18" s="228">
        <f t="shared" si="2"/>
        <v>8</v>
      </c>
      <c r="M18" s="231" t="str">
        <f t="shared" si="3"/>
        <v>08:00</v>
      </c>
      <c r="N18" s="231">
        <f t="shared" si="4"/>
        <v>0.33333333333333331</v>
      </c>
    </row>
    <row r="19" spans="1:14" x14ac:dyDescent="0.3">
      <c r="A19" s="408">
        <v>1028</v>
      </c>
      <c r="B19" s="408" t="s">
        <v>164</v>
      </c>
      <c r="C19" s="409">
        <v>1000</v>
      </c>
      <c r="D19" s="410">
        <f t="shared" si="0"/>
        <v>0.96153846153846156</v>
      </c>
      <c r="E19" s="410">
        <v>1</v>
      </c>
      <c r="F19" s="411">
        <v>8</v>
      </c>
      <c r="G19" s="428" t="str">
        <f t="shared" si="5"/>
        <v>08:00</v>
      </c>
      <c r="J19" s="229" t="s">
        <v>157</v>
      </c>
      <c r="K19" s="229">
        <f t="shared" si="1"/>
        <v>1026</v>
      </c>
      <c r="L19" s="228">
        <f t="shared" si="2"/>
        <v>8</v>
      </c>
      <c r="M19" s="231" t="str">
        <f t="shared" si="3"/>
        <v>08:00</v>
      </c>
      <c r="N19" s="231">
        <f t="shared" si="4"/>
        <v>0.33333333333333331</v>
      </c>
    </row>
    <row r="20" spans="1:14" x14ac:dyDescent="0.3">
      <c r="A20" s="408">
        <v>1029</v>
      </c>
      <c r="B20" s="408" t="s">
        <v>167</v>
      </c>
      <c r="C20" s="409">
        <v>1037</v>
      </c>
      <c r="D20" s="410">
        <f t="shared" si="0"/>
        <v>0.99711538461538463</v>
      </c>
      <c r="E20" s="410">
        <v>1</v>
      </c>
      <c r="F20" s="411">
        <v>8</v>
      </c>
      <c r="G20" s="428" t="str">
        <f t="shared" si="5"/>
        <v>08:00</v>
      </c>
      <c r="J20" s="229" t="s">
        <v>160</v>
      </c>
      <c r="K20" s="229">
        <f t="shared" si="1"/>
        <v>1027</v>
      </c>
      <c r="L20" s="228">
        <f t="shared" si="2"/>
        <v>8</v>
      </c>
      <c r="M20" s="231" t="str">
        <f t="shared" si="3"/>
        <v>08:00</v>
      </c>
      <c r="N20" s="231">
        <f t="shared" si="4"/>
        <v>0.33333333333333331</v>
      </c>
    </row>
    <row r="21" spans="1:14" x14ac:dyDescent="0.3">
      <c r="A21" s="408">
        <v>1032</v>
      </c>
      <c r="B21" s="408" t="s">
        <v>418</v>
      </c>
      <c r="C21" s="409">
        <v>889</v>
      </c>
      <c r="D21" s="410">
        <f t="shared" si="0"/>
        <v>0.85480769230769227</v>
      </c>
      <c r="E21" s="410">
        <v>0.85</v>
      </c>
      <c r="F21" s="411">
        <v>7</v>
      </c>
      <c r="G21" s="428" t="str">
        <f t="shared" si="5"/>
        <v>07:00</v>
      </c>
      <c r="J21" s="229" t="s">
        <v>163</v>
      </c>
      <c r="K21" s="229">
        <f t="shared" si="1"/>
        <v>1028</v>
      </c>
      <c r="L21" s="228">
        <f t="shared" si="2"/>
        <v>8</v>
      </c>
      <c r="M21" s="231" t="str">
        <f t="shared" si="3"/>
        <v>08:00</v>
      </c>
      <c r="N21" s="231">
        <f t="shared" si="4"/>
        <v>0.33333333333333331</v>
      </c>
    </row>
    <row r="22" spans="1:14" x14ac:dyDescent="0.3">
      <c r="A22" s="408">
        <v>1035</v>
      </c>
      <c r="B22" s="408" t="s">
        <v>173</v>
      </c>
      <c r="C22" s="409">
        <v>1057</v>
      </c>
      <c r="D22" s="410">
        <f t="shared" si="0"/>
        <v>1.0163461538461538</v>
      </c>
      <c r="E22" s="410">
        <v>1</v>
      </c>
      <c r="F22" s="411">
        <v>8</v>
      </c>
      <c r="G22" s="428" t="str">
        <f t="shared" si="5"/>
        <v>08:00</v>
      </c>
      <c r="J22" s="229" t="s">
        <v>166</v>
      </c>
      <c r="K22" s="229">
        <f t="shared" si="1"/>
        <v>1029</v>
      </c>
      <c r="L22" s="228">
        <f t="shared" si="2"/>
        <v>8</v>
      </c>
      <c r="M22" s="231" t="str">
        <f t="shared" si="3"/>
        <v>08:00</v>
      </c>
      <c r="N22" s="231">
        <f t="shared" si="4"/>
        <v>0.33333333333333331</v>
      </c>
    </row>
    <row r="23" spans="1:14" x14ac:dyDescent="0.3">
      <c r="A23" s="408">
        <v>1036</v>
      </c>
      <c r="B23" s="408" t="s">
        <v>176</v>
      </c>
      <c r="C23" s="409">
        <v>880</v>
      </c>
      <c r="D23" s="410">
        <f t="shared" si="0"/>
        <v>0.84615384615384615</v>
      </c>
      <c r="E23" s="410">
        <v>0.85</v>
      </c>
      <c r="F23" s="411">
        <v>7</v>
      </c>
      <c r="G23" s="428" t="str">
        <f t="shared" si="5"/>
        <v>07:00</v>
      </c>
      <c r="J23" s="229" t="s">
        <v>169</v>
      </c>
      <c r="K23" s="229">
        <f t="shared" si="1"/>
        <v>1032</v>
      </c>
      <c r="L23" s="228">
        <f t="shared" si="2"/>
        <v>7</v>
      </c>
      <c r="M23" s="231" t="str">
        <f t="shared" si="3"/>
        <v>07:00</v>
      </c>
      <c r="N23" s="231">
        <f t="shared" si="4"/>
        <v>0.29166666666666669</v>
      </c>
    </row>
    <row r="24" spans="1:14" x14ac:dyDescent="0.3">
      <c r="A24" s="408">
        <v>1037</v>
      </c>
      <c r="B24" s="408" t="s">
        <v>179</v>
      </c>
      <c r="C24" s="409">
        <v>1110</v>
      </c>
      <c r="D24" s="410">
        <f t="shared" si="0"/>
        <v>1.0673076923076923</v>
      </c>
      <c r="E24" s="410">
        <v>1</v>
      </c>
      <c r="F24" s="411">
        <v>8</v>
      </c>
      <c r="G24" s="428" t="str">
        <f t="shared" si="5"/>
        <v>08:00</v>
      </c>
      <c r="J24" s="229" t="s">
        <v>172</v>
      </c>
      <c r="K24" s="229">
        <f t="shared" si="1"/>
        <v>1035</v>
      </c>
      <c r="L24" s="228">
        <f t="shared" si="2"/>
        <v>8</v>
      </c>
      <c r="M24" s="231" t="str">
        <f t="shared" si="3"/>
        <v>08:00</v>
      </c>
      <c r="N24" s="231">
        <f t="shared" si="4"/>
        <v>0.33333333333333331</v>
      </c>
    </row>
    <row r="25" spans="1:14" x14ac:dyDescent="0.3">
      <c r="A25" s="408">
        <v>1041</v>
      </c>
      <c r="B25" s="408" t="s">
        <v>185</v>
      </c>
      <c r="C25" s="409">
        <v>1038</v>
      </c>
      <c r="D25" s="410">
        <f t="shared" si="0"/>
        <v>0.99807692307692308</v>
      </c>
      <c r="E25" s="410">
        <v>1</v>
      </c>
      <c r="F25" s="411">
        <v>8</v>
      </c>
      <c r="G25" s="428" t="str">
        <f t="shared" si="5"/>
        <v>08:00</v>
      </c>
      <c r="J25" s="229" t="s">
        <v>175</v>
      </c>
      <c r="K25" s="229">
        <f t="shared" si="1"/>
        <v>1036</v>
      </c>
      <c r="L25" s="228">
        <f t="shared" si="2"/>
        <v>7</v>
      </c>
      <c r="M25" s="231" t="str">
        <f t="shared" si="3"/>
        <v>07:00</v>
      </c>
      <c r="N25" s="231">
        <f t="shared" si="4"/>
        <v>0.29166666666666669</v>
      </c>
    </row>
    <row r="26" spans="1:14" x14ac:dyDescent="0.3">
      <c r="A26" s="408">
        <v>1042</v>
      </c>
      <c r="B26" s="408" t="s">
        <v>188</v>
      </c>
      <c r="C26" s="409">
        <v>895</v>
      </c>
      <c r="D26" s="410">
        <f t="shared" si="0"/>
        <v>0.86057692307692313</v>
      </c>
      <c r="E26" s="410">
        <v>0.9</v>
      </c>
      <c r="F26" s="411">
        <v>7.25</v>
      </c>
      <c r="G26" s="428" t="str">
        <f t="shared" si="5"/>
        <v>07:15</v>
      </c>
      <c r="J26" s="229" t="s">
        <v>178</v>
      </c>
      <c r="K26" s="229">
        <f t="shared" si="1"/>
        <v>1037</v>
      </c>
      <c r="L26" s="228">
        <f t="shared" si="2"/>
        <v>8</v>
      </c>
      <c r="M26" s="231" t="str">
        <f t="shared" si="3"/>
        <v>08:00</v>
      </c>
      <c r="N26" s="231">
        <f t="shared" si="4"/>
        <v>0.33333333333333331</v>
      </c>
    </row>
    <row r="27" spans="1:14" x14ac:dyDescent="0.3">
      <c r="A27" s="408">
        <v>1043</v>
      </c>
      <c r="B27" s="408" t="s">
        <v>191</v>
      </c>
      <c r="C27" s="409">
        <v>1074</v>
      </c>
      <c r="D27" s="410">
        <f t="shared" si="0"/>
        <v>1.0326923076923078</v>
      </c>
      <c r="E27" s="410">
        <v>1</v>
      </c>
      <c r="F27" s="411">
        <v>8</v>
      </c>
      <c r="G27" s="428" t="str">
        <f t="shared" si="5"/>
        <v>08:00</v>
      </c>
      <c r="J27" s="229" t="s">
        <v>181</v>
      </c>
      <c r="K27" s="229">
        <f t="shared" si="1"/>
        <v>1040</v>
      </c>
      <c r="L27" s="228" t="e">
        <f t="shared" si="2"/>
        <v>#N/A</v>
      </c>
      <c r="M27" s="231" t="e">
        <f t="shared" si="3"/>
        <v>#N/A</v>
      </c>
      <c r="N27" s="231" t="e">
        <f t="shared" si="4"/>
        <v>#N/A</v>
      </c>
    </row>
    <row r="28" spans="1:14" x14ac:dyDescent="0.3">
      <c r="A28" s="408">
        <v>1044</v>
      </c>
      <c r="B28" s="408" t="s">
        <v>194</v>
      </c>
      <c r="C28" s="409">
        <v>1053</v>
      </c>
      <c r="D28" s="410">
        <f t="shared" si="0"/>
        <v>1.0125</v>
      </c>
      <c r="E28" s="410">
        <v>1</v>
      </c>
      <c r="F28" s="411">
        <v>8</v>
      </c>
      <c r="G28" s="428" t="str">
        <f t="shared" si="5"/>
        <v>08:00</v>
      </c>
      <c r="J28" s="229" t="s">
        <v>184</v>
      </c>
      <c r="K28" s="229">
        <f t="shared" si="1"/>
        <v>1041</v>
      </c>
      <c r="L28" s="228">
        <f t="shared" si="2"/>
        <v>8</v>
      </c>
      <c r="M28" s="231" t="str">
        <f t="shared" si="3"/>
        <v>08:00</v>
      </c>
      <c r="N28" s="231">
        <f t="shared" si="4"/>
        <v>0.33333333333333331</v>
      </c>
    </row>
    <row r="29" spans="1:14" x14ac:dyDescent="0.3">
      <c r="A29" s="408">
        <v>1046</v>
      </c>
      <c r="B29" s="408" t="s">
        <v>197</v>
      </c>
      <c r="C29" s="409">
        <v>1048</v>
      </c>
      <c r="D29" s="410">
        <f t="shared" si="0"/>
        <v>1.0076923076923077</v>
      </c>
      <c r="E29" s="410">
        <v>1</v>
      </c>
      <c r="F29" s="411">
        <v>8</v>
      </c>
      <c r="G29" s="428" t="str">
        <f t="shared" si="5"/>
        <v>08:00</v>
      </c>
      <c r="J29" s="229" t="s">
        <v>187</v>
      </c>
      <c r="K29" s="229">
        <f t="shared" si="1"/>
        <v>1042</v>
      </c>
      <c r="L29" s="228">
        <f t="shared" si="2"/>
        <v>7.25</v>
      </c>
      <c r="M29" s="231" t="str">
        <f t="shared" si="3"/>
        <v>07:15</v>
      </c>
      <c r="N29" s="231">
        <f t="shared" si="4"/>
        <v>0.30208333333333331</v>
      </c>
    </row>
    <row r="30" spans="1:14" x14ac:dyDescent="0.3">
      <c r="A30" s="408">
        <v>1049</v>
      </c>
      <c r="B30" s="408" t="s">
        <v>200</v>
      </c>
      <c r="C30" s="409">
        <v>1109</v>
      </c>
      <c r="D30" s="410">
        <f t="shared" si="0"/>
        <v>1.0663461538461538</v>
      </c>
      <c r="E30" s="410">
        <v>1</v>
      </c>
      <c r="F30" s="411">
        <v>8</v>
      </c>
      <c r="G30" s="428" t="str">
        <f t="shared" si="5"/>
        <v>08:00</v>
      </c>
      <c r="J30" s="229" t="s">
        <v>190</v>
      </c>
      <c r="K30" s="229">
        <f t="shared" si="1"/>
        <v>1043</v>
      </c>
      <c r="L30" s="228">
        <f t="shared" si="2"/>
        <v>8</v>
      </c>
      <c r="M30" s="231" t="str">
        <f t="shared" si="3"/>
        <v>08:00</v>
      </c>
      <c r="N30" s="231">
        <f t="shared" si="4"/>
        <v>0.33333333333333331</v>
      </c>
    </row>
    <row r="31" spans="1:14" x14ac:dyDescent="0.3">
      <c r="A31" s="408">
        <v>1060</v>
      </c>
      <c r="B31" s="408" t="s">
        <v>202</v>
      </c>
      <c r="C31" s="409">
        <v>999</v>
      </c>
      <c r="D31" s="410">
        <f t="shared" si="0"/>
        <v>0.96057692307692311</v>
      </c>
      <c r="E31" s="410">
        <v>1</v>
      </c>
      <c r="F31" s="411">
        <v>8</v>
      </c>
      <c r="G31" s="428" t="str">
        <f t="shared" si="5"/>
        <v>08:00</v>
      </c>
      <c r="J31" s="229" t="s">
        <v>193</v>
      </c>
      <c r="K31" s="229">
        <f t="shared" si="1"/>
        <v>1044</v>
      </c>
      <c r="L31" s="228">
        <f t="shared" si="2"/>
        <v>8</v>
      </c>
      <c r="M31" s="231" t="str">
        <f t="shared" si="3"/>
        <v>08:00</v>
      </c>
      <c r="N31" s="231">
        <f t="shared" si="4"/>
        <v>0.33333333333333331</v>
      </c>
    </row>
    <row r="32" spans="1:14" x14ac:dyDescent="0.3">
      <c r="A32" s="408">
        <v>1061</v>
      </c>
      <c r="B32" s="408" t="s">
        <v>204</v>
      </c>
      <c r="C32" s="409">
        <v>1028</v>
      </c>
      <c r="D32" s="410">
        <f t="shared" si="0"/>
        <v>0.9884615384615385</v>
      </c>
      <c r="E32" s="410">
        <v>1</v>
      </c>
      <c r="F32" s="411">
        <v>8</v>
      </c>
      <c r="G32" s="428" t="str">
        <f t="shared" si="5"/>
        <v>08:00</v>
      </c>
      <c r="J32" s="229" t="s">
        <v>196</v>
      </c>
      <c r="K32" s="229">
        <f t="shared" si="1"/>
        <v>1046</v>
      </c>
      <c r="L32" s="228">
        <f t="shared" si="2"/>
        <v>8</v>
      </c>
      <c r="M32" s="231" t="str">
        <f t="shared" si="3"/>
        <v>08:00</v>
      </c>
      <c r="N32" s="231">
        <f t="shared" si="4"/>
        <v>0.33333333333333331</v>
      </c>
    </row>
    <row r="33" spans="1:14" x14ac:dyDescent="0.3">
      <c r="A33" s="408">
        <v>1065</v>
      </c>
      <c r="B33" s="408" t="s">
        <v>207</v>
      </c>
      <c r="C33" s="409">
        <v>1100</v>
      </c>
      <c r="D33" s="410">
        <f t="shared" si="0"/>
        <v>1.0576923076923077</v>
      </c>
      <c r="E33" s="410">
        <v>1</v>
      </c>
      <c r="F33" s="411">
        <v>8</v>
      </c>
      <c r="G33" s="428" t="str">
        <f t="shared" si="5"/>
        <v>08:00</v>
      </c>
      <c r="J33" s="229" t="s">
        <v>199</v>
      </c>
      <c r="K33" s="229">
        <f t="shared" si="1"/>
        <v>1049</v>
      </c>
      <c r="L33" s="228">
        <f t="shared" si="2"/>
        <v>8</v>
      </c>
      <c r="M33" s="231" t="str">
        <f t="shared" si="3"/>
        <v>08:00</v>
      </c>
      <c r="N33" s="231">
        <f t="shared" si="4"/>
        <v>0.33333333333333331</v>
      </c>
    </row>
    <row r="34" spans="1:14" x14ac:dyDescent="0.3">
      <c r="A34" s="408">
        <v>1070</v>
      </c>
      <c r="B34" s="408" t="s">
        <v>209</v>
      </c>
      <c r="C34" s="409">
        <v>1095</v>
      </c>
      <c r="D34" s="410">
        <f t="shared" si="0"/>
        <v>1.0528846153846154</v>
      </c>
      <c r="E34" s="410">
        <v>1</v>
      </c>
      <c r="F34" s="411">
        <v>8</v>
      </c>
      <c r="G34" s="428" t="str">
        <f t="shared" si="5"/>
        <v>08:00</v>
      </c>
      <c r="J34" s="229" t="s">
        <v>201</v>
      </c>
      <c r="K34" s="229">
        <f t="shared" si="1"/>
        <v>1060</v>
      </c>
      <c r="L34" s="228">
        <f t="shared" si="2"/>
        <v>8</v>
      </c>
      <c r="M34" s="231" t="str">
        <f t="shared" si="3"/>
        <v>08:00</v>
      </c>
      <c r="N34" s="231">
        <f t="shared" si="4"/>
        <v>0.33333333333333331</v>
      </c>
    </row>
    <row r="35" spans="1:14" x14ac:dyDescent="0.3">
      <c r="A35" s="408">
        <v>1072</v>
      </c>
      <c r="B35" s="408" t="s">
        <v>211</v>
      </c>
      <c r="C35" s="409">
        <v>1062</v>
      </c>
      <c r="D35" s="410">
        <f t="shared" si="0"/>
        <v>1.0211538461538461</v>
      </c>
      <c r="E35" s="410">
        <v>1</v>
      </c>
      <c r="F35" s="411">
        <v>8</v>
      </c>
      <c r="G35" s="428" t="str">
        <f t="shared" si="5"/>
        <v>08:00</v>
      </c>
      <c r="J35" s="229" t="s">
        <v>203</v>
      </c>
      <c r="K35" s="229">
        <f t="shared" si="1"/>
        <v>1061</v>
      </c>
      <c r="L35" s="228">
        <f t="shared" si="2"/>
        <v>8</v>
      </c>
      <c r="M35" s="231" t="str">
        <f t="shared" si="3"/>
        <v>08:00</v>
      </c>
      <c r="N35" s="231">
        <f t="shared" si="4"/>
        <v>0.33333333333333331</v>
      </c>
    </row>
    <row r="36" spans="1:14" x14ac:dyDescent="0.3">
      <c r="A36" s="408">
        <v>1078</v>
      </c>
      <c r="B36" s="408" t="s">
        <v>213</v>
      </c>
      <c r="C36" s="409">
        <v>967</v>
      </c>
      <c r="D36" s="410">
        <f t="shared" si="0"/>
        <v>0.92980769230769234</v>
      </c>
      <c r="E36" s="410">
        <v>0.95</v>
      </c>
      <c r="F36" s="411">
        <v>7.75</v>
      </c>
      <c r="G36" s="428" t="str">
        <f t="shared" si="5"/>
        <v>07:45</v>
      </c>
      <c r="J36" s="229" t="s">
        <v>206</v>
      </c>
      <c r="K36" s="229">
        <f t="shared" si="1"/>
        <v>1065</v>
      </c>
      <c r="L36" s="228">
        <f t="shared" si="2"/>
        <v>8</v>
      </c>
      <c r="M36" s="231" t="str">
        <f t="shared" si="3"/>
        <v>08:00</v>
      </c>
      <c r="N36" s="231">
        <f t="shared" si="4"/>
        <v>0.33333333333333331</v>
      </c>
    </row>
    <row r="37" spans="1:14" x14ac:dyDescent="0.3">
      <c r="A37" s="408">
        <v>1079</v>
      </c>
      <c r="B37" s="408" t="s">
        <v>215</v>
      </c>
      <c r="C37" s="409">
        <v>980</v>
      </c>
      <c r="D37" s="410">
        <f t="shared" ref="D37:D68" si="6">SUM(C37/1040)</f>
        <v>0.94230769230769229</v>
      </c>
      <c r="E37" s="410">
        <v>0.95</v>
      </c>
      <c r="F37" s="411">
        <v>7.75</v>
      </c>
      <c r="G37" s="428" t="str">
        <f t="shared" si="5"/>
        <v>07:45</v>
      </c>
      <c r="J37" s="229" t="s">
        <v>208</v>
      </c>
      <c r="K37" s="229">
        <f t="shared" si="1"/>
        <v>1070</v>
      </c>
      <c r="L37" s="228">
        <f t="shared" si="2"/>
        <v>8</v>
      </c>
      <c r="M37" s="231" t="str">
        <f t="shared" si="3"/>
        <v>08:00</v>
      </c>
      <c r="N37" s="231">
        <f t="shared" si="4"/>
        <v>0.33333333333333331</v>
      </c>
    </row>
    <row r="38" spans="1:14" x14ac:dyDescent="0.3">
      <c r="A38" s="408">
        <v>1080</v>
      </c>
      <c r="B38" s="408" t="s">
        <v>217</v>
      </c>
      <c r="C38" s="409">
        <v>1029</v>
      </c>
      <c r="D38" s="410">
        <f t="shared" si="6"/>
        <v>0.98942307692307696</v>
      </c>
      <c r="E38" s="410">
        <v>1</v>
      </c>
      <c r="F38" s="411">
        <v>8</v>
      </c>
      <c r="G38" s="428" t="str">
        <f t="shared" si="5"/>
        <v>08:00</v>
      </c>
      <c r="J38" s="229" t="s">
        <v>210</v>
      </c>
      <c r="K38" s="229">
        <f t="shared" si="1"/>
        <v>1072</v>
      </c>
      <c r="L38" s="228">
        <f t="shared" si="2"/>
        <v>8</v>
      </c>
      <c r="M38" s="231" t="str">
        <f t="shared" si="3"/>
        <v>08:00</v>
      </c>
      <c r="N38" s="231">
        <f t="shared" si="4"/>
        <v>0.33333333333333331</v>
      </c>
    </row>
    <row r="39" spans="1:14" x14ac:dyDescent="0.3">
      <c r="A39" s="408">
        <v>1081</v>
      </c>
      <c r="B39" s="408" t="s">
        <v>219</v>
      </c>
      <c r="C39" s="409">
        <v>1088</v>
      </c>
      <c r="D39" s="410">
        <f t="shared" si="6"/>
        <v>1.0461538461538462</v>
      </c>
      <c r="E39" s="410">
        <v>1</v>
      </c>
      <c r="F39" s="411">
        <v>8</v>
      </c>
      <c r="G39" s="428" t="str">
        <f t="shared" si="5"/>
        <v>08:00</v>
      </c>
      <c r="J39" s="229" t="s">
        <v>212</v>
      </c>
      <c r="K39" s="229">
        <f t="shared" si="1"/>
        <v>1078</v>
      </c>
      <c r="L39" s="228">
        <f t="shared" si="2"/>
        <v>7.75</v>
      </c>
      <c r="M39" s="231" t="str">
        <f t="shared" si="3"/>
        <v>07:45</v>
      </c>
      <c r="N39" s="231">
        <f t="shared" si="4"/>
        <v>0.32291666666666669</v>
      </c>
    </row>
    <row r="40" spans="1:14" x14ac:dyDescent="0.3">
      <c r="A40" s="408">
        <v>1083</v>
      </c>
      <c r="B40" s="408" t="s">
        <v>221</v>
      </c>
      <c r="C40" s="409">
        <v>1072</v>
      </c>
      <c r="D40" s="410">
        <f t="shared" si="6"/>
        <v>1.0307692307692307</v>
      </c>
      <c r="E40" s="410">
        <v>1</v>
      </c>
      <c r="F40" s="411">
        <v>8</v>
      </c>
      <c r="G40" s="428" t="str">
        <f t="shared" si="5"/>
        <v>08:00</v>
      </c>
      <c r="J40" s="229" t="s">
        <v>214</v>
      </c>
      <c r="K40" s="229">
        <f t="shared" si="1"/>
        <v>1079</v>
      </c>
      <c r="L40" s="228">
        <f t="shared" si="2"/>
        <v>7.75</v>
      </c>
      <c r="M40" s="231" t="str">
        <f t="shared" si="3"/>
        <v>07:45</v>
      </c>
      <c r="N40" s="231">
        <f t="shared" si="4"/>
        <v>0.32291666666666669</v>
      </c>
    </row>
    <row r="41" spans="1:14" x14ac:dyDescent="0.3">
      <c r="A41" s="408">
        <v>1085</v>
      </c>
      <c r="B41" s="408" t="s">
        <v>223</v>
      </c>
      <c r="C41" s="409">
        <v>1073</v>
      </c>
      <c r="D41" s="410">
        <f t="shared" si="6"/>
        <v>1.0317307692307693</v>
      </c>
      <c r="E41" s="410">
        <v>1</v>
      </c>
      <c r="F41" s="411">
        <v>8</v>
      </c>
      <c r="G41" s="428" t="str">
        <f t="shared" si="5"/>
        <v>08:00</v>
      </c>
      <c r="J41" s="229" t="s">
        <v>216</v>
      </c>
      <c r="K41" s="229">
        <f t="shared" si="1"/>
        <v>1080</v>
      </c>
      <c r="L41" s="228">
        <f t="shared" si="2"/>
        <v>8</v>
      </c>
      <c r="M41" s="231" t="str">
        <f t="shared" si="3"/>
        <v>08:00</v>
      </c>
      <c r="N41" s="231">
        <f t="shared" si="4"/>
        <v>0.33333333333333331</v>
      </c>
    </row>
    <row r="42" spans="1:14" x14ac:dyDescent="0.3">
      <c r="A42" s="408">
        <v>1086</v>
      </c>
      <c r="B42" s="408" t="s">
        <v>225</v>
      </c>
      <c r="C42" s="409">
        <v>1061</v>
      </c>
      <c r="D42" s="410">
        <f t="shared" si="6"/>
        <v>1.0201923076923076</v>
      </c>
      <c r="E42" s="410">
        <v>1</v>
      </c>
      <c r="F42" s="411">
        <v>8</v>
      </c>
      <c r="G42" s="428" t="str">
        <f t="shared" si="5"/>
        <v>08:00</v>
      </c>
      <c r="J42" s="229" t="s">
        <v>218</v>
      </c>
      <c r="K42" s="229">
        <f t="shared" si="1"/>
        <v>1081</v>
      </c>
      <c r="L42" s="228">
        <f t="shared" si="2"/>
        <v>8</v>
      </c>
      <c r="M42" s="231" t="str">
        <f t="shared" si="3"/>
        <v>08:00</v>
      </c>
      <c r="N42" s="231">
        <f t="shared" si="4"/>
        <v>0.33333333333333331</v>
      </c>
    </row>
    <row r="43" spans="1:14" x14ac:dyDescent="0.3">
      <c r="A43" s="408">
        <v>1088</v>
      </c>
      <c r="B43" s="408" t="s">
        <v>227</v>
      </c>
      <c r="C43" s="409">
        <v>1040</v>
      </c>
      <c r="D43" s="410">
        <f t="shared" si="6"/>
        <v>1</v>
      </c>
      <c r="E43" s="410">
        <v>1</v>
      </c>
      <c r="F43" s="411">
        <v>8</v>
      </c>
      <c r="G43" s="428" t="str">
        <f t="shared" si="5"/>
        <v>08:00</v>
      </c>
      <c r="J43" s="229" t="s">
        <v>220</v>
      </c>
      <c r="K43" s="229">
        <f t="shared" si="1"/>
        <v>1083</v>
      </c>
      <c r="L43" s="228">
        <f t="shared" si="2"/>
        <v>8</v>
      </c>
      <c r="M43" s="231" t="str">
        <f t="shared" si="3"/>
        <v>08:00</v>
      </c>
      <c r="N43" s="231">
        <f t="shared" si="4"/>
        <v>0.33333333333333331</v>
      </c>
    </row>
    <row r="44" spans="1:14" x14ac:dyDescent="0.3">
      <c r="A44" s="408">
        <v>1091</v>
      </c>
      <c r="B44" s="408" t="s">
        <v>229</v>
      </c>
      <c r="C44" s="409">
        <v>991</v>
      </c>
      <c r="D44" s="410">
        <f t="shared" si="6"/>
        <v>0.95288461538461533</v>
      </c>
      <c r="E44" s="410">
        <v>0.95</v>
      </c>
      <c r="F44" s="411">
        <v>7.75</v>
      </c>
      <c r="G44" s="428" t="str">
        <f t="shared" si="5"/>
        <v>07:45</v>
      </c>
      <c r="J44" s="229" t="s">
        <v>222</v>
      </c>
      <c r="K44" s="229">
        <f t="shared" si="1"/>
        <v>1085</v>
      </c>
      <c r="L44" s="228">
        <f t="shared" si="2"/>
        <v>8</v>
      </c>
      <c r="M44" s="231" t="str">
        <f t="shared" si="3"/>
        <v>08:00</v>
      </c>
      <c r="N44" s="231">
        <f t="shared" si="4"/>
        <v>0.33333333333333331</v>
      </c>
    </row>
    <row r="45" spans="1:14" x14ac:dyDescent="0.3">
      <c r="A45" s="408">
        <v>1093</v>
      </c>
      <c r="B45" s="408" t="s">
        <v>231</v>
      </c>
      <c r="C45" s="409">
        <v>932</v>
      </c>
      <c r="D45" s="410">
        <f t="shared" si="6"/>
        <v>0.89615384615384619</v>
      </c>
      <c r="E45" s="410">
        <v>0.9</v>
      </c>
      <c r="F45" s="411">
        <v>7.25</v>
      </c>
      <c r="G45" s="428" t="str">
        <f t="shared" si="5"/>
        <v>07:15</v>
      </c>
      <c r="J45" s="229" t="s">
        <v>224</v>
      </c>
      <c r="K45" s="229">
        <f t="shared" si="1"/>
        <v>1086</v>
      </c>
      <c r="L45" s="228">
        <f t="shared" si="2"/>
        <v>8</v>
      </c>
      <c r="M45" s="231" t="str">
        <f t="shared" si="3"/>
        <v>08:00</v>
      </c>
      <c r="N45" s="231">
        <f t="shared" si="4"/>
        <v>0.33333333333333331</v>
      </c>
    </row>
    <row r="46" spans="1:14" x14ac:dyDescent="0.3">
      <c r="A46" s="408">
        <v>1097</v>
      </c>
      <c r="B46" s="408" t="s">
        <v>233</v>
      </c>
      <c r="C46" s="409">
        <v>1009</v>
      </c>
      <c r="D46" s="410">
        <f t="shared" si="6"/>
        <v>0.97019230769230769</v>
      </c>
      <c r="E46" s="410">
        <v>1</v>
      </c>
      <c r="F46" s="411">
        <v>8</v>
      </c>
      <c r="G46" s="428" t="str">
        <f t="shared" si="5"/>
        <v>08:00</v>
      </c>
      <c r="J46" s="229" t="s">
        <v>226</v>
      </c>
      <c r="K46" s="229">
        <f t="shared" si="1"/>
        <v>1088</v>
      </c>
      <c r="L46" s="228">
        <f t="shared" si="2"/>
        <v>8</v>
      </c>
      <c r="M46" s="231" t="str">
        <f t="shared" si="3"/>
        <v>08:00</v>
      </c>
      <c r="N46" s="231">
        <f t="shared" si="4"/>
        <v>0.33333333333333331</v>
      </c>
    </row>
    <row r="47" spans="1:14" x14ac:dyDescent="0.3">
      <c r="A47" s="408">
        <v>1100</v>
      </c>
      <c r="B47" s="408" t="s">
        <v>235</v>
      </c>
      <c r="C47" s="409">
        <v>32</v>
      </c>
      <c r="D47" s="410">
        <f t="shared" si="6"/>
        <v>3.0769230769230771E-2</v>
      </c>
      <c r="E47" s="410"/>
      <c r="F47" s="411">
        <v>1</v>
      </c>
      <c r="G47" s="428" t="str">
        <f t="shared" si="5"/>
        <v>01:00</v>
      </c>
      <c r="J47" s="229" t="s">
        <v>228</v>
      </c>
      <c r="K47" s="229">
        <f t="shared" si="1"/>
        <v>1091</v>
      </c>
      <c r="L47" s="228">
        <f t="shared" si="2"/>
        <v>7.75</v>
      </c>
      <c r="M47" s="231" t="str">
        <f t="shared" si="3"/>
        <v>07:45</v>
      </c>
      <c r="N47" s="231">
        <f t="shared" si="4"/>
        <v>0.32291666666666669</v>
      </c>
    </row>
    <row r="48" spans="1:14" x14ac:dyDescent="0.3">
      <c r="A48" s="408">
        <v>1111</v>
      </c>
      <c r="B48" s="408" t="s">
        <v>237</v>
      </c>
      <c r="C48" s="409">
        <v>1024</v>
      </c>
      <c r="D48" s="410">
        <f t="shared" si="6"/>
        <v>0.98461538461538467</v>
      </c>
      <c r="E48" s="410">
        <v>1</v>
      </c>
      <c r="F48" s="411">
        <v>8</v>
      </c>
      <c r="G48" s="428" t="str">
        <f t="shared" si="5"/>
        <v>08:00</v>
      </c>
      <c r="J48" s="229" t="s">
        <v>230</v>
      </c>
      <c r="K48" s="229">
        <f t="shared" si="1"/>
        <v>1093</v>
      </c>
      <c r="L48" s="228">
        <f t="shared" si="2"/>
        <v>7.25</v>
      </c>
      <c r="M48" s="231" t="str">
        <f t="shared" si="3"/>
        <v>07:15</v>
      </c>
      <c r="N48" s="231">
        <f t="shared" si="4"/>
        <v>0.30208333333333331</v>
      </c>
    </row>
    <row r="49" spans="1:14" x14ac:dyDescent="0.3">
      <c r="A49" s="408">
        <v>1112</v>
      </c>
      <c r="B49" s="408" t="s">
        <v>239</v>
      </c>
      <c r="C49" s="409">
        <v>1012</v>
      </c>
      <c r="D49" s="410">
        <f t="shared" si="6"/>
        <v>0.97307692307692306</v>
      </c>
      <c r="E49" s="410">
        <v>1</v>
      </c>
      <c r="F49" s="411">
        <v>8</v>
      </c>
      <c r="G49" s="428" t="str">
        <f t="shared" si="5"/>
        <v>08:00</v>
      </c>
      <c r="J49" s="229" t="s">
        <v>232</v>
      </c>
      <c r="K49" s="229">
        <f t="shared" si="1"/>
        <v>1097</v>
      </c>
      <c r="L49" s="228">
        <f t="shared" si="2"/>
        <v>8</v>
      </c>
      <c r="M49" s="231" t="str">
        <f t="shared" si="3"/>
        <v>08:00</v>
      </c>
      <c r="N49" s="231">
        <f t="shared" si="4"/>
        <v>0.33333333333333331</v>
      </c>
    </row>
    <row r="50" spans="1:14" x14ac:dyDescent="0.3">
      <c r="A50" s="408">
        <v>1113</v>
      </c>
      <c r="B50" s="408" t="s">
        <v>241</v>
      </c>
      <c r="C50" s="409">
        <v>1008</v>
      </c>
      <c r="D50" s="410">
        <f t="shared" si="6"/>
        <v>0.96923076923076923</v>
      </c>
      <c r="E50" s="410">
        <v>1</v>
      </c>
      <c r="F50" s="411">
        <v>8</v>
      </c>
      <c r="G50" s="428" t="str">
        <f t="shared" si="5"/>
        <v>08:00</v>
      </c>
      <c r="J50" s="229" t="s">
        <v>234</v>
      </c>
      <c r="K50" s="229">
        <f t="shared" si="1"/>
        <v>1100</v>
      </c>
      <c r="L50" s="228">
        <f t="shared" si="2"/>
        <v>1</v>
      </c>
      <c r="M50" s="231" t="str">
        <f t="shared" si="3"/>
        <v>01:00</v>
      </c>
      <c r="N50" s="231">
        <f t="shared" si="4"/>
        <v>4.1666666666666664E-2</v>
      </c>
    </row>
    <row r="51" spans="1:14" x14ac:dyDescent="0.3">
      <c r="A51" s="408">
        <v>1114</v>
      </c>
      <c r="B51" s="408" t="s">
        <v>243</v>
      </c>
      <c r="C51" s="409">
        <v>1167</v>
      </c>
      <c r="D51" s="410">
        <f t="shared" si="6"/>
        <v>1.1221153846153846</v>
      </c>
      <c r="E51" s="410">
        <v>1</v>
      </c>
      <c r="F51" s="411">
        <v>8</v>
      </c>
      <c r="G51" s="428" t="str">
        <f t="shared" si="5"/>
        <v>08:00</v>
      </c>
      <c r="J51" s="229" t="s">
        <v>236</v>
      </c>
      <c r="K51" s="229">
        <f t="shared" si="1"/>
        <v>1111</v>
      </c>
      <c r="L51" s="228">
        <f t="shared" si="2"/>
        <v>8</v>
      </c>
      <c r="M51" s="231" t="str">
        <f t="shared" si="3"/>
        <v>08:00</v>
      </c>
      <c r="N51" s="231">
        <f t="shared" si="4"/>
        <v>0.33333333333333331</v>
      </c>
    </row>
    <row r="52" spans="1:14" x14ac:dyDescent="0.3">
      <c r="A52" s="408">
        <v>1117</v>
      </c>
      <c r="B52" s="408" t="s">
        <v>245</v>
      </c>
      <c r="C52" s="409">
        <v>1033</v>
      </c>
      <c r="D52" s="410">
        <f t="shared" si="6"/>
        <v>0.99326923076923079</v>
      </c>
      <c r="E52" s="410">
        <v>1</v>
      </c>
      <c r="F52" s="411">
        <v>8</v>
      </c>
      <c r="G52" s="428" t="str">
        <f t="shared" si="5"/>
        <v>08:00</v>
      </c>
      <c r="J52" s="229" t="s">
        <v>238</v>
      </c>
      <c r="K52" s="229">
        <f t="shared" si="1"/>
        <v>1112</v>
      </c>
      <c r="L52" s="228">
        <f t="shared" si="2"/>
        <v>8</v>
      </c>
      <c r="M52" s="231" t="str">
        <f t="shared" si="3"/>
        <v>08:00</v>
      </c>
      <c r="N52" s="231">
        <f t="shared" si="4"/>
        <v>0.33333333333333331</v>
      </c>
    </row>
    <row r="53" spans="1:14" x14ac:dyDescent="0.3">
      <c r="A53" s="408">
        <v>1119</v>
      </c>
      <c r="B53" s="408" t="s">
        <v>247</v>
      </c>
      <c r="C53" s="409">
        <v>1157</v>
      </c>
      <c r="D53" s="410">
        <f t="shared" si="6"/>
        <v>1.1125</v>
      </c>
      <c r="E53" s="410">
        <v>1</v>
      </c>
      <c r="F53" s="411">
        <v>8</v>
      </c>
      <c r="G53" s="428" t="str">
        <f t="shared" si="5"/>
        <v>08:00</v>
      </c>
      <c r="J53" s="229" t="s">
        <v>240</v>
      </c>
      <c r="K53" s="229">
        <f t="shared" si="1"/>
        <v>1113</v>
      </c>
      <c r="L53" s="228">
        <f t="shared" si="2"/>
        <v>8</v>
      </c>
      <c r="M53" s="231" t="str">
        <f t="shared" si="3"/>
        <v>08:00</v>
      </c>
      <c r="N53" s="231">
        <f t="shared" si="4"/>
        <v>0.33333333333333331</v>
      </c>
    </row>
    <row r="54" spans="1:14" x14ac:dyDescent="0.3">
      <c r="A54" s="408">
        <v>1121</v>
      </c>
      <c r="B54" s="408" t="s">
        <v>249</v>
      </c>
      <c r="C54" s="409">
        <v>1041</v>
      </c>
      <c r="D54" s="410">
        <f t="shared" si="6"/>
        <v>1.0009615384615385</v>
      </c>
      <c r="E54" s="410">
        <v>1</v>
      </c>
      <c r="F54" s="411">
        <v>8</v>
      </c>
      <c r="G54" s="428" t="str">
        <f t="shared" si="5"/>
        <v>08:00</v>
      </c>
      <c r="J54" s="229" t="s">
        <v>242</v>
      </c>
      <c r="K54" s="229">
        <f t="shared" si="1"/>
        <v>1114</v>
      </c>
      <c r="L54" s="228">
        <f t="shared" si="2"/>
        <v>8</v>
      </c>
      <c r="M54" s="231" t="str">
        <f t="shared" si="3"/>
        <v>08:00</v>
      </c>
      <c r="N54" s="231">
        <f t="shared" si="4"/>
        <v>0.33333333333333331</v>
      </c>
    </row>
    <row r="55" spans="1:14" x14ac:dyDescent="0.3">
      <c r="A55" s="408">
        <v>1125</v>
      </c>
      <c r="B55" s="408" t="s">
        <v>251</v>
      </c>
      <c r="C55" s="409">
        <v>1087</v>
      </c>
      <c r="D55" s="410">
        <f t="shared" si="6"/>
        <v>1.0451923076923078</v>
      </c>
      <c r="E55" s="410">
        <v>1</v>
      </c>
      <c r="F55" s="411">
        <v>8</v>
      </c>
      <c r="G55" s="428" t="str">
        <f t="shared" si="5"/>
        <v>08:00</v>
      </c>
      <c r="J55" s="229" t="s">
        <v>244</v>
      </c>
      <c r="K55" s="229">
        <f t="shared" si="1"/>
        <v>1117</v>
      </c>
      <c r="L55" s="228">
        <f t="shared" si="2"/>
        <v>8</v>
      </c>
      <c r="M55" s="231" t="str">
        <f t="shared" si="3"/>
        <v>08:00</v>
      </c>
      <c r="N55" s="231">
        <f t="shared" si="4"/>
        <v>0.33333333333333331</v>
      </c>
    </row>
    <row r="56" spans="1:14" x14ac:dyDescent="0.3">
      <c r="A56" s="408">
        <v>1128</v>
      </c>
      <c r="B56" s="408" t="s">
        <v>253</v>
      </c>
      <c r="C56" s="409">
        <v>1055</v>
      </c>
      <c r="D56" s="410">
        <f t="shared" si="6"/>
        <v>1.0144230769230769</v>
      </c>
      <c r="E56" s="410">
        <v>1</v>
      </c>
      <c r="F56" s="411">
        <v>8</v>
      </c>
      <c r="G56" s="428" t="str">
        <f t="shared" si="5"/>
        <v>08:00</v>
      </c>
      <c r="J56" s="229" t="s">
        <v>246</v>
      </c>
      <c r="K56" s="229">
        <f t="shared" si="1"/>
        <v>1119</v>
      </c>
      <c r="L56" s="228">
        <f t="shared" si="2"/>
        <v>8</v>
      </c>
      <c r="M56" s="231" t="str">
        <f t="shared" si="3"/>
        <v>08:00</v>
      </c>
      <c r="N56" s="231">
        <f t="shared" si="4"/>
        <v>0.33333333333333331</v>
      </c>
    </row>
    <row r="57" spans="1:14" x14ac:dyDescent="0.3">
      <c r="A57" s="408">
        <v>1130</v>
      </c>
      <c r="B57" s="408" t="s">
        <v>255</v>
      </c>
      <c r="C57" s="409">
        <v>1071</v>
      </c>
      <c r="D57" s="410">
        <f t="shared" si="6"/>
        <v>1.0298076923076922</v>
      </c>
      <c r="E57" s="410">
        <v>1</v>
      </c>
      <c r="F57" s="411">
        <v>8</v>
      </c>
      <c r="G57" s="428" t="str">
        <f t="shared" si="5"/>
        <v>08:00</v>
      </c>
      <c r="J57" s="229" t="s">
        <v>248</v>
      </c>
      <c r="K57" s="229">
        <f t="shared" si="1"/>
        <v>1121</v>
      </c>
      <c r="L57" s="228">
        <f t="shared" si="2"/>
        <v>8</v>
      </c>
      <c r="M57" s="231" t="str">
        <f t="shared" si="3"/>
        <v>08:00</v>
      </c>
      <c r="N57" s="231">
        <f t="shared" si="4"/>
        <v>0.33333333333333331</v>
      </c>
    </row>
    <row r="58" spans="1:14" x14ac:dyDescent="0.3">
      <c r="A58" s="408">
        <v>1132</v>
      </c>
      <c r="B58" s="408" t="s">
        <v>257</v>
      </c>
      <c r="C58" s="409">
        <v>1012</v>
      </c>
      <c r="D58" s="410">
        <f t="shared" si="6"/>
        <v>0.97307692307692306</v>
      </c>
      <c r="E58" s="410">
        <v>1</v>
      </c>
      <c r="F58" s="411">
        <v>8</v>
      </c>
      <c r="G58" s="428" t="str">
        <f t="shared" si="5"/>
        <v>08:00</v>
      </c>
      <c r="J58" s="229" t="s">
        <v>250</v>
      </c>
      <c r="K58" s="229">
        <f t="shared" si="1"/>
        <v>1125</v>
      </c>
      <c r="L58" s="228">
        <f t="shared" si="2"/>
        <v>8</v>
      </c>
      <c r="M58" s="231" t="str">
        <f t="shared" si="3"/>
        <v>08:00</v>
      </c>
      <c r="N58" s="231">
        <f t="shared" si="4"/>
        <v>0.33333333333333331</v>
      </c>
    </row>
    <row r="59" spans="1:14" x14ac:dyDescent="0.3">
      <c r="A59" s="408">
        <v>1142</v>
      </c>
      <c r="B59" s="408" t="s">
        <v>259</v>
      </c>
      <c r="C59" s="409">
        <v>1078</v>
      </c>
      <c r="D59" s="410">
        <f t="shared" si="6"/>
        <v>1.0365384615384616</v>
      </c>
      <c r="E59" s="410">
        <v>1</v>
      </c>
      <c r="F59" s="411">
        <v>8</v>
      </c>
      <c r="G59" s="428" t="str">
        <f t="shared" si="5"/>
        <v>08:00</v>
      </c>
      <c r="J59" s="229" t="s">
        <v>252</v>
      </c>
      <c r="K59" s="229">
        <f t="shared" si="1"/>
        <v>1128</v>
      </c>
      <c r="L59" s="228">
        <f t="shared" si="2"/>
        <v>8</v>
      </c>
      <c r="M59" s="231" t="str">
        <f t="shared" si="3"/>
        <v>08:00</v>
      </c>
      <c r="N59" s="231">
        <f t="shared" si="4"/>
        <v>0.33333333333333331</v>
      </c>
    </row>
    <row r="60" spans="1:14" x14ac:dyDescent="0.3">
      <c r="A60" s="408">
        <v>1143</v>
      </c>
      <c r="B60" s="408" t="s">
        <v>261</v>
      </c>
      <c r="C60" s="409">
        <v>960</v>
      </c>
      <c r="D60" s="410">
        <f t="shared" si="6"/>
        <v>0.92307692307692313</v>
      </c>
      <c r="E60" s="410">
        <v>0.95</v>
      </c>
      <c r="F60" s="411">
        <v>7.75</v>
      </c>
      <c r="G60" s="428" t="str">
        <f t="shared" si="5"/>
        <v>07:45</v>
      </c>
      <c r="J60" s="229" t="s">
        <v>254</v>
      </c>
      <c r="K60" s="229">
        <f t="shared" si="1"/>
        <v>1130</v>
      </c>
      <c r="L60" s="228">
        <f t="shared" si="2"/>
        <v>8</v>
      </c>
      <c r="M60" s="231" t="str">
        <f t="shared" si="3"/>
        <v>08:00</v>
      </c>
      <c r="N60" s="231">
        <f t="shared" si="4"/>
        <v>0.33333333333333331</v>
      </c>
    </row>
    <row r="61" spans="1:14" x14ac:dyDescent="0.3">
      <c r="A61" s="408">
        <v>1145</v>
      </c>
      <c r="B61" s="408" t="s">
        <v>263</v>
      </c>
      <c r="C61" s="409">
        <v>972</v>
      </c>
      <c r="D61" s="410">
        <f t="shared" si="6"/>
        <v>0.93461538461538463</v>
      </c>
      <c r="E61" s="410">
        <v>0.95</v>
      </c>
      <c r="F61" s="411">
        <v>7.75</v>
      </c>
      <c r="G61" s="428" t="str">
        <f t="shared" si="5"/>
        <v>07:45</v>
      </c>
      <c r="J61" s="229" t="s">
        <v>256</v>
      </c>
      <c r="K61" s="229">
        <f t="shared" si="1"/>
        <v>1132</v>
      </c>
      <c r="L61" s="228">
        <f t="shared" si="2"/>
        <v>8</v>
      </c>
      <c r="M61" s="231" t="str">
        <f t="shared" si="3"/>
        <v>08:00</v>
      </c>
      <c r="N61" s="231">
        <f t="shared" si="4"/>
        <v>0.33333333333333331</v>
      </c>
    </row>
    <row r="62" spans="1:14" x14ac:dyDescent="0.3">
      <c r="A62" s="408">
        <v>1146</v>
      </c>
      <c r="B62" s="408" t="s">
        <v>265</v>
      </c>
      <c r="C62" s="409">
        <v>997</v>
      </c>
      <c r="D62" s="410">
        <f t="shared" si="6"/>
        <v>0.95865384615384619</v>
      </c>
      <c r="E62" s="410">
        <v>1</v>
      </c>
      <c r="F62" s="411">
        <v>8</v>
      </c>
      <c r="G62" s="428" t="str">
        <f t="shared" si="5"/>
        <v>08:00</v>
      </c>
      <c r="J62" s="229" t="s">
        <v>258</v>
      </c>
      <c r="K62" s="229">
        <f t="shared" si="1"/>
        <v>1142</v>
      </c>
      <c r="L62" s="228">
        <f t="shared" si="2"/>
        <v>8</v>
      </c>
      <c r="M62" s="231" t="str">
        <f t="shared" si="3"/>
        <v>08:00</v>
      </c>
      <c r="N62" s="231">
        <f t="shared" si="4"/>
        <v>0.33333333333333331</v>
      </c>
    </row>
    <row r="63" spans="1:14" x14ac:dyDescent="0.3">
      <c r="A63" s="408">
        <v>1148</v>
      </c>
      <c r="B63" s="408" t="s">
        <v>267</v>
      </c>
      <c r="C63" s="409">
        <v>1058</v>
      </c>
      <c r="D63" s="410">
        <f t="shared" si="6"/>
        <v>1.0173076923076922</v>
      </c>
      <c r="E63" s="410">
        <v>1</v>
      </c>
      <c r="F63" s="411">
        <v>8</v>
      </c>
      <c r="G63" s="428" t="str">
        <f t="shared" si="5"/>
        <v>08:00</v>
      </c>
      <c r="J63" s="229" t="s">
        <v>260</v>
      </c>
      <c r="K63" s="229">
        <f t="shared" si="1"/>
        <v>1143</v>
      </c>
      <c r="L63" s="228">
        <f t="shared" si="2"/>
        <v>7.75</v>
      </c>
      <c r="M63" s="231" t="str">
        <f t="shared" si="3"/>
        <v>07:45</v>
      </c>
      <c r="N63" s="231">
        <f t="shared" si="4"/>
        <v>0.32291666666666669</v>
      </c>
    </row>
    <row r="64" spans="1:14" x14ac:dyDescent="0.3">
      <c r="A64" s="408">
        <v>1149</v>
      </c>
      <c r="B64" s="408" t="s">
        <v>269</v>
      </c>
      <c r="C64" s="409">
        <v>881</v>
      </c>
      <c r="D64" s="410">
        <f t="shared" si="6"/>
        <v>0.8471153846153846</v>
      </c>
      <c r="E64" s="410">
        <v>0.85</v>
      </c>
      <c r="F64" s="411">
        <v>8</v>
      </c>
      <c r="G64" s="428" t="str">
        <f t="shared" si="5"/>
        <v>08:00</v>
      </c>
      <c r="J64" s="229" t="s">
        <v>262</v>
      </c>
      <c r="K64" s="229">
        <f t="shared" si="1"/>
        <v>1145</v>
      </c>
      <c r="L64" s="228">
        <f t="shared" si="2"/>
        <v>7.75</v>
      </c>
      <c r="M64" s="231" t="str">
        <f t="shared" si="3"/>
        <v>07:45</v>
      </c>
      <c r="N64" s="231">
        <f t="shared" si="4"/>
        <v>0.32291666666666669</v>
      </c>
    </row>
    <row r="65" spans="1:14" x14ac:dyDescent="0.3">
      <c r="A65" s="408">
        <v>1150</v>
      </c>
      <c r="B65" s="408" t="s">
        <v>271</v>
      </c>
      <c r="C65" s="409">
        <v>981</v>
      </c>
      <c r="D65" s="410">
        <f t="shared" si="6"/>
        <v>0.94326923076923075</v>
      </c>
      <c r="E65" s="410">
        <v>0.95</v>
      </c>
      <c r="F65" s="411">
        <v>7.75</v>
      </c>
      <c r="G65" s="428" t="str">
        <f t="shared" si="5"/>
        <v>07:45</v>
      </c>
      <c r="J65" s="229" t="s">
        <v>264</v>
      </c>
      <c r="K65" s="229">
        <f t="shared" si="1"/>
        <v>1146</v>
      </c>
      <c r="L65" s="228">
        <f t="shared" si="2"/>
        <v>8</v>
      </c>
      <c r="M65" s="231" t="str">
        <f t="shared" si="3"/>
        <v>08:00</v>
      </c>
      <c r="N65" s="231">
        <f t="shared" si="4"/>
        <v>0.33333333333333331</v>
      </c>
    </row>
    <row r="66" spans="1:14" x14ac:dyDescent="0.3">
      <c r="A66" s="408">
        <v>1153</v>
      </c>
      <c r="B66" s="408" t="s">
        <v>275</v>
      </c>
      <c r="C66" s="409">
        <v>909</v>
      </c>
      <c r="D66" s="410">
        <f t="shared" si="6"/>
        <v>0.87403846153846154</v>
      </c>
      <c r="E66" s="410">
        <v>0.9</v>
      </c>
      <c r="F66" s="411">
        <v>7.25</v>
      </c>
      <c r="G66" s="428" t="str">
        <f t="shared" si="5"/>
        <v>07:15</v>
      </c>
      <c r="J66" s="229" t="s">
        <v>266</v>
      </c>
      <c r="K66" s="229">
        <f t="shared" si="1"/>
        <v>1148</v>
      </c>
      <c r="L66" s="228">
        <f t="shared" si="2"/>
        <v>8</v>
      </c>
      <c r="M66" s="231" t="str">
        <f t="shared" si="3"/>
        <v>08:00</v>
      </c>
      <c r="N66" s="231">
        <f t="shared" si="4"/>
        <v>0.33333333333333331</v>
      </c>
    </row>
    <row r="67" spans="1:14" x14ac:dyDescent="0.3">
      <c r="A67" s="408">
        <v>1156</v>
      </c>
      <c r="B67" s="408" t="s">
        <v>279</v>
      </c>
      <c r="C67" s="409">
        <v>204</v>
      </c>
      <c r="D67" s="410">
        <f t="shared" si="6"/>
        <v>0.19615384615384615</v>
      </c>
      <c r="E67" s="410">
        <v>0.2</v>
      </c>
      <c r="F67" s="411">
        <v>4</v>
      </c>
      <c r="G67" s="428" t="str">
        <f t="shared" si="5"/>
        <v>04:00</v>
      </c>
      <c r="J67" s="229" t="s">
        <v>268</v>
      </c>
      <c r="K67" s="229">
        <f t="shared" si="1"/>
        <v>1149</v>
      </c>
      <c r="L67" s="228">
        <f t="shared" si="2"/>
        <v>8</v>
      </c>
      <c r="M67" s="231" t="str">
        <f t="shared" si="3"/>
        <v>08:00</v>
      </c>
      <c r="N67" s="231">
        <f t="shared" si="4"/>
        <v>0.33333333333333331</v>
      </c>
    </row>
    <row r="68" spans="1:14" x14ac:dyDescent="0.3">
      <c r="A68" s="408">
        <v>1164</v>
      </c>
      <c r="B68" s="408" t="s">
        <v>281</v>
      </c>
      <c r="C68" s="409">
        <v>586</v>
      </c>
      <c r="D68" s="410">
        <f t="shared" si="6"/>
        <v>0.56346153846153846</v>
      </c>
      <c r="E68" s="410">
        <v>0.6</v>
      </c>
      <c r="F68" s="411">
        <v>5</v>
      </c>
      <c r="G68" s="428" t="str">
        <f t="shared" si="5"/>
        <v>05:00</v>
      </c>
      <c r="J68" s="229" t="s">
        <v>270</v>
      </c>
      <c r="K68" s="229">
        <f t="shared" si="1"/>
        <v>1150</v>
      </c>
      <c r="L68" s="228">
        <f t="shared" si="2"/>
        <v>7.75</v>
      </c>
      <c r="M68" s="231" t="str">
        <f t="shared" si="3"/>
        <v>07:45</v>
      </c>
      <c r="N68" s="231">
        <f t="shared" si="4"/>
        <v>0.32291666666666669</v>
      </c>
    </row>
    <row r="69" spans="1:14" x14ac:dyDescent="0.3">
      <c r="A69" s="408">
        <v>1171</v>
      </c>
      <c r="B69" s="408" t="s">
        <v>285</v>
      </c>
      <c r="C69" s="409">
        <v>945</v>
      </c>
      <c r="D69" s="410">
        <f t="shared" ref="D69:D100" si="7">SUM(C69/1040)</f>
        <v>0.90865384615384615</v>
      </c>
      <c r="E69" s="410">
        <v>0.95</v>
      </c>
      <c r="F69" s="411">
        <v>7.75</v>
      </c>
      <c r="G69" s="428" t="str">
        <f t="shared" si="5"/>
        <v>07:45</v>
      </c>
      <c r="J69" s="229" t="s">
        <v>272</v>
      </c>
      <c r="K69" s="229">
        <f t="shared" ref="K69:K124" si="8">J69*1</f>
        <v>1152</v>
      </c>
      <c r="L69" s="228" t="e">
        <f t="shared" ref="L69:L124" si="9">IF(VLOOKUP(K69,$A$5:$F$117,6,FALSE)=0,"X",VLOOKUP(K69,$A$5:$F$117,6,FALSE))</f>
        <v>#N/A</v>
      </c>
      <c r="M69" s="231" t="e">
        <f t="shared" ref="M69:M124" si="10">TEXT(L69/24,"tt:mm")</f>
        <v>#N/A</v>
      </c>
      <c r="N69" s="231" t="e">
        <f t="shared" ref="N69:N124" si="11">M69*1</f>
        <v>#N/A</v>
      </c>
    </row>
    <row r="70" spans="1:14" x14ac:dyDescent="0.3">
      <c r="A70" s="408">
        <v>1173</v>
      </c>
      <c r="B70" s="408" t="s">
        <v>287</v>
      </c>
      <c r="C70" s="409">
        <v>1011</v>
      </c>
      <c r="D70" s="410">
        <f t="shared" si="7"/>
        <v>0.9721153846153846</v>
      </c>
      <c r="E70" s="410">
        <v>1</v>
      </c>
      <c r="F70" s="411">
        <v>8</v>
      </c>
      <c r="G70" s="428" t="str">
        <f t="shared" ref="G70:G125" si="12">TEXT(F70/24,"tt:mm")</f>
        <v>08:00</v>
      </c>
      <c r="J70" s="229" t="s">
        <v>274</v>
      </c>
      <c r="K70" s="229">
        <f t="shared" si="8"/>
        <v>1153</v>
      </c>
      <c r="L70" s="228">
        <f t="shared" si="9"/>
        <v>7.25</v>
      </c>
      <c r="M70" s="231" t="str">
        <f t="shared" si="10"/>
        <v>07:15</v>
      </c>
      <c r="N70" s="231">
        <f t="shared" si="11"/>
        <v>0.30208333333333331</v>
      </c>
    </row>
    <row r="71" spans="1:14" x14ac:dyDescent="0.3">
      <c r="A71" s="408">
        <v>1177</v>
      </c>
      <c r="B71" s="408" t="s">
        <v>289</v>
      </c>
      <c r="C71" s="409">
        <v>1000</v>
      </c>
      <c r="D71" s="410">
        <f t="shared" si="7"/>
        <v>0.96153846153846156</v>
      </c>
      <c r="E71" s="410">
        <v>1</v>
      </c>
      <c r="F71" s="411">
        <v>8</v>
      </c>
      <c r="G71" s="428" t="str">
        <f t="shared" si="12"/>
        <v>08:00</v>
      </c>
      <c r="J71" s="229" t="s">
        <v>276</v>
      </c>
      <c r="K71" s="229">
        <f t="shared" si="8"/>
        <v>1155</v>
      </c>
      <c r="L71" s="228" t="e">
        <f t="shared" si="9"/>
        <v>#N/A</v>
      </c>
      <c r="M71" s="231" t="e">
        <f t="shared" si="10"/>
        <v>#N/A</v>
      </c>
      <c r="N71" s="231" t="e">
        <f t="shared" si="11"/>
        <v>#N/A</v>
      </c>
    </row>
    <row r="72" spans="1:14" x14ac:dyDescent="0.3">
      <c r="A72" s="408">
        <v>1178</v>
      </c>
      <c r="B72" s="408" t="s">
        <v>291</v>
      </c>
      <c r="C72" s="409">
        <v>952</v>
      </c>
      <c r="D72" s="410">
        <f t="shared" si="7"/>
        <v>0.91538461538461535</v>
      </c>
      <c r="E72" s="410">
        <v>0.95</v>
      </c>
      <c r="F72" s="411">
        <v>7.75</v>
      </c>
      <c r="G72" s="428" t="str">
        <f t="shared" si="12"/>
        <v>07:45</v>
      </c>
      <c r="J72" s="229" t="s">
        <v>278</v>
      </c>
      <c r="K72" s="229">
        <f t="shared" si="8"/>
        <v>1156</v>
      </c>
      <c r="L72" s="228">
        <f t="shared" si="9"/>
        <v>4</v>
      </c>
      <c r="M72" s="231" t="str">
        <f t="shared" si="10"/>
        <v>04:00</v>
      </c>
      <c r="N72" s="231">
        <f t="shared" si="11"/>
        <v>0.16666666666666666</v>
      </c>
    </row>
    <row r="73" spans="1:14" x14ac:dyDescent="0.3">
      <c r="A73" s="408">
        <v>1179</v>
      </c>
      <c r="B73" s="408" t="s">
        <v>293</v>
      </c>
      <c r="C73" s="409">
        <v>1068</v>
      </c>
      <c r="D73" s="410">
        <f t="shared" si="7"/>
        <v>1.0269230769230768</v>
      </c>
      <c r="E73" s="410">
        <v>1</v>
      </c>
      <c r="F73" s="411">
        <v>8</v>
      </c>
      <c r="G73" s="428" t="str">
        <f t="shared" si="12"/>
        <v>08:00</v>
      </c>
      <c r="J73" s="229" t="s">
        <v>280</v>
      </c>
      <c r="K73" s="229">
        <f t="shared" si="8"/>
        <v>1164</v>
      </c>
      <c r="L73" s="228">
        <f t="shared" si="9"/>
        <v>5</v>
      </c>
      <c r="M73" s="231" t="str">
        <f t="shared" si="10"/>
        <v>05:00</v>
      </c>
      <c r="N73" s="231">
        <f t="shared" si="11"/>
        <v>0.20833333333333334</v>
      </c>
    </row>
    <row r="74" spans="1:14" x14ac:dyDescent="0.3">
      <c r="A74" s="408">
        <v>1180</v>
      </c>
      <c r="B74" s="408" t="s">
        <v>295</v>
      </c>
      <c r="C74" s="409">
        <v>1012</v>
      </c>
      <c r="D74" s="410">
        <f t="shared" si="7"/>
        <v>0.97307692307692306</v>
      </c>
      <c r="E74" s="410">
        <v>1</v>
      </c>
      <c r="F74" s="411">
        <v>8</v>
      </c>
      <c r="G74" s="428" t="str">
        <f t="shared" si="12"/>
        <v>08:00</v>
      </c>
      <c r="J74" s="229" t="s">
        <v>282</v>
      </c>
      <c r="K74" s="229">
        <f t="shared" si="8"/>
        <v>1165</v>
      </c>
      <c r="L74" s="228" t="e">
        <f t="shared" si="9"/>
        <v>#N/A</v>
      </c>
      <c r="M74" s="231" t="e">
        <f t="shared" si="10"/>
        <v>#N/A</v>
      </c>
      <c r="N74" s="231" t="e">
        <f t="shared" si="11"/>
        <v>#N/A</v>
      </c>
    </row>
    <row r="75" spans="1:14" x14ac:dyDescent="0.3">
      <c r="A75" s="408">
        <v>1181</v>
      </c>
      <c r="B75" s="408" t="s">
        <v>297</v>
      </c>
      <c r="C75" s="409">
        <v>1062</v>
      </c>
      <c r="D75" s="410">
        <f t="shared" si="7"/>
        <v>1.0211538461538461</v>
      </c>
      <c r="E75" s="410">
        <v>1</v>
      </c>
      <c r="F75" s="411">
        <v>8</v>
      </c>
      <c r="G75" s="428" t="str">
        <f t="shared" si="12"/>
        <v>08:00</v>
      </c>
      <c r="J75" s="229" t="s">
        <v>284</v>
      </c>
      <c r="K75" s="229">
        <f t="shared" si="8"/>
        <v>1171</v>
      </c>
      <c r="L75" s="228">
        <f t="shared" si="9"/>
        <v>7.75</v>
      </c>
      <c r="M75" s="231" t="str">
        <f t="shared" si="10"/>
        <v>07:45</v>
      </c>
      <c r="N75" s="231">
        <f t="shared" si="11"/>
        <v>0.32291666666666669</v>
      </c>
    </row>
    <row r="76" spans="1:14" x14ac:dyDescent="0.3">
      <c r="A76" s="408">
        <v>1188</v>
      </c>
      <c r="B76" s="408" t="s">
        <v>299</v>
      </c>
      <c r="C76" s="409">
        <v>1045</v>
      </c>
      <c r="D76" s="410">
        <f t="shared" si="7"/>
        <v>1.0048076923076923</v>
      </c>
      <c r="E76" s="410">
        <v>1</v>
      </c>
      <c r="F76" s="411">
        <v>8</v>
      </c>
      <c r="G76" s="428" t="str">
        <f t="shared" si="12"/>
        <v>08:00</v>
      </c>
      <c r="J76" s="229" t="s">
        <v>286</v>
      </c>
      <c r="K76" s="229">
        <f t="shared" si="8"/>
        <v>1173</v>
      </c>
      <c r="L76" s="228">
        <f t="shared" si="9"/>
        <v>8</v>
      </c>
      <c r="M76" s="231" t="str">
        <f t="shared" si="10"/>
        <v>08:00</v>
      </c>
      <c r="N76" s="231">
        <f t="shared" si="11"/>
        <v>0.33333333333333331</v>
      </c>
    </row>
    <row r="77" spans="1:14" x14ac:dyDescent="0.3">
      <c r="A77" s="408">
        <v>1190</v>
      </c>
      <c r="B77" s="408" t="s">
        <v>301</v>
      </c>
      <c r="C77" s="409">
        <v>1047</v>
      </c>
      <c r="D77" s="410">
        <f t="shared" si="7"/>
        <v>1.0067307692307692</v>
      </c>
      <c r="E77" s="410">
        <v>1</v>
      </c>
      <c r="F77" s="411">
        <v>8</v>
      </c>
      <c r="G77" s="428" t="str">
        <f t="shared" si="12"/>
        <v>08:00</v>
      </c>
      <c r="J77" s="229" t="s">
        <v>288</v>
      </c>
      <c r="K77" s="229">
        <f t="shared" si="8"/>
        <v>1177</v>
      </c>
      <c r="L77" s="228">
        <f t="shared" si="9"/>
        <v>8</v>
      </c>
      <c r="M77" s="231" t="str">
        <f t="shared" si="10"/>
        <v>08:00</v>
      </c>
      <c r="N77" s="231">
        <f t="shared" si="11"/>
        <v>0.33333333333333331</v>
      </c>
    </row>
    <row r="78" spans="1:14" x14ac:dyDescent="0.3">
      <c r="A78" s="408">
        <v>1191</v>
      </c>
      <c r="B78" s="408" t="s">
        <v>303</v>
      </c>
      <c r="C78" s="409">
        <v>981</v>
      </c>
      <c r="D78" s="410">
        <f t="shared" si="7"/>
        <v>0.94326923076923075</v>
      </c>
      <c r="E78" s="410">
        <v>0.95</v>
      </c>
      <c r="F78" s="411">
        <v>7.75</v>
      </c>
      <c r="G78" s="428" t="str">
        <f t="shared" si="12"/>
        <v>07:45</v>
      </c>
      <c r="J78" s="229" t="s">
        <v>290</v>
      </c>
      <c r="K78" s="229">
        <f t="shared" si="8"/>
        <v>1178</v>
      </c>
      <c r="L78" s="228">
        <f t="shared" si="9"/>
        <v>7.75</v>
      </c>
      <c r="M78" s="231" t="str">
        <f t="shared" si="10"/>
        <v>07:45</v>
      </c>
      <c r="N78" s="231">
        <f t="shared" si="11"/>
        <v>0.32291666666666669</v>
      </c>
    </row>
    <row r="79" spans="1:14" x14ac:dyDescent="0.3">
      <c r="A79" s="408">
        <v>1192</v>
      </c>
      <c r="B79" s="408" t="s">
        <v>305</v>
      </c>
      <c r="C79" s="409">
        <v>1032</v>
      </c>
      <c r="D79" s="410">
        <f t="shared" si="7"/>
        <v>0.99230769230769234</v>
      </c>
      <c r="E79" s="410">
        <v>1</v>
      </c>
      <c r="F79" s="411">
        <v>8</v>
      </c>
      <c r="G79" s="428" t="str">
        <f t="shared" si="12"/>
        <v>08:00</v>
      </c>
      <c r="J79" s="229" t="s">
        <v>292</v>
      </c>
      <c r="K79" s="229">
        <f t="shared" si="8"/>
        <v>1179</v>
      </c>
      <c r="L79" s="228">
        <f t="shared" si="9"/>
        <v>8</v>
      </c>
      <c r="M79" s="231" t="str">
        <f t="shared" si="10"/>
        <v>08:00</v>
      </c>
      <c r="N79" s="231">
        <f t="shared" si="11"/>
        <v>0.33333333333333331</v>
      </c>
    </row>
    <row r="80" spans="1:14" x14ac:dyDescent="0.3">
      <c r="A80" s="408">
        <v>1193</v>
      </c>
      <c r="B80" s="408" t="s">
        <v>307</v>
      </c>
      <c r="C80" s="409">
        <v>1134</v>
      </c>
      <c r="D80" s="410">
        <f t="shared" si="7"/>
        <v>1.0903846153846153</v>
      </c>
      <c r="E80" s="410">
        <v>1</v>
      </c>
      <c r="F80" s="411">
        <v>8</v>
      </c>
      <c r="G80" s="428" t="str">
        <f t="shared" si="12"/>
        <v>08:00</v>
      </c>
      <c r="J80" s="229" t="s">
        <v>294</v>
      </c>
      <c r="K80" s="229">
        <f t="shared" si="8"/>
        <v>1180</v>
      </c>
      <c r="L80" s="228">
        <f t="shared" si="9"/>
        <v>8</v>
      </c>
      <c r="M80" s="231" t="str">
        <f t="shared" si="10"/>
        <v>08:00</v>
      </c>
      <c r="N80" s="231">
        <f t="shared" si="11"/>
        <v>0.33333333333333331</v>
      </c>
    </row>
    <row r="81" spans="1:14" x14ac:dyDescent="0.3">
      <c r="A81" s="408">
        <v>1194</v>
      </c>
      <c r="B81" s="408" t="s">
        <v>309</v>
      </c>
      <c r="C81" s="409">
        <v>1062</v>
      </c>
      <c r="D81" s="410">
        <f t="shared" si="7"/>
        <v>1.0211538461538461</v>
      </c>
      <c r="E81" s="410">
        <v>1</v>
      </c>
      <c r="F81" s="411">
        <v>8</v>
      </c>
      <c r="G81" s="428" t="str">
        <f t="shared" si="12"/>
        <v>08:00</v>
      </c>
      <c r="J81" s="229" t="s">
        <v>296</v>
      </c>
      <c r="K81" s="229">
        <f t="shared" si="8"/>
        <v>1181</v>
      </c>
      <c r="L81" s="228">
        <f t="shared" si="9"/>
        <v>8</v>
      </c>
      <c r="M81" s="231" t="str">
        <f t="shared" si="10"/>
        <v>08:00</v>
      </c>
      <c r="N81" s="231">
        <f t="shared" si="11"/>
        <v>0.33333333333333331</v>
      </c>
    </row>
    <row r="82" spans="1:14" x14ac:dyDescent="0.3">
      <c r="A82" s="408">
        <v>1198</v>
      </c>
      <c r="B82" s="408" t="s">
        <v>313</v>
      </c>
      <c r="C82" s="409">
        <v>1015</v>
      </c>
      <c r="D82" s="410">
        <f t="shared" si="7"/>
        <v>0.97596153846153844</v>
      </c>
      <c r="E82" s="410">
        <v>1</v>
      </c>
      <c r="F82" s="411">
        <v>8</v>
      </c>
      <c r="G82" s="428" t="str">
        <f t="shared" si="12"/>
        <v>08:00</v>
      </c>
      <c r="J82" s="229" t="s">
        <v>298</v>
      </c>
      <c r="K82" s="229">
        <f t="shared" si="8"/>
        <v>1188</v>
      </c>
      <c r="L82" s="228">
        <f t="shared" si="9"/>
        <v>8</v>
      </c>
      <c r="M82" s="231" t="str">
        <f t="shared" si="10"/>
        <v>08:00</v>
      </c>
      <c r="N82" s="231">
        <f t="shared" si="11"/>
        <v>0.33333333333333331</v>
      </c>
    </row>
    <row r="83" spans="1:14" x14ac:dyDescent="0.3">
      <c r="A83" s="408">
        <v>1199</v>
      </c>
      <c r="B83" s="408" t="s">
        <v>419</v>
      </c>
      <c r="C83" s="409">
        <v>1084</v>
      </c>
      <c r="D83" s="410">
        <f t="shared" si="7"/>
        <v>1.0423076923076924</v>
      </c>
      <c r="E83" s="410">
        <v>1</v>
      </c>
      <c r="F83" s="411">
        <v>8</v>
      </c>
      <c r="G83" s="428" t="str">
        <f t="shared" si="12"/>
        <v>08:00</v>
      </c>
      <c r="J83" s="229" t="s">
        <v>300</v>
      </c>
      <c r="K83" s="229">
        <f t="shared" si="8"/>
        <v>1190</v>
      </c>
      <c r="L83" s="228">
        <f t="shared" si="9"/>
        <v>8</v>
      </c>
      <c r="M83" s="231" t="str">
        <f t="shared" si="10"/>
        <v>08:00</v>
      </c>
      <c r="N83" s="231">
        <f t="shared" si="11"/>
        <v>0.33333333333333331</v>
      </c>
    </row>
    <row r="84" spans="1:14" x14ac:dyDescent="0.3">
      <c r="A84" s="408">
        <v>1200</v>
      </c>
      <c r="B84" s="408" t="s">
        <v>317</v>
      </c>
      <c r="C84" s="409">
        <v>834</v>
      </c>
      <c r="D84" s="410">
        <f t="shared" si="7"/>
        <v>0.80192307692307696</v>
      </c>
      <c r="E84" s="410">
        <v>0.8</v>
      </c>
      <c r="F84" s="411">
        <v>6.5</v>
      </c>
      <c r="G84" s="428" t="str">
        <f t="shared" si="12"/>
        <v>06:30</v>
      </c>
      <c r="J84" s="229" t="s">
        <v>302</v>
      </c>
      <c r="K84" s="229">
        <f t="shared" si="8"/>
        <v>1191</v>
      </c>
      <c r="L84" s="228">
        <f t="shared" si="9"/>
        <v>7.75</v>
      </c>
      <c r="M84" s="231" t="str">
        <f t="shared" si="10"/>
        <v>07:45</v>
      </c>
      <c r="N84" s="231">
        <f t="shared" si="11"/>
        <v>0.32291666666666669</v>
      </c>
    </row>
    <row r="85" spans="1:14" x14ac:dyDescent="0.3">
      <c r="A85" s="408">
        <v>1201</v>
      </c>
      <c r="B85" s="408" t="s">
        <v>319</v>
      </c>
      <c r="C85" s="409">
        <v>1050</v>
      </c>
      <c r="D85" s="410">
        <f t="shared" si="7"/>
        <v>1.0096153846153846</v>
      </c>
      <c r="E85" s="410">
        <v>1</v>
      </c>
      <c r="F85" s="411">
        <v>8</v>
      </c>
      <c r="G85" s="428" t="str">
        <f t="shared" si="12"/>
        <v>08:00</v>
      </c>
      <c r="J85" s="229" t="s">
        <v>304</v>
      </c>
      <c r="K85" s="229">
        <f t="shared" si="8"/>
        <v>1192</v>
      </c>
      <c r="L85" s="228">
        <f t="shared" si="9"/>
        <v>8</v>
      </c>
      <c r="M85" s="231" t="str">
        <f t="shared" si="10"/>
        <v>08:00</v>
      </c>
      <c r="N85" s="231">
        <f t="shared" si="11"/>
        <v>0.33333333333333331</v>
      </c>
    </row>
    <row r="86" spans="1:14" x14ac:dyDescent="0.3">
      <c r="A86" s="408">
        <v>1202</v>
      </c>
      <c r="B86" s="408" t="s">
        <v>321</v>
      </c>
      <c r="C86" s="409">
        <v>1036</v>
      </c>
      <c r="D86" s="410">
        <f t="shared" si="7"/>
        <v>0.99615384615384617</v>
      </c>
      <c r="E86" s="410">
        <v>1</v>
      </c>
      <c r="F86" s="411">
        <v>8</v>
      </c>
      <c r="G86" s="428" t="str">
        <f t="shared" si="12"/>
        <v>08:00</v>
      </c>
      <c r="J86" s="229" t="s">
        <v>306</v>
      </c>
      <c r="K86" s="229">
        <f t="shared" si="8"/>
        <v>1193</v>
      </c>
      <c r="L86" s="228">
        <f t="shared" si="9"/>
        <v>8</v>
      </c>
      <c r="M86" s="231" t="str">
        <f t="shared" si="10"/>
        <v>08:00</v>
      </c>
      <c r="N86" s="231">
        <f t="shared" si="11"/>
        <v>0.33333333333333331</v>
      </c>
    </row>
    <row r="87" spans="1:14" x14ac:dyDescent="0.3">
      <c r="A87" s="408">
        <v>1203</v>
      </c>
      <c r="B87" s="408" t="s">
        <v>323</v>
      </c>
      <c r="C87" s="409">
        <v>1018</v>
      </c>
      <c r="D87" s="410">
        <f t="shared" si="7"/>
        <v>0.97884615384615381</v>
      </c>
      <c r="E87" s="410">
        <v>1</v>
      </c>
      <c r="F87" s="411">
        <v>8</v>
      </c>
      <c r="G87" s="428" t="str">
        <f t="shared" si="12"/>
        <v>08:00</v>
      </c>
      <c r="J87" s="229" t="s">
        <v>308</v>
      </c>
      <c r="K87" s="229">
        <f t="shared" si="8"/>
        <v>1194</v>
      </c>
      <c r="L87" s="228">
        <f t="shared" si="9"/>
        <v>8</v>
      </c>
      <c r="M87" s="231" t="str">
        <f t="shared" si="10"/>
        <v>08:00</v>
      </c>
      <c r="N87" s="231">
        <f t="shared" si="11"/>
        <v>0.33333333333333331</v>
      </c>
    </row>
    <row r="88" spans="1:14" x14ac:dyDescent="0.3">
      <c r="A88" s="408">
        <v>1204</v>
      </c>
      <c r="B88" s="408" t="s">
        <v>325</v>
      </c>
      <c r="C88" s="409">
        <v>1000</v>
      </c>
      <c r="D88" s="410">
        <f t="shared" si="7"/>
        <v>0.96153846153846156</v>
      </c>
      <c r="E88" s="410">
        <v>1</v>
      </c>
      <c r="F88" s="411">
        <v>8</v>
      </c>
      <c r="G88" s="428" t="str">
        <f t="shared" si="12"/>
        <v>08:00</v>
      </c>
      <c r="J88" s="229" t="s">
        <v>310</v>
      </c>
      <c r="K88" s="229">
        <f t="shared" si="8"/>
        <v>1196</v>
      </c>
      <c r="L88" s="228" t="e">
        <f t="shared" si="9"/>
        <v>#N/A</v>
      </c>
      <c r="M88" s="231" t="e">
        <f t="shared" si="10"/>
        <v>#N/A</v>
      </c>
      <c r="N88" s="231" t="e">
        <f t="shared" si="11"/>
        <v>#N/A</v>
      </c>
    </row>
    <row r="89" spans="1:14" x14ac:dyDescent="0.3">
      <c r="A89" s="408">
        <v>1208</v>
      </c>
      <c r="B89" s="408" t="s">
        <v>327</v>
      </c>
      <c r="C89" s="409">
        <v>1037</v>
      </c>
      <c r="D89" s="410">
        <f t="shared" si="7"/>
        <v>0.99711538461538463</v>
      </c>
      <c r="E89" s="410">
        <v>1</v>
      </c>
      <c r="F89" s="411">
        <v>8</v>
      </c>
      <c r="G89" s="428" t="str">
        <f t="shared" si="12"/>
        <v>08:00</v>
      </c>
      <c r="J89" s="229" t="s">
        <v>312</v>
      </c>
      <c r="K89" s="229">
        <f t="shared" si="8"/>
        <v>1198</v>
      </c>
      <c r="L89" s="228">
        <f t="shared" si="9"/>
        <v>8</v>
      </c>
      <c r="M89" s="231" t="str">
        <f t="shared" si="10"/>
        <v>08:00</v>
      </c>
      <c r="N89" s="231">
        <f t="shared" si="11"/>
        <v>0.33333333333333331</v>
      </c>
    </row>
    <row r="90" spans="1:14" x14ac:dyDescent="0.3">
      <c r="A90" s="408">
        <v>1209</v>
      </c>
      <c r="B90" s="408" t="s">
        <v>329</v>
      </c>
      <c r="C90" s="409">
        <v>983</v>
      </c>
      <c r="D90" s="410">
        <f t="shared" si="7"/>
        <v>0.94519230769230766</v>
      </c>
      <c r="E90" s="410">
        <v>0.95</v>
      </c>
      <c r="F90" s="411">
        <v>7.75</v>
      </c>
      <c r="G90" s="428" t="str">
        <f t="shared" si="12"/>
        <v>07:45</v>
      </c>
      <c r="J90" s="229" t="s">
        <v>314</v>
      </c>
      <c r="K90" s="229">
        <f t="shared" si="8"/>
        <v>1199</v>
      </c>
      <c r="L90" s="228">
        <f t="shared" si="9"/>
        <v>8</v>
      </c>
      <c r="M90" s="231" t="str">
        <f t="shared" si="10"/>
        <v>08:00</v>
      </c>
      <c r="N90" s="231">
        <f t="shared" si="11"/>
        <v>0.33333333333333331</v>
      </c>
    </row>
    <row r="91" spans="1:14" x14ac:dyDescent="0.3">
      <c r="A91" s="408">
        <v>1210</v>
      </c>
      <c r="B91" s="408" t="s">
        <v>331</v>
      </c>
      <c r="C91" s="409">
        <v>895</v>
      </c>
      <c r="D91" s="410">
        <f t="shared" si="7"/>
        <v>0.86057692307692313</v>
      </c>
      <c r="E91" s="410">
        <v>0.9</v>
      </c>
      <c r="F91" s="411">
        <v>7.25</v>
      </c>
      <c r="G91" s="428" t="str">
        <f t="shared" si="12"/>
        <v>07:15</v>
      </c>
      <c r="J91" s="229" t="s">
        <v>316</v>
      </c>
      <c r="K91" s="229">
        <f t="shared" si="8"/>
        <v>1200</v>
      </c>
      <c r="L91" s="228">
        <f t="shared" si="9"/>
        <v>6.5</v>
      </c>
      <c r="M91" s="231" t="str">
        <f t="shared" si="10"/>
        <v>06:30</v>
      </c>
      <c r="N91" s="231">
        <f t="shared" si="11"/>
        <v>0.27083333333333331</v>
      </c>
    </row>
    <row r="92" spans="1:14" x14ac:dyDescent="0.3">
      <c r="A92" s="408">
        <v>1211</v>
      </c>
      <c r="B92" s="408" t="s">
        <v>333</v>
      </c>
      <c r="C92" s="409">
        <v>964</v>
      </c>
      <c r="D92" s="410">
        <f t="shared" si="7"/>
        <v>0.92692307692307696</v>
      </c>
      <c r="E92" s="410">
        <v>0.95</v>
      </c>
      <c r="F92" s="411">
        <v>7.75</v>
      </c>
      <c r="G92" s="428" t="str">
        <f t="shared" si="12"/>
        <v>07:45</v>
      </c>
      <c r="J92" s="229" t="s">
        <v>318</v>
      </c>
      <c r="K92" s="229">
        <f t="shared" si="8"/>
        <v>1201</v>
      </c>
      <c r="L92" s="228">
        <f t="shared" si="9"/>
        <v>8</v>
      </c>
      <c r="M92" s="231" t="str">
        <f t="shared" si="10"/>
        <v>08:00</v>
      </c>
      <c r="N92" s="231">
        <f t="shared" si="11"/>
        <v>0.33333333333333331</v>
      </c>
    </row>
    <row r="93" spans="1:14" x14ac:dyDescent="0.3">
      <c r="A93" s="408">
        <v>1212</v>
      </c>
      <c r="B93" s="408" t="s">
        <v>335</v>
      </c>
      <c r="C93" s="409">
        <v>1047</v>
      </c>
      <c r="D93" s="410">
        <f t="shared" si="7"/>
        <v>1.0067307692307692</v>
      </c>
      <c r="E93" s="410">
        <v>1</v>
      </c>
      <c r="F93" s="411">
        <v>8</v>
      </c>
      <c r="G93" s="428" t="str">
        <f t="shared" si="12"/>
        <v>08:00</v>
      </c>
      <c r="J93" s="229" t="s">
        <v>320</v>
      </c>
      <c r="K93" s="229">
        <f t="shared" si="8"/>
        <v>1202</v>
      </c>
      <c r="L93" s="228">
        <f t="shared" si="9"/>
        <v>8</v>
      </c>
      <c r="M93" s="231" t="str">
        <f t="shared" si="10"/>
        <v>08:00</v>
      </c>
      <c r="N93" s="231">
        <f t="shared" si="11"/>
        <v>0.33333333333333331</v>
      </c>
    </row>
    <row r="94" spans="1:14" x14ac:dyDescent="0.3">
      <c r="A94" s="408">
        <v>1213</v>
      </c>
      <c r="B94" s="408" t="s">
        <v>337</v>
      </c>
      <c r="C94" s="409">
        <v>1052</v>
      </c>
      <c r="D94" s="410">
        <f t="shared" si="7"/>
        <v>1.0115384615384615</v>
      </c>
      <c r="E94" s="410">
        <v>1</v>
      </c>
      <c r="F94" s="411">
        <v>8</v>
      </c>
      <c r="G94" s="428" t="str">
        <f t="shared" si="12"/>
        <v>08:00</v>
      </c>
      <c r="J94" s="229" t="s">
        <v>322</v>
      </c>
      <c r="K94" s="229">
        <f t="shared" si="8"/>
        <v>1203</v>
      </c>
      <c r="L94" s="228">
        <f t="shared" si="9"/>
        <v>8</v>
      </c>
      <c r="M94" s="231" t="str">
        <f t="shared" si="10"/>
        <v>08:00</v>
      </c>
      <c r="N94" s="231">
        <f t="shared" si="11"/>
        <v>0.33333333333333331</v>
      </c>
    </row>
    <row r="95" spans="1:14" x14ac:dyDescent="0.3">
      <c r="A95" s="408">
        <v>1216</v>
      </c>
      <c r="B95" s="408" t="s">
        <v>339</v>
      </c>
      <c r="C95" s="409">
        <v>1131</v>
      </c>
      <c r="D95" s="410">
        <f t="shared" si="7"/>
        <v>1.0874999999999999</v>
      </c>
      <c r="E95" s="410">
        <v>1</v>
      </c>
      <c r="F95" s="411">
        <v>8</v>
      </c>
      <c r="G95" s="428" t="str">
        <f t="shared" si="12"/>
        <v>08:00</v>
      </c>
      <c r="J95" s="229" t="s">
        <v>324</v>
      </c>
      <c r="K95" s="229">
        <f t="shared" si="8"/>
        <v>1204</v>
      </c>
      <c r="L95" s="228">
        <f t="shared" si="9"/>
        <v>8</v>
      </c>
      <c r="M95" s="231" t="str">
        <f t="shared" si="10"/>
        <v>08:00</v>
      </c>
      <c r="N95" s="231">
        <f t="shared" si="11"/>
        <v>0.33333333333333331</v>
      </c>
    </row>
    <row r="96" spans="1:14" x14ac:dyDescent="0.3">
      <c r="A96" s="408">
        <v>1217</v>
      </c>
      <c r="B96" s="408" t="s">
        <v>341</v>
      </c>
      <c r="C96" s="409">
        <v>1096</v>
      </c>
      <c r="D96" s="410">
        <f t="shared" si="7"/>
        <v>1.0538461538461539</v>
      </c>
      <c r="E96" s="410">
        <v>1</v>
      </c>
      <c r="F96" s="411">
        <v>8</v>
      </c>
      <c r="G96" s="428" t="str">
        <f t="shared" si="12"/>
        <v>08:00</v>
      </c>
      <c r="J96" s="229" t="s">
        <v>326</v>
      </c>
      <c r="K96" s="229">
        <f t="shared" si="8"/>
        <v>1208</v>
      </c>
      <c r="L96" s="228">
        <f t="shared" si="9"/>
        <v>8</v>
      </c>
      <c r="M96" s="231" t="str">
        <f t="shared" si="10"/>
        <v>08:00</v>
      </c>
      <c r="N96" s="231">
        <f t="shared" si="11"/>
        <v>0.33333333333333331</v>
      </c>
    </row>
    <row r="97" spans="1:14" x14ac:dyDescent="0.3">
      <c r="A97" s="408">
        <v>1218</v>
      </c>
      <c r="B97" s="408" t="s">
        <v>343</v>
      </c>
      <c r="C97" s="409">
        <v>1000</v>
      </c>
      <c r="D97" s="410">
        <f t="shared" si="7"/>
        <v>0.96153846153846156</v>
      </c>
      <c r="E97" s="410">
        <v>1</v>
      </c>
      <c r="F97" s="411">
        <v>8</v>
      </c>
      <c r="G97" s="428" t="str">
        <f t="shared" si="12"/>
        <v>08:00</v>
      </c>
      <c r="J97" s="229" t="s">
        <v>328</v>
      </c>
      <c r="K97" s="229">
        <f t="shared" si="8"/>
        <v>1209</v>
      </c>
      <c r="L97" s="228">
        <f t="shared" si="9"/>
        <v>7.75</v>
      </c>
      <c r="M97" s="231" t="str">
        <f t="shared" si="10"/>
        <v>07:45</v>
      </c>
      <c r="N97" s="231">
        <f t="shared" si="11"/>
        <v>0.32291666666666669</v>
      </c>
    </row>
    <row r="98" spans="1:14" x14ac:dyDescent="0.3">
      <c r="A98" s="408">
        <v>1219</v>
      </c>
      <c r="B98" s="408" t="s">
        <v>345</v>
      </c>
      <c r="C98" s="409">
        <v>1004</v>
      </c>
      <c r="D98" s="410">
        <f t="shared" si="7"/>
        <v>0.9653846153846154</v>
      </c>
      <c r="E98" s="410">
        <v>1</v>
      </c>
      <c r="F98" s="411">
        <v>8</v>
      </c>
      <c r="G98" s="428" t="str">
        <f t="shared" si="12"/>
        <v>08:00</v>
      </c>
      <c r="J98" s="229" t="s">
        <v>330</v>
      </c>
      <c r="K98" s="229">
        <f t="shared" si="8"/>
        <v>1210</v>
      </c>
      <c r="L98" s="228">
        <f t="shared" si="9"/>
        <v>7.25</v>
      </c>
      <c r="M98" s="231" t="str">
        <f t="shared" si="10"/>
        <v>07:15</v>
      </c>
      <c r="N98" s="231">
        <f t="shared" si="11"/>
        <v>0.30208333333333331</v>
      </c>
    </row>
    <row r="99" spans="1:14" x14ac:dyDescent="0.3">
      <c r="A99" s="408">
        <v>1223</v>
      </c>
      <c r="B99" s="408" t="s">
        <v>347</v>
      </c>
      <c r="C99" s="409">
        <v>1028</v>
      </c>
      <c r="D99" s="410">
        <f t="shared" si="7"/>
        <v>0.9884615384615385</v>
      </c>
      <c r="E99" s="410">
        <v>1</v>
      </c>
      <c r="F99" s="411">
        <v>8</v>
      </c>
      <c r="G99" s="428" t="str">
        <f t="shared" si="12"/>
        <v>08:00</v>
      </c>
      <c r="J99" s="229" t="s">
        <v>332</v>
      </c>
      <c r="K99" s="229">
        <f t="shared" si="8"/>
        <v>1211</v>
      </c>
      <c r="L99" s="228">
        <f t="shared" si="9"/>
        <v>7.75</v>
      </c>
      <c r="M99" s="231" t="str">
        <f t="shared" si="10"/>
        <v>07:45</v>
      </c>
      <c r="N99" s="231">
        <f t="shared" si="11"/>
        <v>0.32291666666666669</v>
      </c>
    </row>
    <row r="100" spans="1:14" x14ac:dyDescent="0.3">
      <c r="A100" s="408">
        <v>1224</v>
      </c>
      <c r="B100" s="408" t="s">
        <v>349</v>
      </c>
      <c r="C100" s="409">
        <v>968</v>
      </c>
      <c r="D100" s="410">
        <f t="shared" si="7"/>
        <v>0.93076923076923079</v>
      </c>
      <c r="E100" s="410">
        <v>0.95</v>
      </c>
      <c r="F100" s="411">
        <v>7.75</v>
      </c>
      <c r="G100" s="428" t="str">
        <f t="shared" si="12"/>
        <v>07:45</v>
      </c>
      <c r="J100" s="229" t="s">
        <v>334</v>
      </c>
      <c r="K100" s="229">
        <f t="shared" si="8"/>
        <v>1212</v>
      </c>
      <c r="L100" s="228">
        <f t="shared" si="9"/>
        <v>8</v>
      </c>
      <c r="M100" s="231" t="str">
        <f t="shared" si="10"/>
        <v>08:00</v>
      </c>
      <c r="N100" s="231">
        <f t="shared" si="11"/>
        <v>0.33333333333333331</v>
      </c>
    </row>
    <row r="101" spans="1:14" x14ac:dyDescent="0.3">
      <c r="A101" s="408">
        <v>1225</v>
      </c>
      <c r="B101" s="408" t="s">
        <v>351</v>
      </c>
      <c r="C101" s="409">
        <v>1045</v>
      </c>
      <c r="D101" s="410">
        <f t="shared" ref="D101:D114" si="13">SUM(C101/1040)</f>
        <v>1.0048076923076923</v>
      </c>
      <c r="E101" s="410">
        <v>1</v>
      </c>
      <c r="F101" s="411">
        <v>8</v>
      </c>
      <c r="G101" s="428" t="str">
        <f t="shared" si="12"/>
        <v>08:00</v>
      </c>
      <c r="J101" s="229" t="s">
        <v>336</v>
      </c>
      <c r="K101" s="229">
        <f t="shared" si="8"/>
        <v>1213</v>
      </c>
      <c r="L101" s="228">
        <f t="shared" si="9"/>
        <v>8</v>
      </c>
      <c r="M101" s="231" t="str">
        <f t="shared" si="10"/>
        <v>08:00</v>
      </c>
      <c r="N101" s="231">
        <f t="shared" si="11"/>
        <v>0.33333333333333331</v>
      </c>
    </row>
    <row r="102" spans="1:14" x14ac:dyDescent="0.3">
      <c r="A102" s="408">
        <v>1226</v>
      </c>
      <c r="B102" s="408" t="s">
        <v>353</v>
      </c>
      <c r="C102" s="409">
        <v>989</v>
      </c>
      <c r="D102" s="410">
        <f t="shared" si="13"/>
        <v>0.95096153846153841</v>
      </c>
      <c r="E102" s="410">
        <v>0.95</v>
      </c>
      <c r="F102" s="411">
        <v>7.75</v>
      </c>
      <c r="G102" s="428" t="str">
        <f t="shared" si="12"/>
        <v>07:45</v>
      </c>
      <c r="J102" s="229" t="s">
        <v>338</v>
      </c>
      <c r="K102" s="229">
        <f t="shared" si="8"/>
        <v>1216</v>
      </c>
      <c r="L102" s="228">
        <f t="shared" si="9"/>
        <v>8</v>
      </c>
      <c r="M102" s="231" t="str">
        <f t="shared" si="10"/>
        <v>08:00</v>
      </c>
      <c r="N102" s="231">
        <f t="shared" si="11"/>
        <v>0.33333333333333331</v>
      </c>
    </row>
    <row r="103" spans="1:14" x14ac:dyDescent="0.3">
      <c r="A103" s="408">
        <v>1227</v>
      </c>
      <c r="B103" s="408" t="s">
        <v>355</v>
      </c>
      <c r="C103" s="409">
        <v>1068</v>
      </c>
      <c r="D103" s="410">
        <f t="shared" si="13"/>
        <v>1.0269230769230768</v>
      </c>
      <c r="E103" s="410">
        <v>1</v>
      </c>
      <c r="F103" s="411">
        <v>8</v>
      </c>
      <c r="G103" s="428" t="str">
        <f t="shared" si="12"/>
        <v>08:00</v>
      </c>
      <c r="J103" s="229" t="s">
        <v>340</v>
      </c>
      <c r="K103" s="229">
        <f t="shared" si="8"/>
        <v>1217</v>
      </c>
      <c r="L103" s="228">
        <f t="shared" si="9"/>
        <v>8</v>
      </c>
      <c r="M103" s="231" t="str">
        <f t="shared" si="10"/>
        <v>08:00</v>
      </c>
      <c r="N103" s="231">
        <f t="shared" si="11"/>
        <v>0.33333333333333331</v>
      </c>
    </row>
    <row r="104" spans="1:14" x14ac:dyDescent="0.3">
      <c r="A104" s="408">
        <v>1229</v>
      </c>
      <c r="B104" s="408" t="s">
        <v>357</v>
      </c>
      <c r="C104" s="409">
        <v>1021</v>
      </c>
      <c r="D104" s="410">
        <f t="shared" si="13"/>
        <v>0.98173076923076918</v>
      </c>
      <c r="E104" s="410">
        <v>1</v>
      </c>
      <c r="F104" s="411">
        <v>8</v>
      </c>
      <c r="G104" s="428" t="str">
        <f t="shared" si="12"/>
        <v>08:00</v>
      </c>
      <c r="J104" s="229" t="s">
        <v>342</v>
      </c>
      <c r="K104" s="229">
        <f t="shared" si="8"/>
        <v>1218</v>
      </c>
      <c r="L104" s="228">
        <f t="shared" si="9"/>
        <v>8</v>
      </c>
      <c r="M104" s="231" t="str">
        <f t="shared" si="10"/>
        <v>08:00</v>
      </c>
      <c r="N104" s="231">
        <f t="shared" si="11"/>
        <v>0.33333333333333331</v>
      </c>
    </row>
    <row r="105" spans="1:14" x14ac:dyDescent="0.3">
      <c r="A105" s="408">
        <v>1235</v>
      </c>
      <c r="B105" s="408" t="s">
        <v>359</v>
      </c>
      <c r="C105" s="409">
        <v>1034</v>
      </c>
      <c r="D105" s="410">
        <f t="shared" si="13"/>
        <v>0.99423076923076925</v>
      </c>
      <c r="E105" s="410">
        <v>1</v>
      </c>
      <c r="F105" s="411">
        <v>8</v>
      </c>
      <c r="G105" s="428" t="str">
        <f t="shared" si="12"/>
        <v>08:00</v>
      </c>
      <c r="J105" s="229" t="s">
        <v>344</v>
      </c>
      <c r="K105" s="229">
        <f t="shared" si="8"/>
        <v>1219</v>
      </c>
      <c r="L105" s="228">
        <f t="shared" si="9"/>
        <v>8</v>
      </c>
      <c r="M105" s="231" t="str">
        <f t="shared" si="10"/>
        <v>08:00</v>
      </c>
      <c r="N105" s="231">
        <f t="shared" si="11"/>
        <v>0.33333333333333331</v>
      </c>
    </row>
    <row r="106" spans="1:14" x14ac:dyDescent="0.3">
      <c r="A106" s="408">
        <v>1236</v>
      </c>
      <c r="B106" s="408" t="s">
        <v>361</v>
      </c>
      <c r="C106" s="409">
        <v>1051</v>
      </c>
      <c r="D106" s="410">
        <f t="shared" si="13"/>
        <v>1.010576923076923</v>
      </c>
      <c r="E106" s="410">
        <v>1</v>
      </c>
      <c r="F106" s="411">
        <v>8</v>
      </c>
      <c r="G106" s="428" t="str">
        <f t="shared" si="12"/>
        <v>08:00</v>
      </c>
      <c r="J106" s="229" t="s">
        <v>346</v>
      </c>
      <c r="K106" s="229">
        <f t="shared" si="8"/>
        <v>1223</v>
      </c>
      <c r="L106" s="228">
        <f t="shared" si="9"/>
        <v>8</v>
      </c>
      <c r="M106" s="231" t="str">
        <f t="shared" si="10"/>
        <v>08:00</v>
      </c>
      <c r="N106" s="231">
        <f t="shared" si="11"/>
        <v>0.33333333333333331</v>
      </c>
    </row>
    <row r="107" spans="1:14" x14ac:dyDescent="0.3">
      <c r="A107" s="408">
        <v>1237</v>
      </c>
      <c r="B107" s="408" t="s">
        <v>420</v>
      </c>
      <c r="C107" s="409">
        <v>1019</v>
      </c>
      <c r="D107" s="410">
        <f t="shared" si="13"/>
        <v>0.97980769230769227</v>
      </c>
      <c r="E107" s="410">
        <v>1</v>
      </c>
      <c r="F107" s="411">
        <v>8</v>
      </c>
      <c r="G107" s="428" t="str">
        <f t="shared" si="12"/>
        <v>08:00</v>
      </c>
      <c r="J107" s="229" t="s">
        <v>348</v>
      </c>
      <c r="K107" s="229">
        <f t="shared" si="8"/>
        <v>1224</v>
      </c>
      <c r="L107" s="228">
        <f t="shared" si="9"/>
        <v>7.75</v>
      </c>
      <c r="M107" s="231" t="str">
        <f t="shared" si="10"/>
        <v>07:45</v>
      </c>
      <c r="N107" s="231">
        <f t="shared" si="11"/>
        <v>0.32291666666666669</v>
      </c>
    </row>
    <row r="108" spans="1:14" x14ac:dyDescent="0.3">
      <c r="A108" s="408">
        <v>1240</v>
      </c>
      <c r="B108" s="408" t="s">
        <v>365</v>
      </c>
      <c r="C108" s="409">
        <v>1015</v>
      </c>
      <c r="D108" s="410">
        <f t="shared" si="13"/>
        <v>0.97596153846153844</v>
      </c>
      <c r="E108" s="410">
        <v>1</v>
      </c>
      <c r="F108" s="411">
        <v>8</v>
      </c>
      <c r="G108" s="428" t="str">
        <f t="shared" si="12"/>
        <v>08:00</v>
      </c>
      <c r="J108" s="229" t="s">
        <v>350</v>
      </c>
      <c r="K108" s="229">
        <f t="shared" si="8"/>
        <v>1225</v>
      </c>
      <c r="L108" s="228">
        <f t="shared" si="9"/>
        <v>8</v>
      </c>
      <c r="M108" s="231" t="str">
        <f t="shared" si="10"/>
        <v>08:00</v>
      </c>
      <c r="N108" s="231">
        <f t="shared" si="11"/>
        <v>0.33333333333333331</v>
      </c>
    </row>
    <row r="109" spans="1:14" x14ac:dyDescent="0.3">
      <c r="A109" s="408">
        <v>1241</v>
      </c>
      <c r="B109" s="408" t="s">
        <v>367</v>
      </c>
      <c r="C109" s="409">
        <v>62</v>
      </c>
      <c r="D109" s="410">
        <f t="shared" si="13"/>
        <v>5.9615384615384619E-2</v>
      </c>
      <c r="E109" s="410">
        <v>1</v>
      </c>
      <c r="F109" s="411">
        <v>8</v>
      </c>
      <c r="G109" s="428" t="str">
        <f t="shared" si="12"/>
        <v>08:00</v>
      </c>
      <c r="J109" s="229" t="s">
        <v>352</v>
      </c>
      <c r="K109" s="229">
        <f t="shared" si="8"/>
        <v>1226</v>
      </c>
      <c r="L109" s="228">
        <f t="shared" si="9"/>
        <v>7.75</v>
      </c>
      <c r="M109" s="231" t="str">
        <f t="shared" si="10"/>
        <v>07:45</v>
      </c>
      <c r="N109" s="231">
        <f t="shared" si="11"/>
        <v>0.32291666666666669</v>
      </c>
    </row>
    <row r="110" spans="1:14" x14ac:dyDescent="0.3">
      <c r="A110" s="408">
        <v>1242</v>
      </c>
      <c r="B110" s="408" t="s">
        <v>421</v>
      </c>
      <c r="C110" s="409">
        <v>1028</v>
      </c>
      <c r="D110" s="410">
        <f t="shared" si="13"/>
        <v>0.9884615384615385</v>
      </c>
      <c r="E110" s="410">
        <v>1</v>
      </c>
      <c r="F110" s="411">
        <v>8</v>
      </c>
      <c r="G110" s="428" t="str">
        <f t="shared" si="12"/>
        <v>08:00</v>
      </c>
      <c r="J110" s="229" t="s">
        <v>354</v>
      </c>
      <c r="K110" s="229">
        <f t="shared" si="8"/>
        <v>1227</v>
      </c>
      <c r="L110" s="228">
        <f t="shared" si="9"/>
        <v>8</v>
      </c>
      <c r="M110" s="231" t="str">
        <f t="shared" si="10"/>
        <v>08:00</v>
      </c>
      <c r="N110" s="231">
        <f t="shared" si="11"/>
        <v>0.33333333333333331</v>
      </c>
    </row>
    <row r="111" spans="1:14" x14ac:dyDescent="0.3">
      <c r="A111" s="408">
        <v>1243</v>
      </c>
      <c r="B111" s="408" t="s">
        <v>422</v>
      </c>
      <c r="C111" s="409">
        <v>978</v>
      </c>
      <c r="D111" s="410">
        <f t="shared" si="13"/>
        <v>0.94038461538461537</v>
      </c>
      <c r="E111" s="410">
        <v>0.95</v>
      </c>
      <c r="F111" s="411">
        <v>7.75</v>
      </c>
      <c r="G111" s="428" t="str">
        <f t="shared" si="12"/>
        <v>07:45</v>
      </c>
      <c r="J111" s="229" t="s">
        <v>356</v>
      </c>
      <c r="K111" s="229">
        <f t="shared" si="8"/>
        <v>1229</v>
      </c>
      <c r="L111" s="228">
        <f t="shared" si="9"/>
        <v>8</v>
      </c>
      <c r="M111" s="231" t="str">
        <f t="shared" si="10"/>
        <v>08:00</v>
      </c>
      <c r="N111" s="231">
        <f t="shared" si="11"/>
        <v>0.33333333333333331</v>
      </c>
    </row>
    <row r="112" spans="1:14" x14ac:dyDescent="0.3">
      <c r="A112" s="408">
        <v>1244</v>
      </c>
      <c r="B112" s="408" t="s">
        <v>423</v>
      </c>
      <c r="C112" s="409">
        <v>960</v>
      </c>
      <c r="D112" s="410">
        <f t="shared" si="13"/>
        <v>0.92307692307692313</v>
      </c>
      <c r="E112" s="410">
        <v>0.95</v>
      </c>
      <c r="F112" s="411">
        <v>7.75</v>
      </c>
      <c r="G112" s="428" t="str">
        <f t="shared" si="12"/>
        <v>07:45</v>
      </c>
      <c r="J112" s="229" t="s">
        <v>358</v>
      </c>
      <c r="K112" s="229">
        <f t="shared" si="8"/>
        <v>1235</v>
      </c>
      <c r="L112" s="228">
        <f t="shared" si="9"/>
        <v>8</v>
      </c>
      <c r="M112" s="231" t="str">
        <f t="shared" si="10"/>
        <v>08:00</v>
      </c>
      <c r="N112" s="231">
        <f t="shared" si="11"/>
        <v>0.33333333333333331</v>
      </c>
    </row>
    <row r="113" spans="1:14" x14ac:dyDescent="0.3">
      <c r="A113" s="408">
        <v>1246</v>
      </c>
      <c r="B113" s="408" t="s">
        <v>424</v>
      </c>
      <c r="C113" s="409">
        <v>1031</v>
      </c>
      <c r="D113" s="410">
        <f t="shared" si="13"/>
        <v>0.99134615384615388</v>
      </c>
      <c r="E113" s="410">
        <v>1</v>
      </c>
      <c r="F113" s="411">
        <v>8</v>
      </c>
      <c r="G113" s="428" t="str">
        <f t="shared" si="12"/>
        <v>08:00</v>
      </c>
      <c r="J113" s="229" t="s">
        <v>360</v>
      </c>
      <c r="K113" s="229">
        <f t="shared" si="8"/>
        <v>1236</v>
      </c>
      <c r="L113" s="228">
        <f t="shared" si="9"/>
        <v>8</v>
      </c>
      <c r="M113" s="231" t="str">
        <f t="shared" si="10"/>
        <v>08:00</v>
      </c>
      <c r="N113" s="231">
        <f t="shared" si="11"/>
        <v>0.33333333333333331</v>
      </c>
    </row>
    <row r="114" spans="1:14" x14ac:dyDescent="0.3">
      <c r="A114" s="408">
        <v>1247</v>
      </c>
      <c r="B114" s="408" t="s">
        <v>377</v>
      </c>
      <c r="C114" s="409">
        <v>1053</v>
      </c>
      <c r="D114" s="410">
        <f t="shared" si="13"/>
        <v>1.0125</v>
      </c>
      <c r="E114" s="410">
        <v>1</v>
      </c>
      <c r="F114" s="411">
        <v>8</v>
      </c>
      <c r="G114" s="428" t="str">
        <f t="shared" si="12"/>
        <v>08:00</v>
      </c>
      <c r="J114" s="229" t="s">
        <v>362</v>
      </c>
      <c r="K114" s="229">
        <f t="shared" si="8"/>
        <v>1237</v>
      </c>
      <c r="L114" s="228">
        <f t="shared" si="9"/>
        <v>8</v>
      </c>
      <c r="M114" s="231" t="str">
        <f t="shared" si="10"/>
        <v>08:00</v>
      </c>
      <c r="N114" s="231">
        <f t="shared" si="11"/>
        <v>0.33333333333333331</v>
      </c>
    </row>
    <row r="115" spans="1:14" x14ac:dyDescent="0.3">
      <c r="A115" s="408"/>
      <c r="B115" s="408"/>
      <c r="C115" s="408"/>
      <c r="D115" s="408"/>
      <c r="E115" s="408"/>
      <c r="F115" s="408"/>
      <c r="G115" s="428" t="str">
        <f t="shared" si="12"/>
        <v>00:00</v>
      </c>
      <c r="J115" s="229" t="s">
        <v>364</v>
      </c>
      <c r="K115" s="229">
        <f t="shared" si="8"/>
        <v>1240</v>
      </c>
      <c r="L115" s="228">
        <f t="shared" si="9"/>
        <v>8</v>
      </c>
      <c r="M115" s="231" t="str">
        <f t="shared" si="10"/>
        <v>08:00</v>
      </c>
      <c r="N115" s="231">
        <f t="shared" si="11"/>
        <v>0.33333333333333331</v>
      </c>
    </row>
    <row r="116" spans="1:14" x14ac:dyDescent="0.3">
      <c r="A116" s="408">
        <v>1251</v>
      </c>
      <c r="B116" s="408" t="s">
        <v>382</v>
      </c>
      <c r="C116" s="409">
        <v>562</v>
      </c>
      <c r="D116" s="410">
        <f>SUM(C116/1040)</f>
        <v>0.54038461538461535</v>
      </c>
      <c r="E116" s="410">
        <v>1</v>
      </c>
      <c r="F116" s="411">
        <v>8</v>
      </c>
      <c r="G116" s="428" t="str">
        <f t="shared" si="12"/>
        <v>08:00</v>
      </c>
      <c r="J116" s="229" t="s">
        <v>366</v>
      </c>
      <c r="K116" s="229">
        <f t="shared" si="8"/>
        <v>1241</v>
      </c>
      <c r="L116" s="228">
        <f t="shared" si="9"/>
        <v>8</v>
      </c>
      <c r="M116" s="231" t="str">
        <f t="shared" si="10"/>
        <v>08:00</v>
      </c>
      <c r="N116" s="231">
        <f t="shared" si="11"/>
        <v>0.33333333333333331</v>
      </c>
    </row>
    <row r="117" spans="1:14" x14ac:dyDescent="0.3">
      <c r="A117" s="408">
        <v>1252</v>
      </c>
      <c r="B117" s="408" t="s">
        <v>383</v>
      </c>
      <c r="C117" s="409">
        <v>243</v>
      </c>
      <c r="D117" s="410">
        <f>SUM(C117/1040)</f>
        <v>0.23365384615384616</v>
      </c>
      <c r="E117" s="410">
        <v>1</v>
      </c>
      <c r="F117" s="411">
        <v>8</v>
      </c>
      <c r="G117" s="428" t="str">
        <f t="shared" si="12"/>
        <v>08:00</v>
      </c>
      <c r="J117" s="229" t="s">
        <v>368</v>
      </c>
      <c r="K117" s="229">
        <f t="shared" si="8"/>
        <v>1242</v>
      </c>
      <c r="L117" s="228">
        <f t="shared" si="9"/>
        <v>8</v>
      </c>
      <c r="M117" s="231" t="str">
        <f t="shared" si="10"/>
        <v>08:00</v>
      </c>
      <c r="N117" s="231">
        <f t="shared" si="11"/>
        <v>0.33333333333333331</v>
      </c>
    </row>
    <row r="118" spans="1:14" x14ac:dyDescent="0.3">
      <c r="A118" s="408">
        <v>1253</v>
      </c>
      <c r="B118" s="408" t="s">
        <v>384</v>
      </c>
      <c r="C118" s="409">
        <v>248</v>
      </c>
      <c r="D118" s="410">
        <f>SUM(C118/1040)</f>
        <v>0.23846153846153847</v>
      </c>
      <c r="E118" s="410">
        <v>1</v>
      </c>
      <c r="F118" s="411">
        <v>8</v>
      </c>
      <c r="G118" s="428" t="str">
        <f t="shared" si="12"/>
        <v>08:00</v>
      </c>
      <c r="J118" s="229" t="s">
        <v>370</v>
      </c>
      <c r="K118" s="229">
        <f t="shared" si="8"/>
        <v>1243</v>
      </c>
      <c r="L118" s="228">
        <f t="shared" si="9"/>
        <v>7.75</v>
      </c>
      <c r="M118" s="231" t="str">
        <f t="shared" si="10"/>
        <v>07:45</v>
      </c>
      <c r="N118" s="231">
        <f t="shared" si="11"/>
        <v>0.32291666666666669</v>
      </c>
    </row>
    <row r="119" spans="1:14" x14ac:dyDescent="0.3">
      <c r="A119" s="408">
        <v>1254</v>
      </c>
      <c r="B119" s="408" t="s">
        <v>385</v>
      </c>
      <c r="C119" s="409">
        <v>188</v>
      </c>
      <c r="D119" s="410">
        <f>SUM(C119/1040)</f>
        <v>0.18076923076923077</v>
      </c>
      <c r="E119" s="410">
        <v>1</v>
      </c>
      <c r="F119" s="411">
        <v>8</v>
      </c>
      <c r="G119" s="428" t="str">
        <f t="shared" si="12"/>
        <v>08:00</v>
      </c>
      <c r="J119" s="229" t="s">
        <v>372</v>
      </c>
      <c r="K119" s="229">
        <f t="shared" si="8"/>
        <v>1244</v>
      </c>
      <c r="L119" s="228">
        <f t="shared" si="9"/>
        <v>7.75</v>
      </c>
      <c r="M119" s="231" t="str">
        <f t="shared" si="10"/>
        <v>07:45</v>
      </c>
      <c r="N119" s="231">
        <f t="shared" si="11"/>
        <v>0.32291666666666669</v>
      </c>
    </row>
    <row r="120" spans="1:14" x14ac:dyDescent="0.3">
      <c r="A120" s="408">
        <v>1255</v>
      </c>
      <c r="B120" s="408" t="s">
        <v>386</v>
      </c>
      <c r="C120" s="409">
        <v>152</v>
      </c>
      <c r="D120" s="410">
        <f>SUM(C120/1040)</f>
        <v>0.14615384615384616</v>
      </c>
      <c r="E120" s="410">
        <v>1</v>
      </c>
      <c r="F120" s="411">
        <v>8</v>
      </c>
      <c r="G120" s="428" t="str">
        <f t="shared" si="12"/>
        <v>08:00</v>
      </c>
      <c r="J120" s="229" t="s">
        <v>425</v>
      </c>
      <c r="K120" s="229">
        <f t="shared" si="8"/>
        <v>1245</v>
      </c>
      <c r="L120" s="228" t="e">
        <f t="shared" si="9"/>
        <v>#N/A</v>
      </c>
      <c r="M120" s="231" t="e">
        <f t="shared" si="10"/>
        <v>#N/A</v>
      </c>
      <c r="N120" s="231" t="e">
        <f t="shared" si="11"/>
        <v>#N/A</v>
      </c>
    </row>
    <row r="121" spans="1:14" x14ac:dyDescent="0.3">
      <c r="A121" s="412">
        <v>1256</v>
      </c>
      <c r="B121" s="452" t="s">
        <v>426</v>
      </c>
      <c r="C121" s="413"/>
      <c r="D121" s="413"/>
      <c r="E121" s="414"/>
      <c r="F121" s="411">
        <v>8</v>
      </c>
      <c r="G121" s="428" t="str">
        <f t="shared" si="12"/>
        <v>08:00</v>
      </c>
      <c r="J121" s="229" t="s">
        <v>374</v>
      </c>
      <c r="K121" s="229">
        <f t="shared" si="8"/>
        <v>1246</v>
      </c>
      <c r="L121" s="228">
        <f t="shared" si="9"/>
        <v>8</v>
      </c>
      <c r="M121" s="231" t="str">
        <f t="shared" si="10"/>
        <v>08:00</v>
      </c>
      <c r="N121" s="231">
        <f t="shared" si="11"/>
        <v>0.33333333333333331</v>
      </c>
    </row>
    <row r="122" spans="1:14" x14ac:dyDescent="0.3">
      <c r="A122" s="412">
        <v>1257</v>
      </c>
      <c r="B122" s="452" t="s">
        <v>388</v>
      </c>
      <c r="C122" s="413"/>
      <c r="D122" s="413"/>
      <c r="E122" s="414"/>
      <c r="F122" s="411">
        <v>8</v>
      </c>
      <c r="G122" s="428" t="str">
        <f t="shared" si="12"/>
        <v>08:00</v>
      </c>
      <c r="J122" s="229" t="s">
        <v>376</v>
      </c>
      <c r="K122" s="229">
        <f t="shared" si="8"/>
        <v>1247</v>
      </c>
      <c r="L122" s="228">
        <f t="shared" si="9"/>
        <v>8</v>
      </c>
      <c r="M122" s="231" t="str">
        <f t="shared" si="10"/>
        <v>08:00</v>
      </c>
      <c r="N122" s="231">
        <f t="shared" si="11"/>
        <v>0.33333333333333331</v>
      </c>
    </row>
    <row r="123" spans="1:14" x14ac:dyDescent="0.3">
      <c r="A123" s="412">
        <v>1258</v>
      </c>
      <c r="B123" s="413" t="s">
        <v>389</v>
      </c>
      <c r="C123" s="413"/>
      <c r="D123" s="413"/>
      <c r="E123" s="414"/>
      <c r="F123" s="411">
        <v>8</v>
      </c>
      <c r="G123" s="428" t="str">
        <f t="shared" si="12"/>
        <v>08:00</v>
      </c>
      <c r="J123" s="229" t="s">
        <v>378</v>
      </c>
      <c r="K123" s="229">
        <f t="shared" si="8"/>
        <v>1248</v>
      </c>
      <c r="L123" s="228" t="e">
        <f t="shared" si="9"/>
        <v>#N/A</v>
      </c>
      <c r="M123" s="231" t="e">
        <f t="shared" si="10"/>
        <v>#N/A</v>
      </c>
      <c r="N123" s="231" t="e">
        <f t="shared" si="11"/>
        <v>#N/A</v>
      </c>
    </row>
    <row r="124" spans="1:14" x14ac:dyDescent="0.3">
      <c r="A124" s="234">
        <v>1259</v>
      </c>
      <c r="B124" s="229" t="s">
        <v>390</v>
      </c>
      <c r="F124" s="411">
        <v>8</v>
      </c>
      <c r="G124" s="428" t="str">
        <f t="shared" si="12"/>
        <v>08:00</v>
      </c>
      <c r="J124" s="229" t="s">
        <v>380</v>
      </c>
      <c r="K124" s="229">
        <f t="shared" si="8"/>
        <v>1249</v>
      </c>
      <c r="L124" s="228" t="e">
        <f t="shared" si="9"/>
        <v>#N/A</v>
      </c>
      <c r="M124" s="231" t="e">
        <f t="shared" si="10"/>
        <v>#N/A</v>
      </c>
      <c r="N124" s="231" t="e">
        <f t="shared" si="11"/>
        <v>#N/A</v>
      </c>
    </row>
    <row r="125" spans="1:14" x14ac:dyDescent="0.3">
      <c r="A125" s="234">
        <v>1260</v>
      </c>
      <c r="B125" s="229" t="s">
        <v>391</v>
      </c>
      <c r="F125" s="411">
        <v>8</v>
      </c>
      <c r="G125" s="428" t="str">
        <f t="shared" si="12"/>
        <v>08:00</v>
      </c>
      <c r="J125" s="229" t="s">
        <v>427</v>
      </c>
      <c r="K125" s="229">
        <f t="shared" ref="K125:K131" si="14">J125*1</f>
        <v>1250</v>
      </c>
      <c r="L125" s="228" t="e">
        <f t="shared" ref="L125:L131" si="15">IF(VLOOKUP(K125,$A$5:$F$117,6,FALSE)=0,"X",VLOOKUP(K125,$A$5:$F$117,6,FALSE))</f>
        <v>#N/A</v>
      </c>
      <c r="M125" s="231" t="e">
        <f t="shared" ref="M125:M131" si="16">TEXT(L125/24,"tt:mm")</f>
        <v>#N/A</v>
      </c>
      <c r="N125" s="231" t="e">
        <f t="shared" ref="N125:N131" si="17">M125*1</f>
        <v>#N/A</v>
      </c>
    </row>
    <row r="126" spans="1:14" x14ac:dyDescent="0.3">
      <c r="A126" s="234">
        <v>1261</v>
      </c>
      <c r="B126" s="446" t="s">
        <v>392</v>
      </c>
      <c r="F126" s="411">
        <v>8</v>
      </c>
      <c r="G126" s="428" t="str">
        <f t="shared" ref="G126:G127" si="18">TEXT(F126/24,"tt:mm")</f>
        <v>08:00</v>
      </c>
      <c r="J126" s="229" t="s">
        <v>428</v>
      </c>
      <c r="K126" s="229">
        <f t="shared" si="14"/>
        <v>1251</v>
      </c>
      <c r="L126" s="228">
        <f t="shared" si="15"/>
        <v>8</v>
      </c>
      <c r="M126" s="231" t="str">
        <f t="shared" si="16"/>
        <v>08:00</v>
      </c>
      <c r="N126" s="231">
        <f t="shared" si="17"/>
        <v>0.33333333333333331</v>
      </c>
    </row>
    <row r="127" spans="1:14" x14ac:dyDescent="0.3">
      <c r="A127" s="234">
        <v>1262</v>
      </c>
      <c r="B127" s="681" t="s">
        <v>436</v>
      </c>
      <c r="F127" s="411">
        <v>8</v>
      </c>
      <c r="G127" s="428" t="str">
        <f t="shared" si="18"/>
        <v>08:00</v>
      </c>
      <c r="J127" s="229" t="s">
        <v>429</v>
      </c>
      <c r="K127" s="229">
        <f t="shared" si="14"/>
        <v>1252</v>
      </c>
      <c r="L127" s="228">
        <f t="shared" si="15"/>
        <v>8</v>
      </c>
      <c r="M127" s="231" t="str">
        <f t="shared" si="16"/>
        <v>08:00</v>
      </c>
      <c r="N127" s="231">
        <f t="shared" si="17"/>
        <v>0.33333333333333331</v>
      </c>
    </row>
    <row r="128" spans="1:14" x14ac:dyDescent="0.3">
      <c r="A128" s="234">
        <v>1263</v>
      </c>
      <c r="B128" s="681" t="s">
        <v>437</v>
      </c>
      <c r="F128" s="411">
        <v>8</v>
      </c>
      <c r="G128" s="428" t="str">
        <f t="shared" ref="G128:G130" si="19">TEXT(F128/24,"tt:mm")</f>
        <v>08:00</v>
      </c>
      <c r="J128" s="229" t="s">
        <v>430</v>
      </c>
      <c r="K128" s="229">
        <f t="shared" si="14"/>
        <v>1253</v>
      </c>
      <c r="L128" s="228" t="e">
        <f t="shared" si="15"/>
        <v>#N/A</v>
      </c>
      <c r="M128" s="231" t="e">
        <f t="shared" si="16"/>
        <v>#N/A</v>
      </c>
      <c r="N128" s="231" t="e">
        <f t="shared" si="17"/>
        <v>#N/A</v>
      </c>
    </row>
    <row r="129" spans="1:14" x14ac:dyDescent="0.3">
      <c r="A129" s="234">
        <v>1264</v>
      </c>
      <c r="B129" s="681" t="s">
        <v>438</v>
      </c>
      <c r="F129" s="411">
        <v>8</v>
      </c>
      <c r="G129" s="428" t="str">
        <f t="shared" si="19"/>
        <v>08:00</v>
      </c>
      <c r="J129" s="229" t="s">
        <v>431</v>
      </c>
      <c r="K129" s="229">
        <f t="shared" si="14"/>
        <v>1254</v>
      </c>
      <c r="L129" s="228" t="e">
        <f t="shared" si="15"/>
        <v>#N/A</v>
      </c>
      <c r="M129" s="231" t="e">
        <f t="shared" si="16"/>
        <v>#N/A</v>
      </c>
      <c r="N129" s="231" t="e">
        <f t="shared" si="17"/>
        <v>#N/A</v>
      </c>
    </row>
    <row r="130" spans="1:14" x14ac:dyDescent="0.3">
      <c r="A130" s="234">
        <v>1265</v>
      </c>
      <c r="B130" s="681" t="s">
        <v>439</v>
      </c>
      <c r="F130" s="411">
        <v>8</v>
      </c>
      <c r="G130" s="428" t="str">
        <f t="shared" si="19"/>
        <v>08:00</v>
      </c>
      <c r="J130" s="229" t="s">
        <v>432</v>
      </c>
      <c r="K130" s="229">
        <f t="shared" si="14"/>
        <v>1255</v>
      </c>
      <c r="L130" s="228" t="e">
        <f t="shared" si="15"/>
        <v>#N/A</v>
      </c>
      <c r="M130" s="231" t="e">
        <f t="shared" si="16"/>
        <v>#N/A</v>
      </c>
      <c r="N130" s="231" t="e">
        <f t="shared" si="17"/>
        <v>#N/A</v>
      </c>
    </row>
    <row r="131" spans="1:14" x14ac:dyDescent="0.3">
      <c r="J131" s="229" t="s">
        <v>433</v>
      </c>
      <c r="K131" s="229">
        <f t="shared" si="14"/>
        <v>1256</v>
      </c>
      <c r="L131" s="228" t="e">
        <f t="shared" si="15"/>
        <v>#N/A</v>
      </c>
      <c r="M131" s="231" t="e">
        <f t="shared" si="16"/>
        <v>#N/A</v>
      </c>
      <c r="N131" s="231" t="e">
        <f t="shared" si="17"/>
        <v>#N/A</v>
      </c>
    </row>
    <row r="132" spans="1:14" x14ac:dyDescent="0.3">
      <c r="J132" s="229" t="s">
        <v>434</v>
      </c>
      <c r="K132" s="229">
        <f t="shared" ref="K132:K133" si="20">J132*1</f>
        <v>1257</v>
      </c>
      <c r="L132" s="228" t="e">
        <f t="shared" ref="L132:L133" si="21">IF(VLOOKUP(K132,$A$5:$F$117,6,FALSE)=0,"X",VLOOKUP(K132,$A$5:$F$117,6,FALSE))</f>
        <v>#N/A</v>
      </c>
      <c r="M132" s="231" t="e">
        <f t="shared" ref="M132:M133" si="22">TEXT(L132/24,"tt:mm")</f>
        <v>#N/A</v>
      </c>
      <c r="N132" s="231" t="e">
        <f t="shared" ref="N132:N133" si="23">M132*1</f>
        <v>#N/A</v>
      </c>
    </row>
    <row r="133" spans="1:14" x14ac:dyDescent="0.3">
      <c r="J133" s="229" t="s">
        <v>435</v>
      </c>
      <c r="K133" s="229">
        <f t="shared" si="20"/>
        <v>1258</v>
      </c>
      <c r="L133" s="228" t="e">
        <f t="shared" si="21"/>
        <v>#N/A</v>
      </c>
      <c r="M133" s="231" t="e">
        <f t="shared" si="22"/>
        <v>#N/A</v>
      </c>
      <c r="N133" s="231" t="e">
        <f t="shared" si="23"/>
        <v>#N/A</v>
      </c>
    </row>
  </sheetData>
  <autoFilter ref="B6:B118" xr:uid="{81FA23C8-ED30-4DC5-AEDC-5A91D3062C82}"/>
  <phoneticPr fontId="14" type="noConversion"/>
  <conditionalFormatting sqref="L1:L1048576">
    <cfRule type="containsErrors" priority="1">
      <formula>ISERROR(L1)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CC986053AE91E4EA58173DFD6C75A54" ma:contentTypeVersion="4" ma:contentTypeDescription="Skapa ett nytt dokument." ma:contentTypeScope="" ma:versionID="4ea15ca9c5899396d3c4bc83eb0ed021">
  <xsd:schema xmlns:xsd="http://www.w3.org/2001/XMLSchema" xmlns:xs="http://www.w3.org/2001/XMLSchema" xmlns:p="http://schemas.microsoft.com/office/2006/metadata/properties" xmlns:ns2="9e0bcc5a-c87c-4c03-a705-a70dc3a3400c" xmlns:ns3="186c9914-8382-40a1-b10a-90f2995b50ad" targetNamespace="http://schemas.microsoft.com/office/2006/metadata/properties" ma:root="true" ma:fieldsID="1c9c7bd7930eb224d62aac1354c622d5" ns2:_="" ns3:_="">
    <xsd:import namespace="9e0bcc5a-c87c-4c03-a705-a70dc3a3400c"/>
    <xsd:import namespace="186c9914-8382-40a1-b10a-90f2995b50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bcc5a-c87c-4c03-a705-a70dc3a340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6c9914-8382-40a1-b10a-90f2995b50a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523244-2DEE-47EF-8C74-87FB6FB6CD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0bcc5a-c87c-4c03-a705-a70dc3a3400c"/>
    <ds:schemaRef ds:uri="186c9914-8382-40a1-b10a-90f2995b50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30847F-3199-41E2-910E-201B7F6F64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61A9F9-E502-409B-8F2A-CD32DC7849A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10</vt:i4>
      </vt:variant>
      <vt:variant>
        <vt:lpstr>Namngivna områden</vt:lpstr>
      </vt:variant>
      <vt:variant>
        <vt:i4>3</vt:i4>
      </vt:variant>
    </vt:vector>
  </HeadingPairs>
  <TitlesOfParts>
    <vt:vector size="13" baseType="lpstr">
      <vt:lpstr>Tidrapport</vt:lpstr>
      <vt:lpstr>Utlägg</vt:lpstr>
      <vt:lpstr>Bilersättning</vt:lpstr>
      <vt:lpstr>Inrikes traktamente</vt:lpstr>
      <vt:lpstr>Utrikes traktamente</vt:lpstr>
      <vt:lpstr>Grunddata</vt:lpstr>
      <vt:lpstr>Utrikes traktamente v1</vt:lpstr>
      <vt:lpstr>Tidrapport (jan)</vt:lpstr>
      <vt:lpstr>Tidrapport (2)</vt:lpstr>
      <vt:lpstr>Röda dagar</vt:lpstr>
      <vt:lpstr>Tidrapport!Utskriftsområde</vt:lpstr>
      <vt:lpstr>'Tidrapport (2)'!Utskriftsområde</vt:lpstr>
      <vt:lpstr>'Tidrapport (jan)'!Utskriftsområde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Lars Engelbrekts</dc:creator>
  <cp:keywords/>
  <dc:description/>
  <cp:lastModifiedBy>Malin Westerlund</cp:lastModifiedBy>
  <cp:revision/>
  <dcterms:created xsi:type="dcterms:W3CDTF">1997-11-20T23:01:07Z</dcterms:created>
  <dcterms:modified xsi:type="dcterms:W3CDTF">2021-06-01T07:47:26Z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0x0101003CC986053AE91E4EA58173DFD6C75A54</vt:lpwstr>
  </property>
</Properties>
</file>