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ch\OneDrive\Área de Trabalho\FISIEXP3\"/>
    </mc:Choice>
  </mc:AlternateContent>
  <xr:revisionPtr revIDLastSave="0" documentId="13_ncr:1_{2E48DB30-8CAE-4663-8D43-4EAC936AB0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O25" i="1"/>
  <c r="O24" i="1"/>
  <c r="O23" i="1"/>
  <c r="O16" i="1"/>
  <c r="O15" i="1"/>
  <c r="O14" i="1"/>
  <c r="O7" i="1"/>
  <c r="O5" i="1"/>
  <c r="O6" i="1"/>
  <c r="E4" i="1"/>
  <c r="G13" i="1"/>
  <c r="I13" i="1"/>
  <c r="E13" i="1"/>
  <c r="F13" i="1"/>
  <c r="I16" i="1"/>
  <c r="I17" i="1"/>
  <c r="G6" i="1"/>
  <c r="F5" i="1"/>
  <c r="F7" i="1"/>
  <c r="I7" i="1"/>
  <c r="E7" i="1"/>
  <c r="G15" i="1"/>
  <c r="I15" i="1"/>
  <c r="H15" i="1"/>
  <c r="H14" i="1"/>
  <c r="H17" i="1"/>
  <c r="G17" i="1"/>
  <c r="G7" i="1"/>
  <c r="H7" i="1"/>
  <c r="I8" i="1"/>
  <c r="H8" i="1"/>
  <c r="G8" i="1"/>
  <c r="E25" i="1"/>
  <c r="I25" i="1"/>
  <c r="H25" i="1"/>
  <c r="G25" i="1"/>
  <c r="F25" i="1"/>
  <c r="I24" i="1"/>
  <c r="H24" i="1"/>
  <c r="G24" i="1"/>
  <c r="F24" i="1"/>
  <c r="E24" i="1"/>
  <c r="I23" i="1"/>
  <c r="H23" i="1"/>
  <c r="F23" i="1"/>
  <c r="E23" i="1"/>
  <c r="I22" i="1"/>
  <c r="H22" i="1"/>
  <c r="G22" i="1"/>
  <c r="F22" i="1"/>
  <c r="E22" i="1"/>
  <c r="I26" i="1"/>
  <c r="H26" i="1"/>
  <c r="G26" i="1"/>
  <c r="F26" i="1"/>
  <c r="E26" i="1"/>
  <c r="F8" i="1"/>
  <c r="E8" i="1"/>
  <c r="I6" i="1"/>
  <c r="H6" i="1"/>
  <c r="F6" i="1"/>
  <c r="E6" i="1"/>
  <c r="H5" i="1"/>
  <c r="I5" i="1"/>
  <c r="G5" i="1"/>
  <c r="E5" i="1"/>
  <c r="I4" i="1"/>
  <c r="H4" i="1"/>
  <c r="G4" i="1"/>
  <c r="F4" i="1"/>
  <c r="F17" i="1"/>
  <c r="E17" i="1"/>
  <c r="H16" i="1"/>
  <c r="G16" i="1"/>
  <c r="F16" i="1"/>
  <c r="E16" i="1"/>
  <c r="F15" i="1"/>
  <c r="E15" i="1"/>
  <c r="I14" i="1"/>
  <c r="G14" i="1"/>
  <c r="F14" i="1"/>
  <c r="E14" i="1"/>
  <c r="K14" i="1" l="1"/>
  <c r="K15" i="1"/>
  <c r="K6" i="1"/>
  <c r="K8" i="1"/>
  <c r="K23" i="1"/>
  <c r="K5" i="1"/>
  <c r="N16" i="1"/>
  <c r="K24" i="1"/>
  <c r="K4" i="1"/>
  <c r="K16" i="1"/>
  <c r="K17" i="1"/>
  <c r="K7" i="1"/>
  <c r="K13" i="1"/>
  <c r="N25" i="1"/>
  <c r="K25" i="1"/>
  <c r="T11" i="1"/>
  <c r="N7" i="1"/>
  <c r="J26" i="1"/>
  <c r="K26" i="1"/>
  <c r="K22" i="1"/>
  <c r="J22" i="1"/>
  <c r="J25" i="1"/>
  <c r="J23" i="1"/>
  <c r="J24" i="1"/>
  <c r="J14" i="1"/>
  <c r="J15" i="1"/>
  <c r="J16" i="1"/>
  <c r="J5" i="1"/>
  <c r="J6" i="1"/>
  <c r="J8" i="1"/>
  <c r="J17" i="1"/>
  <c r="J13" i="1"/>
  <c r="K9" i="1"/>
  <c r="J7" i="1"/>
  <c r="J4" i="1"/>
  <c r="V12" i="1"/>
  <c r="V13" i="1" s="1"/>
  <c r="K18" i="1"/>
  <c r="U11" i="1"/>
  <c r="K27" i="1"/>
  <c r="T12" i="1"/>
  <c r="T13" i="1" s="1"/>
  <c r="T15" i="1" s="1"/>
  <c r="U12" i="1"/>
  <c r="U13" i="1" s="1"/>
  <c r="V11" i="1"/>
  <c r="N5" i="1" l="1"/>
  <c r="N23" i="1"/>
  <c r="P23" i="1" s="1"/>
  <c r="N14" i="1"/>
  <c r="P14" i="1" s="1"/>
  <c r="U15" i="1"/>
  <c r="V15" i="1"/>
  <c r="N24" i="1" l="1"/>
  <c r="P24" i="1" s="1"/>
  <c r="Q23" i="1" s="1"/>
  <c r="N15" i="1"/>
  <c r="P15" i="1" s="1"/>
  <c r="Q14" i="1" s="1"/>
  <c r="P5" i="1"/>
  <c r="N6" i="1"/>
  <c r="P6" i="1" s="1"/>
  <c r="Q5" i="1" l="1"/>
</calcChain>
</file>

<file path=xl/sharedStrings.xml><?xml version="1.0" encoding="utf-8"?>
<sst xmlns="http://schemas.openxmlformats.org/spreadsheetml/2006/main" count="145" uniqueCount="74">
  <si>
    <t>L (centímetros)</t>
  </si>
  <si>
    <t>m (gramas)</t>
  </si>
  <si>
    <t>A (centímetros)</t>
  </si>
  <si>
    <t>Júlia Aguiar</t>
  </si>
  <si>
    <t>Marlon Soares</t>
  </si>
  <si>
    <t>Klauss Marchi</t>
  </si>
  <si>
    <t>T (1º)</t>
  </si>
  <si>
    <t>T (média)</t>
  </si>
  <si>
    <t>T (2º)</t>
  </si>
  <si>
    <t>T (3º)</t>
  </si>
  <si>
    <t>T (4º)</t>
  </si>
  <si>
    <t>T (5º)</t>
  </si>
  <si>
    <t>ALUNOS</t>
  </si>
  <si>
    <t>MATRÍCULA</t>
  </si>
  <si>
    <t>VARIANDO a amplitude</t>
  </si>
  <si>
    <t>VARIANDO A MASSA</t>
  </si>
  <si>
    <t>VARIANDO O COMPRIMENTO DO FIO</t>
  </si>
  <si>
    <t>KLAUSS</t>
  </si>
  <si>
    <t>MARLON</t>
  </si>
  <si>
    <t>JÚLIA</t>
  </si>
  <si>
    <r>
      <rPr>
        <sz val="11"/>
        <color theme="1"/>
        <rFont val="Calibri"/>
        <family val="2"/>
      </rPr>
      <t>ϴ</t>
    </r>
    <r>
      <rPr>
        <sz val="10.1"/>
        <color theme="1"/>
        <rFont val="Calibri"/>
        <family val="2"/>
      </rPr>
      <t xml:space="preserve"> (graus)</t>
    </r>
  </si>
  <si>
    <t>ϴ (graus)</t>
  </si>
  <si>
    <t>DESVIO PADRÃO</t>
  </si>
  <si>
    <t>PERÍODO MÉDIO</t>
  </si>
  <si>
    <t>AMPLITUDE</t>
  </si>
  <si>
    <t>Variando Comprimento</t>
  </si>
  <si>
    <t>Variando Massa</t>
  </si>
  <si>
    <t>Variando Amplitude</t>
  </si>
  <si>
    <t>INCERTEZA DA MÉDIA</t>
  </si>
  <si>
    <t>MÉDIA FINAL</t>
  </si>
  <si>
    <t>RAZÃO</t>
  </si>
  <si>
    <t>-</t>
  </si>
  <si>
    <t>INCERTEZA RELATIVA %</t>
  </si>
  <si>
    <t>1 : 1.2 : 8</t>
  </si>
  <si>
    <t xml:space="preserve"> 1 : 1 : 10</t>
  </si>
  <si>
    <t>1 : 1 : 9.8</t>
  </si>
  <si>
    <t>2,5 ± 0,1</t>
  </si>
  <si>
    <t>2,46 ± 0,01</t>
  </si>
  <si>
    <t>1 : 1 : 9.5</t>
  </si>
  <si>
    <t>2,45 ± 0,01</t>
  </si>
  <si>
    <t>SOMA</t>
  </si>
  <si>
    <t>Fonte da Variação</t>
  </si>
  <si>
    <t>Soma dos Quadrados</t>
  </si>
  <si>
    <t>Graus de Liberdade</t>
  </si>
  <si>
    <t>Média Quadrada</t>
  </si>
  <si>
    <t>F0</t>
  </si>
  <si>
    <t>Coluna1</t>
  </si>
  <si>
    <t>F(0.05, 4, 20) = 2,87</t>
  </si>
  <si>
    <t>TABELA ANOVA</t>
  </si>
  <si>
    <t>150 ± 2 cm</t>
  </si>
  <si>
    <t>50 ± 5g</t>
  </si>
  <si>
    <t>100 ± 5g</t>
  </si>
  <si>
    <t>150 ± 5g</t>
  </si>
  <si>
    <t>200 ± 5g</t>
  </si>
  <si>
    <t>250 ± 5g</t>
  </si>
  <si>
    <t>150 ± 3 cm</t>
  </si>
  <si>
    <t>5 ± 0.5cm</t>
  </si>
  <si>
    <t>10 ± 0.5cm</t>
  </si>
  <si>
    <t>15 ± 0.5cm</t>
  </si>
  <si>
    <t>20 ± 0.5cm</t>
  </si>
  <si>
    <t>30 ± 0.5cm</t>
  </si>
  <si>
    <t>120 ± 2 cm</t>
  </si>
  <si>
    <t>140 ± 2 cm</t>
  </si>
  <si>
    <t>160 ± 2 cm</t>
  </si>
  <si>
    <t>180 ± 2 cm</t>
  </si>
  <si>
    <t>200 ± 2 cm</t>
  </si>
  <si>
    <t>SEM RELAÇÃO</t>
  </si>
  <si>
    <t>SUSPEITA</t>
  </si>
  <si>
    <t>IMPORTÂNCIA</t>
  </si>
  <si>
    <t>GRANDE SUSPEITA</t>
  </si>
  <si>
    <t>SS Tratamentos</t>
  </si>
  <si>
    <t>SS Total</t>
  </si>
  <si>
    <t>Erro (SSE)</t>
  </si>
  <si>
    <t>ECA - 4º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</si>
</sst>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9"/>
      <color theme="1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1"/>
      <color theme="1"/>
      <name val="Calibri"/>
      <family val="2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5" fillId="0" borderId="0" xfId="0" applyFont="1"/>
    <xf numFmtId="164" fontId="0" fillId="0" borderId="0" xfId="0" applyNumberFormat="1" applyBorder="1"/>
    <xf numFmtId="20" fontId="0" fillId="0" borderId="0" xfId="0" applyNumberFormat="1" applyBorder="1" applyAlignment="1">
      <alignment horizontal="center" vertical="center"/>
    </xf>
    <xf numFmtId="21" fontId="0" fillId="0" borderId="0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4" xfId="0" applyNumberFormat="1" applyFont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68"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15</xdr:row>
      <xdr:rowOff>160070</xdr:rowOff>
    </xdr:from>
    <xdr:to>
      <xdr:col>24</xdr:col>
      <xdr:colOff>0</xdr:colOff>
      <xdr:row>18</xdr:row>
      <xdr:rowOff>57979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F58A32E-5EF5-4DCC-AF3A-206DAF16820B}"/>
            </a:ext>
          </a:extLst>
        </xdr:cNvPr>
        <xdr:cNvSpPr txBox="1"/>
      </xdr:nvSpPr>
      <xdr:spPr>
        <a:xfrm>
          <a:off x="15861196" y="3058983"/>
          <a:ext cx="7065065" cy="510822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/>
            <a:t>A RAZÃO</a:t>
          </a:r>
          <a:r>
            <a:rPr lang="pt-BR" sz="1100" baseline="0"/>
            <a:t> DA INCERTEZA RELATIVA MOSTRA QUE O COMPRIMENTO DO FIO GERA UMA GRANDE VARIAÇÃO NO PERÍODO DO PÊNDULO DO QUE E RELAÇÃO À VARIAÇÃO DA MASSA E AMPLITUDE</a:t>
          </a:r>
          <a:endParaRPr lang="pt-BR" sz="1100"/>
        </a:p>
      </xdr:txBody>
    </xdr:sp>
    <xdr:clientData/>
  </xdr:twoCellAnchor>
  <xdr:twoCellAnchor editAs="oneCell">
    <xdr:from>
      <xdr:col>0</xdr:col>
      <xdr:colOff>51061</xdr:colOff>
      <xdr:row>28</xdr:row>
      <xdr:rowOff>35207</xdr:rowOff>
    </xdr:from>
    <xdr:to>
      <xdr:col>6</xdr:col>
      <xdr:colOff>446739</xdr:colOff>
      <xdr:row>46</xdr:row>
      <xdr:rowOff>161885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36B6E12-9B82-4D04-B270-E867AD2437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179"/>
        <a:stretch/>
      </xdr:blipFill>
      <xdr:spPr>
        <a:xfrm>
          <a:off x="51061" y="5470060"/>
          <a:ext cx="5203002" cy="3589296"/>
        </a:xfrm>
        <a:prstGeom prst="rect">
          <a:avLst/>
        </a:prstGeom>
      </xdr:spPr>
    </xdr:pic>
    <xdr:clientData/>
  </xdr:twoCellAnchor>
  <xdr:twoCellAnchor>
    <xdr:from>
      <xdr:col>6</xdr:col>
      <xdr:colOff>561752</xdr:colOff>
      <xdr:row>29</xdr:row>
      <xdr:rowOff>81041</xdr:rowOff>
    </xdr:from>
    <xdr:to>
      <xdr:col>12</xdr:col>
      <xdr:colOff>1546661</xdr:colOff>
      <xdr:row>34</xdr:row>
      <xdr:rowOff>47625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AD0E379-7FAE-4757-A461-C4910F0A2C34}"/>
            </a:ext>
          </a:extLst>
        </xdr:cNvPr>
        <xdr:cNvSpPr txBox="1"/>
      </xdr:nvSpPr>
      <xdr:spPr>
        <a:xfrm>
          <a:off x="5352827" y="5776991"/>
          <a:ext cx="5394984" cy="91908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</a:rPr>
            <a:t>ANÁLISE GRÁFICA</a:t>
          </a:r>
        </a:p>
        <a:p>
          <a:r>
            <a:rPr lang="pt-BR" sz="1100" baseline="0"/>
            <a:t>O AUMENTO DA MASSA E AMPLITUDE GERAM UM PERÍODO CONSTANTE, E UM AUMENTO NO COMPRIMENTO GERA UM LEVE AUMENTO NO PERÍODO (DIRETAMENTE PROPORCIONAIS)</a:t>
          </a:r>
          <a:endParaRPr lang="pt-BR" sz="1100"/>
        </a:p>
      </xdr:txBody>
    </xdr:sp>
    <xdr:clientData/>
  </xdr:twoCellAnchor>
  <xdr:twoCellAnchor>
    <xdr:from>
      <xdr:col>17</xdr:col>
      <xdr:colOff>154818</xdr:colOff>
      <xdr:row>21</xdr:row>
      <xdr:rowOff>159722</xdr:rowOff>
    </xdr:from>
    <xdr:to>
      <xdr:col>18</xdr:col>
      <xdr:colOff>1333500</xdr:colOff>
      <xdr:row>23</xdr:row>
      <xdr:rowOff>40821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44585C5E-769C-4838-BB58-AF06DF3BB865}"/>
            </a:ext>
          </a:extLst>
        </xdr:cNvPr>
        <xdr:cNvSpPr txBox="1"/>
      </xdr:nvSpPr>
      <xdr:spPr>
        <a:xfrm>
          <a:off x="15544497" y="4241865"/>
          <a:ext cx="1668539" cy="262099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VARIAÇÃO COMPROVADA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AA0C7-6283-429A-8C03-70FE019703F9}" name="Tabela1" displayName="Tabela1" ref="A3:K8" totalsRowShown="0" headerRowDxfId="67" dataDxfId="66">
  <autoFilter ref="A3:K8" xr:uid="{7D0AA0C7-6283-429A-8C03-70FE019703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F606AD6-1443-4D49-8013-C7640D86FE57}" name="L (centímetros)" dataDxfId="65"/>
    <tableColumn id="2" xr3:uid="{0B3ADB11-764D-48B9-8AAB-95F52FCE0B56}" name="m (gramas)" dataDxfId="64"/>
    <tableColumn id="4" xr3:uid="{1D6D4BD8-B8D6-47CB-A4F3-86DC1207081D}" name="A (centímetros)" dataDxfId="63"/>
    <tableColumn id="10" xr3:uid="{9CFB193F-E7B5-4A20-A8E1-BE1F4EF8031C}" name="ϴ (graus)" dataDxfId="62"/>
    <tableColumn id="5" xr3:uid="{191DA0EA-2B00-4B0F-A7A1-7573CC4AFAC0}" name="T (1º)" dataDxfId="61">
      <calculatedColumnFormula>(-1)*(1.121-8.392)/3</calculatedColumnFormula>
    </tableColumn>
    <tableColumn id="6" xr3:uid="{DF430443-823F-4E42-B7C6-CE8F7F0AD10E}" name="T (2º)" dataDxfId="60">
      <calculatedColumnFormula>(-1)*(1.121-8.392)/3</calculatedColumnFormula>
    </tableColumn>
    <tableColumn id="9" xr3:uid="{37F0C246-D1C9-4D2D-AA5D-070EB26FC3A3}" name="T (3º)" dataDxfId="59">
      <calculatedColumnFormula>(-1)*(1.121-8.392)/3</calculatedColumnFormula>
    </tableColumn>
    <tableColumn id="3" xr3:uid="{8463A7BD-B51A-499B-BB40-BFB5CFE79908}" name="T (4º)" dataDxfId="58">
      <calculatedColumnFormula>(-1)*(1.121-8.392)/3</calculatedColumnFormula>
    </tableColumn>
    <tableColumn id="7" xr3:uid="{8EAAE74A-D139-4C62-882F-3785C4B95FC1}" name="T (5º)" dataDxfId="57">
      <calculatedColumnFormula>(-1)*(1.121-8.392)/3</calculatedColumnFormula>
    </tableColumn>
    <tableColumn id="11" xr3:uid="{EAF8593F-BE74-4B23-8F11-332F6646E2FC}" name="SOMA" dataDxfId="56">
      <calculatedColumnFormula>SUM(Tabela1[[#This Row],[T (1º)]:[T (5º)]])</calculatedColumnFormula>
    </tableColumn>
    <tableColumn id="8" xr3:uid="{77C6AC8D-CAA8-47EC-AE1A-79E6B6B11575}" name="T (média)" dataDxfId="55">
      <calculatedColumnFormula>ROUND((E4+F4+G4+I4+H4)/5, 3)  &amp; " ± " &amp; ROUND((2.776) * _xlfn.STDEV.S(E4, F4, G4, H4, I4) / SQRT(5), 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CA1BFB-C551-46CC-AC3D-ADE93A9D974C}" name="Tabela14" displayName="Tabela14" ref="A12:K17" totalsRowShown="0" headerRowDxfId="54" dataDxfId="53">
  <autoFilter ref="A12:K17" xr:uid="{9ACA1BFB-C551-46CC-AC3D-ADE93A9D97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0341380-2244-4FEC-AEEB-10808E248123}" name="L (centímetros)" dataDxfId="52"/>
    <tableColumn id="2" xr3:uid="{C393FCE7-C683-471E-A478-75082C9F316B}" name="m (gramas)" dataDxfId="51"/>
    <tableColumn id="4" xr3:uid="{5BD51E5F-705F-4FDB-BC81-FC4FD66E70D0}" name="A (centímetros)" dataDxfId="50"/>
    <tableColumn id="10" xr3:uid="{2CF4F141-5243-40AA-8502-16EBBD688795}" name="ϴ (graus)" dataDxfId="49"/>
    <tableColumn id="5" xr3:uid="{7F31ED8E-795F-4619-AE11-2915D09BA1C8}" name="T (1º)" dataDxfId="48">
      <calculatedColumnFormula array="1">(b-a)/3</calculatedColumnFormula>
    </tableColumn>
    <tableColumn id="6" xr3:uid="{16FF23D4-6698-45C5-8318-9370A38DA13D}" name="T (2º)" dataDxfId="47">
      <calculatedColumnFormula array="1">(b-a)/3</calculatedColumnFormula>
    </tableColumn>
    <tableColumn id="9" xr3:uid="{C407BB15-8F24-448E-B56D-227E341F1FCB}" name="T (3º)" dataDxfId="46">
      <calculatedColumnFormula array="1">(b-a)/3</calculatedColumnFormula>
    </tableColumn>
    <tableColumn id="3" xr3:uid="{F50FF181-6417-4519-BF5F-2FA0D70A37C7}" name="T (4º)" dataDxfId="45">
      <calculatedColumnFormula array="1">(b-a)/3</calculatedColumnFormula>
    </tableColumn>
    <tableColumn id="7" xr3:uid="{DB89F855-4BD2-4FD6-80DD-66FB3DE478F3}" name="T (5º)" dataDxfId="44">
      <calculatedColumnFormula array="1">(b-a)/3</calculatedColumnFormula>
    </tableColumn>
    <tableColumn id="11" xr3:uid="{507D42EA-3D09-47F3-8885-6D1B6F67B532}" name="SOMA" dataDxfId="43">
      <calculatedColumnFormula>SUM(Tabela14[[#This Row],[T (1º)]:[T (5º)]])</calculatedColumnFormula>
    </tableColumn>
    <tableColumn id="8" xr3:uid="{8CA5CCC4-1DE5-4FA5-858C-BA2DB087063C}" name="T (média)" dataDxfId="42">
      <calculatedColumnFormula>ROUND((E13+F13+G13+I13+H13)/5, 3)  &amp; " ± " &amp; ROUND((2.776) * _xlfn.STDEV.S(E13, F13, G13, H13, I13) / SQRT(5), 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DDC261-A3AB-4D1E-8E7E-46ECAA56B3B0}" name="Tabela15" displayName="Tabela15" ref="A21:K26" totalsRowShown="0" headerRowDxfId="41" dataDxfId="40">
  <autoFilter ref="A21:K26" xr:uid="{48DDC261-A3AB-4D1E-8E7E-46ECAA56B3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45A667A-34BA-4997-A331-2CA04EEA2D42}" name="L (centímetros)" dataDxfId="39"/>
    <tableColumn id="2" xr3:uid="{9F5B9A1B-F98A-4456-BB9D-6973BA85BD16}" name="m (gramas)" dataDxfId="38"/>
    <tableColumn id="4" xr3:uid="{A73251AC-CA10-44EB-A6A6-085E6C17F883}" name="A (centímetros)" dataDxfId="37"/>
    <tableColumn id="10" xr3:uid="{1D6125A0-5F70-461A-BAFB-109A606DB1A1}" name="ϴ (graus)" dataDxfId="36"/>
    <tableColumn id="5" xr3:uid="{1A60E25A-A460-406B-B46D-916C26F519F5}" name="T (1º)" dataDxfId="35"/>
    <tableColumn id="6" xr3:uid="{80F64CF8-6AA8-439E-BB22-82558768BFD3}" name="T (2º)" dataDxfId="34">
      <calculatedColumnFormula array="1">(b-a)/3</calculatedColumnFormula>
    </tableColumn>
    <tableColumn id="9" xr3:uid="{0861BC2E-345C-48C1-833E-4903766A62B2}" name="T (3º)" dataDxfId="33">
      <calculatedColumnFormula array="1">(b-a)/3</calculatedColumnFormula>
    </tableColumn>
    <tableColumn id="3" xr3:uid="{82C57250-3366-4078-B137-1C547942403F}" name="T (4º)" dataDxfId="32">
      <calculatedColumnFormula array="1">(b-a)/3</calculatedColumnFormula>
    </tableColumn>
    <tableColumn id="7" xr3:uid="{A923EC2D-8061-4D67-88A1-538F361E05D7}" name="T (5º)" dataDxfId="31">
      <calculatedColumnFormula array="1">(b-a)/3</calculatedColumnFormula>
    </tableColumn>
    <tableColumn id="11" xr3:uid="{D689111A-289B-4AB2-A55E-7153FD434238}" name="SOMA" dataDxfId="30">
      <calculatedColumnFormula>SUM(Tabela15[[#This Row],[T (1º)]:[T (5º)]])</calculatedColumnFormula>
    </tableColumn>
    <tableColumn id="8" xr3:uid="{F50AF385-083B-4B95-AC4A-BF8E5948B5E3}" name="T (média)" dataDxfId="29">
      <calculatedColumnFormula>ROUND((E22+F22+G22+I22+H22)/5, 3)  &amp; " ± " &amp; ROUND((2.776) * _xlfn.STDEV.S(E22, F22, G22, H22, I22) / SQRT(5), 3)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11741D-4012-4E99-A07F-337279153E00}" name="Tabela2" displayName="Tabela2" ref="S10:X15" totalsRowShown="0" headerRowDxfId="28" dataDxfId="27">
  <autoFilter ref="S10:X15" xr:uid="{C011741D-4012-4E99-A07F-337279153E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0AA2E04-6EEA-4345-B28E-AB42140F1E80}" name="Coluna1" dataDxfId="26"/>
    <tableColumn id="2" xr3:uid="{F064C78E-38A5-43E0-AE4C-20CB01753EFE}" name="Variando Amplitude" dataDxfId="25"/>
    <tableColumn id="3" xr3:uid="{34333051-27A0-4EE4-B00E-C21411A1DA74}" name="Variando Massa" dataDxfId="24"/>
    <tableColumn id="4" xr3:uid="{3DF03511-A328-43F2-BB5B-828A1187F48A}" name="Variando Comprimento" dataDxfId="23"/>
    <tableColumn id="6" xr3:uid="{70103103-B0D5-46B3-9CDE-D37BCFF2AC8D}" name="RAZÃO" dataDxfId="22"/>
    <tableColumn id="5" xr3:uid="{1481C447-3125-48C0-866D-444BCC67838B}" name="IMPORTÂNCIA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B1071F-27E2-437E-A470-B82CF3BBCB07}" name="Tabela5" displayName="Tabela5" ref="M4:Q7" totalsRowShown="0" headerRowDxfId="20" dataDxfId="19">
  <autoFilter ref="M4:Q7" xr:uid="{A5B1071F-27E2-437E-A470-B82CF3BBCB0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3A60FE2-C6DE-4169-9040-EEC9DE096DF9}" name="Fonte da Variação" dataDxfId="18"/>
    <tableColumn id="2" xr3:uid="{DDFD448B-DD8E-46C8-8B63-D747246B2DFC}" name="Soma dos Quadrados" dataDxfId="17">
      <calculatedColumnFormula array="1">SUM(E2:I6^2)-SUM(E2:I6)^2/25</calculatedColumnFormula>
    </tableColumn>
    <tableColumn id="3" xr3:uid="{0C3FAC57-AF56-484F-8B19-50942A8F225F}" name="Graus de Liberdade" dataDxfId="16">
      <calculatedColumnFormula>5*(5-1)</calculatedColumnFormula>
    </tableColumn>
    <tableColumn id="4" xr3:uid="{94E574B5-FAEA-4822-9A57-35E5446138FF}" name="Média Quadrada" dataDxfId="15">
      <calculatedColumnFormula>N5/O5</calculatedColumnFormula>
    </tableColumn>
    <tableColumn id="5" xr3:uid="{062A663B-9334-4062-B813-AED4CE1681BB}" name="F0" dataDxfId="14">
      <calculatedColumnFormula>P5/P6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7B13F-485D-42C8-A669-D58A2B5D309D}" name="Tabela57" displayName="Tabela57" ref="M13:Q16" totalsRowShown="0" headerRowDxfId="13" dataDxfId="12">
  <autoFilter ref="M13:Q16" xr:uid="{C7D7B13F-485D-42C8-A669-D58A2B5D309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B64CF8C-C11C-43C1-A000-B6E854CC163D}" name="Fonte da Variação" dataDxfId="11"/>
    <tableColumn id="2" xr3:uid="{11282915-24BF-4826-997F-EF0D7CC10A32}" name="Soma dos Quadrados" dataDxfId="10">
      <calculatedColumnFormula array="1">SUM(E11:I15^2)-SUM(E11:I15)^2/25</calculatedColumnFormula>
    </tableColumn>
    <tableColumn id="3" xr3:uid="{EA39D18C-D996-499C-ABE1-71FA261BD7EC}" name="Graus de Liberdade" dataDxfId="9">
      <calculatedColumnFormula>5*(5-1)</calculatedColumnFormula>
    </tableColumn>
    <tableColumn id="4" xr3:uid="{7583459C-EFD2-4E6A-9CFF-BCE819050D73}" name="Média Quadrada" dataDxfId="8">
      <calculatedColumnFormula>N14/O14</calculatedColumnFormula>
    </tableColumn>
    <tableColumn id="5" xr3:uid="{96CEBB39-E683-4CED-B9D0-6E8B8183B7BC}" name="F0" dataDxfId="7">
      <calculatedColumnFormula>P14/P15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B01710-786B-4698-B56D-57A9FBB9259D}" name="Tabela578" displayName="Tabela578" ref="M22:Q25" totalsRowShown="0" headerRowDxfId="6" dataDxfId="5">
  <autoFilter ref="M22:Q25" xr:uid="{40B01710-786B-4698-B56D-57A9FBB9259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8847304-5090-4F98-AF6C-3D0133433235}" name="Fonte da Variação" dataDxfId="4"/>
    <tableColumn id="2" xr3:uid="{D8E73CE1-F438-4739-8A97-471B80E757A8}" name="Soma dos Quadrados" dataDxfId="3">
      <calculatedColumnFormula array="1">SUM(E20:I24^2)-SUM(E20:I24)^2/25</calculatedColumnFormula>
    </tableColumn>
    <tableColumn id="3" xr3:uid="{3509ED3C-0ED6-49B1-8E14-E7BF2D0B1DC6}" name="Graus de Liberdade" dataDxfId="2">
      <calculatedColumnFormula>5*(5-1)</calculatedColumnFormula>
    </tableColumn>
    <tableColumn id="4" xr3:uid="{A9A7F2DB-BE14-4AE9-8897-FFAAD0601381}" name="Média Quadrada" dataDxfId="1">
      <calculatedColumnFormula>N23/O23</calculatedColumnFormula>
    </tableColumn>
    <tableColumn id="5" xr3:uid="{DAE62D8B-5BAF-4F1A-8B8C-0E3D46A6B7F9}" name="F0" dataDxfId="0">
      <calculatedColumnFormula>P23/P24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4"/>
  <sheetViews>
    <sheetView showGridLines="0" tabSelected="1" zoomScaleNormal="100" workbookViewId="0">
      <selection activeCell="A8" sqref="A8"/>
    </sheetView>
  </sheetViews>
  <sheetFormatPr defaultRowHeight="15" x14ac:dyDescent="0.25"/>
  <cols>
    <col min="1" max="1" width="14.5703125" bestFit="1" customWidth="1"/>
    <col min="2" max="2" width="10.85546875" bestFit="1" customWidth="1"/>
    <col min="3" max="3" width="15" bestFit="1" customWidth="1"/>
    <col min="4" max="4" width="9" bestFit="1" customWidth="1"/>
    <col min="5" max="5" width="11.5703125" bestFit="1" customWidth="1"/>
    <col min="6" max="6" width="10.85546875" style="5" bestFit="1" customWidth="1"/>
    <col min="7" max="9" width="10.85546875" bestFit="1" customWidth="1"/>
    <col min="10" max="10" width="13" style="5" customWidth="1"/>
    <col min="11" max="11" width="14.7109375" customWidth="1"/>
    <col min="12" max="12" width="5.85546875" customWidth="1"/>
    <col min="13" max="13" width="25.28515625" customWidth="1"/>
    <col min="14" max="14" width="19.7109375" bestFit="1" customWidth="1"/>
    <col min="15" max="15" width="18.42578125" bestFit="1" customWidth="1"/>
    <col min="16" max="16" width="15.85546875" bestFit="1" customWidth="1"/>
    <col min="17" max="17" width="13.42578125" bestFit="1" customWidth="1"/>
    <col min="18" max="18" width="7.42578125" customWidth="1"/>
    <col min="19" max="19" width="21.85546875" bestFit="1" customWidth="1"/>
    <col min="20" max="20" width="19.140625" bestFit="1" customWidth="1"/>
    <col min="21" max="21" width="15.140625" bestFit="1" customWidth="1"/>
    <col min="22" max="22" width="22.140625" bestFit="1" customWidth="1"/>
    <col min="23" max="23" width="8.7109375" bestFit="1" customWidth="1"/>
    <col min="24" max="24" width="19" customWidth="1"/>
    <col min="25" max="25" width="22.140625" bestFit="1" customWidth="1"/>
    <col min="26" max="26" width="10.5703125" customWidth="1"/>
  </cols>
  <sheetData>
    <row r="2" spans="1:24" x14ac:dyDescent="0.25">
      <c r="A2" s="34" t="s">
        <v>14</v>
      </c>
      <c r="B2" s="35"/>
      <c r="C2" s="9" t="s">
        <v>17</v>
      </c>
      <c r="M2" s="29" t="s">
        <v>48</v>
      </c>
      <c r="N2" s="38"/>
      <c r="O2" s="38"/>
      <c r="P2" s="38"/>
      <c r="Q2" s="30"/>
    </row>
    <row r="3" spans="1:24" x14ac:dyDescent="0.25">
      <c r="A3" s="1" t="s">
        <v>0</v>
      </c>
      <c r="B3" s="1" t="s">
        <v>1</v>
      </c>
      <c r="C3" s="1" t="s">
        <v>2</v>
      </c>
      <c r="D3" s="10" t="s">
        <v>20</v>
      </c>
      <c r="E3" s="1" t="s">
        <v>6</v>
      </c>
      <c r="F3" s="1" t="s">
        <v>8</v>
      </c>
      <c r="G3" s="1" t="s">
        <v>9</v>
      </c>
      <c r="H3" s="1" t="s">
        <v>10</v>
      </c>
      <c r="I3" s="6" t="s">
        <v>11</v>
      </c>
      <c r="J3" s="6" t="s">
        <v>40</v>
      </c>
      <c r="K3" s="1" t="s">
        <v>7</v>
      </c>
      <c r="L3" s="5"/>
      <c r="S3" s="7" t="s">
        <v>12</v>
      </c>
      <c r="T3" s="7" t="s">
        <v>13</v>
      </c>
    </row>
    <row r="4" spans="1:24" x14ac:dyDescent="0.25">
      <c r="A4" s="1" t="s">
        <v>49</v>
      </c>
      <c r="B4" s="1" t="s">
        <v>50</v>
      </c>
      <c r="C4" s="2" t="s">
        <v>56</v>
      </c>
      <c r="D4" s="11">
        <v>1.9102087048110441</v>
      </c>
      <c r="E4" s="4">
        <f>(8.646-1.404)/3</f>
        <v>2.4140000000000001</v>
      </c>
      <c r="F4" s="4">
        <f>(9.643-2.151)/3</f>
        <v>2.4973333333333336</v>
      </c>
      <c r="G4" s="4">
        <f>(9.031-1.608)/3</f>
        <v>2.4743333333333335</v>
      </c>
      <c r="H4" s="4">
        <f>(8.139-0.901)/3</f>
        <v>2.4126666666666665</v>
      </c>
      <c r="I4" s="4">
        <f>(10.143-2.65)/3</f>
        <v>2.4976666666666669</v>
      </c>
      <c r="J4" s="4">
        <f>SUM(Tabela1[[#This Row],[T (1º)]:[T (5º)]])</f>
        <v>12.296000000000001</v>
      </c>
      <c r="K4" s="4" t="str">
        <f>ROUND((E4+F4+G4+I4+H4)/5, 3)  &amp; " ± " &amp; ROUND((2.776) * _xlfn.STDEV.S(E4, F4, G4, H4, I4) / SQRT(5), 3)</f>
        <v>2,459 ± 0,053</v>
      </c>
      <c r="L4" s="5"/>
      <c r="M4" s="20" t="s">
        <v>41</v>
      </c>
      <c r="N4" s="20" t="s">
        <v>42</v>
      </c>
      <c r="O4" s="20" t="s">
        <v>43</v>
      </c>
      <c r="P4" s="20" t="s">
        <v>44</v>
      </c>
      <c r="Q4" s="20" t="s">
        <v>45</v>
      </c>
      <c r="S4" s="3" t="s">
        <v>3</v>
      </c>
      <c r="T4" s="8">
        <v>202017050200</v>
      </c>
    </row>
    <row r="5" spans="1:24" ht="15.75" x14ac:dyDescent="0.25">
      <c r="A5" s="1" t="s">
        <v>49</v>
      </c>
      <c r="B5" s="1" t="s">
        <v>50</v>
      </c>
      <c r="C5" s="2" t="s">
        <v>57</v>
      </c>
      <c r="D5" s="11">
        <v>3.8225447905018295</v>
      </c>
      <c r="E5" s="4">
        <f>(9.615-2.151)/3</f>
        <v>2.488</v>
      </c>
      <c r="F5" s="4">
        <f>(9.611-2.256)/3</f>
        <v>2.4516666666666667</v>
      </c>
      <c r="G5" s="4">
        <f>(8.643-1.318)/3</f>
        <v>2.4416666666666669</v>
      </c>
      <c r="H5" s="4">
        <f>(8.734-1.373)/3</f>
        <v>2.4536666666666664</v>
      </c>
      <c r="I5" s="4">
        <f>(9.69-2.262)/3</f>
        <v>2.4759999999999995</v>
      </c>
      <c r="J5" s="4">
        <f>SUM(Tabela1[[#This Row],[T (1º)]:[T (5º)]])</f>
        <v>12.311</v>
      </c>
      <c r="K5" s="4" t="str">
        <f t="shared" ref="K5:K8" si="0">ROUND((E5+F5+G5+I5+H5)/5, 3)  &amp; " ± " &amp; ROUND((2.776) * _xlfn.STDEV.S(E5, F5, G5, H5, I5) / SQRT(5), 3)</f>
        <v>2,462 ± 0,024</v>
      </c>
      <c r="L5" s="5"/>
      <c r="M5" s="20" t="s">
        <v>70</v>
      </c>
      <c r="N5" s="24">
        <f>SUMSQ(Tabela1[SOMA])/5 - SUM(E4:I8)^2/25</f>
        <v>5.5384000003755318E-4</v>
      </c>
      <c r="O5" s="20">
        <f>5-1</f>
        <v>4</v>
      </c>
      <c r="P5" s="23">
        <f t="shared" ref="P5:P6" si="1">N5/O5</f>
        <v>1.384600000093883E-4</v>
      </c>
      <c r="Q5" s="28">
        <f>P5/P6</f>
        <v>0.22653219269567101</v>
      </c>
      <c r="S5" s="3" t="s">
        <v>5</v>
      </c>
      <c r="T5" s="8">
        <v>202017050285</v>
      </c>
    </row>
    <row r="6" spans="1:24" x14ac:dyDescent="0.25">
      <c r="A6" s="1" t="s">
        <v>49</v>
      </c>
      <c r="B6" s="1" t="s">
        <v>50</v>
      </c>
      <c r="C6" s="2" t="s">
        <v>58</v>
      </c>
      <c r="D6" s="11">
        <v>5.7391570566210737</v>
      </c>
      <c r="E6" s="4">
        <f>(9.64-2.209)/3</f>
        <v>2.4770000000000003</v>
      </c>
      <c r="F6" s="4">
        <f>(9.279-1.862)/3</f>
        <v>2.4723333333333333</v>
      </c>
      <c r="G6" s="4">
        <f>(8.758-1.345)/3</f>
        <v>2.4709999999999996</v>
      </c>
      <c r="H6" s="4">
        <f>(8.824-1.487)/3</f>
        <v>2.4456666666666664</v>
      </c>
      <c r="I6" s="4">
        <f>(9.706-2.327)/3</f>
        <v>2.4596666666666667</v>
      </c>
      <c r="J6" s="4">
        <f>SUM(Tabela1[[#This Row],[T (1º)]:[T (5º)]])</f>
        <v>12.325666666666667</v>
      </c>
      <c r="K6" s="4" t="str">
        <f t="shared" si="0"/>
        <v>2,465 ± 0,016</v>
      </c>
      <c r="L6" s="5"/>
      <c r="M6" s="20" t="s">
        <v>72</v>
      </c>
      <c r="N6" s="25">
        <f>N7-N5</f>
        <v>1.2224311111083352E-2</v>
      </c>
      <c r="O6" s="22">
        <f t="shared" ref="O6" si="2">5*(5-1)</f>
        <v>20</v>
      </c>
      <c r="P6" s="23">
        <f t="shared" si="1"/>
        <v>6.1121555555416758E-4</v>
      </c>
      <c r="Q6" s="20"/>
      <c r="S6" s="3" t="s">
        <v>4</v>
      </c>
      <c r="T6" s="8">
        <v>202017050226</v>
      </c>
    </row>
    <row r="7" spans="1:24" x14ac:dyDescent="0.25">
      <c r="A7" s="1" t="s">
        <v>49</v>
      </c>
      <c r="B7" s="1" t="s">
        <v>50</v>
      </c>
      <c r="C7" s="2" t="s">
        <v>59</v>
      </c>
      <c r="D7" s="11">
        <v>7.6622377431211737</v>
      </c>
      <c r="E7" s="4">
        <f>(9.214-1.786)/3</f>
        <v>2.4760000000000004</v>
      </c>
      <c r="F7" s="4">
        <f>(9.318-1.958)/3</f>
        <v>2.4533333333333331</v>
      </c>
      <c r="G7" s="4">
        <f>(9.285-1.874)/3</f>
        <v>2.470333333333333</v>
      </c>
      <c r="H7" s="4">
        <f>(8.901-1.493)/3</f>
        <v>2.4693333333333332</v>
      </c>
      <c r="I7" s="4">
        <f>(10.139-2.748)/3</f>
        <v>2.4636666666666662</v>
      </c>
      <c r="J7" s="4">
        <f>SUM(Tabela1[[#This Row],[T (1º)]:[T (5º)]])</f>
        <v>12.332666666666666</v>
      </c>
      <c r="K7" s="4" t="str">
        <f t="shared" si="0"/>
        <v>2,467 ± 0,011</v>
      </c>
      <c r="L7" s="5"/>
      <c r="M7" s="20" t="s">
        <v>71</v>
      </c>
      <c r="N7" s="26">
        <f>SUMSQ(E4:I8)-SUM(E4:I8)^2/25</f>
        <v>1.2778151111120906E-2</v>
      </c>
      <c r="O7" s="20">
        <f>5*5-1</f>
        <v>24</v>
      </c>
      <c r="P7" s="23"/>
      <c r="Q7" s="20"/>
      <c r="S7" s="31" t="s">
        <v>73</v>
      </c>
      <c r="T7" s="32"/>
    </row>
    <row r="8" spans="1:24" x14ac:dyDescent="0.25">
      <c r="A8" s="1" t="s">
        <v>49</v>
      </c>
      <c r="B8" s="1" t="s">
        <v>50</v>
      </c>
      <c r="C8" s="2" t="s">
        <v>60</v>
      </c>
      <c r="D8" s="11">
        <v>11.536932054449819</v>
      </c>
      <c r="E8" s="4">
        <f>(9.244-1.92)/3</f>
        <v>2.4413333333333331</v>
      </c>
      <c r="F8" s="4">
        <f>(9.239-1.805)/3</f>
        <v>2.4780000000000002</v>
      </c>
      <c r="G8" s="4">
        <f>(8.894-1.616)/3</f>
        <v>2.4260000000000002</v>
      </c>
      <c r="H8" s="4">
        <f>(8.971-1.527)/3</f>
        <v>2.4813333333333332</v>
      </c>
      <c r="I8" s="4">
        <f>(8.929-1.609)/3</f>
        <v>2.44</v>
      </c>
      <c r="J8" s="4">
        <f>SUM(Tabela1[[#This Row],[T (1º)]:[T (5º)]])</f>
        <v>12.266666666666666</v>
      </c>
      <c r="K8" s="4" t="str">
        <f t="shared" si="0"/>
        <v>2,453 ± 0,031</v>
      </c>
      <c r="L8" s="5"/>
      <c r="M8" s="12"/>
      <c r="N8" s="12"/>
      <c r="P8" s="36" t="s">
        <v>47</v>
      </c>
      <c r="Q8" s="37"/>
    </row>
    <row r="9" spans="1:24" ht="18" customHeight="1" x14ac:dyDescent="0.25">
      <c r="A9" s="4"/>
      <c r="D9" s="2"/>
      <c r="E9" s="19"/>
      <c r="G9" s="19"/>
      <c r="I9" s="29" t="s">
        <v>23</v>
      </c>
      <c r="J9" s="30"/>
      <c r="K9" s="17" t="str">
        <f>ROUND(AVERAGE(Tabela1[[T (1º)]:[T (5º)]]),3) &amp; " ± " &amp; ROUND((2.064) * _xlfn.STDEV.S(Tabela1[[T (1º)]:[T (5º)]]) / SQRT(25), 3)</f>
        <v>2,461 ± 0,01</v>
      </c>
    </row>
    <row r="10" spans="1:24" x14ac:dyDescent="0.25">
      <c r="I10" s="19"/>
      <c r="J10" s="14"/>
      <c r="S10" s="21" t="s">
        <v>46</v>
      </c>
      <c r="T10" s="1" t="s">
        <v>27</v>
      </c>
      <c r="U10" s="1" t="s">
        <v>26</v>
      </c>
      <c r="V10" s="1" t="s">
        <v>25</v>
      </c>
      <c r="W10" s="6" t="s">
        <v>30</v>
      </c>
      <c r="X10" s="1" t="s">
        <v>68</v>
      </c>
    </row>
    <row r="11" spans="1:24" x14ac:dyDescent="0.25">
      <c r="A11" s="34" t="s">
        <v>15</v>
      </c>
      <c r="B11" s="35"/>
      <c r="C11" s="9" t="s">
        <v>18</v>
      </c>
      <c r="M11" s="13"/>
      <c r="S11" s="1" t="s">
        <v>24</v>
      </c>
      <c r="T11" s="4">
        <f>MAX(Tabela1[[T (1º)]:[T (5º)]])-MIN(Tabela1[[T (1º)]:[T (5º)]])</f>
        <v>8.5000000000000409E-2</v>
      </c>
      <c r="U11" s="4">
        <f>MAX(Tabela14[[T (1º)]:[T (5º)]])-MIN(Tabela14[[T (1º)]:[T (5º)]])</f>
        <v>0.10333333333333306</v>
      </c>
      <c r="V11" s="4">
        <f>MAX(Tabela15[[T (1º)]:[T (5º)]])-MIN(Tabela15[[T (1º)]:[T (5º)]])</f>
        <v>0.68299999999999983</v>
      </c>
      <c r="W11" s="15" t="s">
        <v>33</v>
      </c>
      <c r="X11" s="1" t="s">
        <v>66</v>
      </c>
    </row>
    <row r="12" spans="1:24" x14ac:dyDescent="0.25">
      <c r="A12" s="1" t="s">
        <v>0</v>
      </c>
      <c r="B12" s="1" t="s">
        <v>1</v>
      </c>
      <c r="C12" s="1" t="s">
        <v>2</v>
      </c>
      <c r="D12" s="1" t="s">
        <v>21</v>
      </c>
      <c r="E12" s="1" t="s">
        <v>6</v>
      </c>
      <c r="F12" s="1" t="s">
        <v>8</v>
      </c>
      <c r="G12" s="1" t="s">
        <v>9</v>
      </c>
      <c r="H12" s="1" t="s">
        <v>10</v>
      </c>
      <c r="I12" s="6" t="s">
        <v>11</v>
      </c>
      <c r="J12" s="6" t="s">
        <v>40</v>
      </c>
      <c r="K12" s="1" t="s">
        <v>7</v>
      </c>
      <c r="L12" s="5"/>
      <c r="S12" s="1" t="s">
        <v>22</v>
      </c>
      <c r="T12" s="4">
        <f>_xlfn.STDEV.S(Tabela1[[T (1º)]:[T (5º)]])</f>
        <v>2.3074292252698993E-2</v>
      </c>
      <c r="U12" s="4">
        <f>_xlfn.STDEV.S(Tabela14[[T (1º)]:[T (5º)]])</f>
        <v>2.4402868683824862E-2</v>
      </c>
      <c r="V12" s="4">
        <f>_xlfn.STDEV.S(Tabela15[[T (1º)]:[T (5º)]])</f>
        <v>0.2306689169768204</v>
      </c>
      <c r="W12" s="16" t="s">
        <v>34</v>
      </c>
      <c r="X12" s="1" t="s">
        <v>67</v>
      </c>
    </row>
    <row r="13" spans="1:24" x14ac:dyDescent="0.25">
      <c r="A13" s="1" t="s">
        <v>55</v>
      </c>
      <c r="B13" s="1" t="s">
        <v>50</v>
      </c>
      <c r="C13" s="2" t="s">
        <v>57</v>
      </c>
      <c r="D13" s="11">
        <v>3.8225447905018295</v>
      </c>
      <c r="E13" s="4">
        <f>(11.873-4.596)/3</f>
        <v>2.4256666666666664</v>
      </c>
      <c r="F13" s="4">
        <f>(12.102-4.752)/3</f>
        <v>2.4500000000000002</v>
      </c>
      <c r="G13" s="4">
        <f>(12.161-4.801)/3</f>
        <v>2.4533333333333331</v>
      </c>
      <c r="H13" s="4">
        <v>2.427</v>
      </c>
      <c r="I13" s="4">
        <f>(12.133-4.788)/3</f>
        <v>2.4483333333333328</v>
      </c>
      <c r="J13" s="4">
        <f>SUM(Tabela14[[#This Row],[T (1º)]:[T (5º)]])</f>
        <v>12.204333333333333</v>
      </c>
      <c r="K13" s="4" t="str">
        <f>ROUND((E13+F13+G13+I13+H13)/5, 3)  &amp; " ± " &amp; ROUND((2.776) * _xlfn.STDEV.S(E13, F13, G13, H13, I13) / SQRT(5), 3)</f>
        <v>2,441 ± 0,017</v>
      </c>
      <c r="L13" s="5"/>
      <c r="M13" s="20" t="s">
        <v>41</v>
      </c>
      <c r="N13" s="20" t="s">
        <v>42</v>
      </c>
      <c r="O13" s="20" t="s">
        <v>43</v>
      </c>
      <c r="P13" s="20" t="s">
        <v>44</v>
      </c>
      <c r="Q13" s="20" t="s">
        <v>45</v>
      </c>
      <c r="S13" s="1" t="s">
        <v>28</v>
      </c>
      <c r="T13" s="4">
        <f>(2.064)*T12/SQRT(25)</f>
        <v>9.5250678419141442E-3</v>
      </c>
      <c r="U13" s="4">
        <f>(2.064)*U12/SQRT(25)</f>
        <v>1.0073504192682905E-2</v>
      </c>
      <c r="V13" s="4">
        <f>(2.064)*V12/SQRT(25)</f>
        <v>9.5220128928031472E-2</v>
      </c>
      <c r="W13" s="16" t="s">
        <v>38</v>
      </c>
      <c r="X13" s="1" t="s">
        <v>67</v>
      </c>
    </row>
    <row r="14" spans="1:24" ht="15.75" x14ac:dyDescent="0.25">
      <c r="A14" s="1" t="s">
        <v>55</v>
      </c>
      <c r="B14" s="1" t="s">
        <v>51</v>
      </c>
      <c r="C14" s="2" t="s">
        <v>57</v>
      </c>
      <c r="D14" s="11">
        <v>3.8225447905018295</v>
      </c>
      <c r="E14" s="4">
        <f>(12.192-4.905)/3</f>
        <v>2.4289999999999998</v>
      </c>
      <c r="F14" s="4">
        <f>(12.28-4.9)/3</f>
        <v>2.4599999999999995</v>
      </c>
      <c r="G14" s="4">
        <f>(12.639-5.401)/3</f>
        <v>2.4126666666666665</v>
      </c>
      <c r="H14" s="4">
        <f>(12.535-5.077)/3</f>
        <v>2.4860000000000002</v>
      </c>
      <c r="I14" s="4">
        <f>(12.17-4.751)/3</f>
        <v>2.4729999999999999</v>
      </c>
      <c r="J14" s="4">
        <f>SUM(Tabela14[[#This Row],[T (1º)]:[T (5º)]])</f>
        <v>12.260666666666665</v>
      </c>
      <c r="K14" s="4" t="str">
        <f t="shared" ref="K14:K17" si="3">ROUND((E14+F14+G14+I14+H14)/5, 3)  &amp; " ± " &amp; ROUND((2.776) * _xlfn.STDEV.S(E14, F14, G14, H14, I14) / SQRT(5), 3)</f>
        <v>2,452 ± 0,038</v>
      </c>
      <c r="L14" s="5"/>
      <c r="M14" s="20" t="s">
        <v>70</v>
      </c>
      <c r="N14" s="24">
        <f>SUMSQ(Tabela14[SOMA])/5 - SUM(E13:I17)^2/25</f>
        <v>5.1235555548601042E-4</v>
      </c>
      <c r="O14" s="20">
        <f>5-1</f>
        <v>4</v>
      </c>
      <c r="P14" s="23">
        <f t="shared" ref="P14:P15" si="4">N14/O14</f>
        <v>1.280888888715026E-4</v>
      </c>
      <c r="Q14" s="28">
        <f>P14/P15</f>
        <v>0.18591029599922856</v>
      </c>
      <c r="S14" s="1" t="s">
        <v>29</v>
      </c>
      <c r="T14" s="1" t="s">
        <v>37</v>
      </c>
      <c r="U14" s="1" t="s">
        <v>39</v>
      </c>
      <c r="V14" s="1" t="s">
        <v>36</v>
      </c>
      <c r="W14" s="6" t="s">
        <v>31</v>
      </c>
      <c r="X14" s="1" t="s">
        <v>66</v>
      </c>
    </row>
    <row r="15" spans="1:24" x14ac:dyDescent="0.25">
      <c r="A15" s="1" t="s">
        <v>55</v>
      </c>
      <c r="B15" s="1" t="s">
        <v>52</v>
      </c>
      <c r="C15" s="2" t="s">
        <v>57</v>
      </c>
      <c r="D15" s="11">
        <v>3.8225447905018295</v>
      </c>
      <c r="E15" s="4">
        <f>(12.221-4.901)/3</f>
        <v>2.44</v>
      </c>
      <c r="F15" s="4">
        <f>(12.349-4.902)/3</f>
        <v>2.4823333333333335</v>
      </c>
      <c r="G15" s="4">
        <f>(12.426-5.114)/3</f>
        <v>2.4373333333333336</v>
      </c>
      <c r="H15" s="4">
        <f>(12.166-4.901)/3</f>
        <v>2.4216666666666669</v>
      </c>
      <c r="I15" s="4">
        <f>(12.206-4.873)/3</f>
        <v>2.4443333333333332</v>
      </c>
      <c r="J15" s="4">
        <f>SUM(Tabela14[[#This Row],[T (1º)]:[T (5º)]])</f>
        <v>12.225666666666667</v>
      </c>
      <c r="K15" s="4" t="str">
        <f t="shared" si="3"/>
        <v>2,445 ± 0,028</v>
      </c>
      <c r="L15" s="5"/>
      <c r="M15" s="20" t="s">
        <v>72</v>
      </c>
      <c r="N15" s="25">
        <f>N16-N14</f>
        <v>1.3779644444440464E-2</v>
      </c>
      <c r="O15" s="22">
        <f t="shared" ref="O15" si="5">5*(5-1)</f>
        <v>20</v>
      </c>
      <c r="P15" s="23">
        <f t="shared" si="4"/>
        <v>6.8898222222202321E-4</v>
      </c>
      <c r="Q15" s="20"/>
      <c r="S15" s="1" t="s">
        <v>32</v>
      </c>
      <c r="T15" s="18">
        <f>T13/AVERAGE(Tabela1[[T (1º)]:[T (5º)]])*100</f>
        <v>0.3869965157119119</v>
      </c>
      <c r="U15" s="18">
        <f>U13/AVERAGE(Tabela14[[T (1º)]:[T (5º)]])*100</f>
        <v>0.41145453352097677</v>
      </c>
      <c r="V15" s="18">
        <f>V13/AVERAGE(Tabela15[[T (1º)]:[T (5º)]])*100</f>
        <v>3.7713331905400529</v>
      </c>
      <c r="W15" s="18" t="s">
        <v>35</v>
      </c>
      <c r="X15" s="1" t="s">
        <v>69</v>
      </c>
    </row>
    <row r="16" spans="1:24" x14ac:dyDescent="0.25">
      <c r="A16" s="1" t="s">
        <v>55</v>
      </c>
      <c r="B16" s="1" t="s">
        <v>53</v>
      </c>
      <c r="C16" s="2" t="s">
        <v>57</v>
      </c>
      <c r="D16" s="11">
        <v>3.8225447905018295</v>
      </c>
      <c r="E16" s="4">
        <f>(12.331-4.902)/3</f>
        <v>2.4763333333333333</v>
      </c>
      <c r="F16" s="4">
        <f>(12.32-5.15)/3</f>
        <v>2.39</v>
      </c>
      <c r="G16" s="4">
        <f>(12.475-4.995)/3</f>
        <v>2.4933333333333332</v>
      </c>
      <c r="H16" s="4">
        <f>(12.893-5.501)/3</f>
        <v>2.464</v>
      </c>
      <c r="I16" s="4">
        <f>(12.563-5.251)/3</f>
        <v>2.4373333333333336</v>
      </c>
      <c r="J16" s="4">
        <f>SUM(Tabela14[[#This Row],[T (1º)]:[T (5º)]])</f>
        <v>12.260999999999999</v>
      </c>
      <c r="K16" s="4" t="str">
        <f t="shared" si="3"/>
        <v>2,452 ± 0,05</v>
      </c>
      <c r="L16" s="5"/>
      <c r="M16" s="20" t="s">
        <v>71</v>
      </c>
      <c r="N16" s="26">
        <f>SUMSQ(E13:I17)-SUM(E13:I17)^2/25</f>
        <v>1.4291999999926475E-2</v>
      </c>
      <c r="O16" s="20">
        <f>5*5-1</f>
        <v>24</v>
      </c>
      <c r="P16" s="23"/>
      <c r="Q16" s="20"/>
    </row>
    <row r="17" spans="1:17" x14ac:dyDescent="0.25">
      <c r="A17" s="1" t="s">
        <v>55</v>
      </c>
      <c r="B17" s="1" t="s">
        <v>54</v>
      </c>
      <c r="C17" s="2" t="s">
        <v>57</v>
      </c>
      <c r="D17" s="11">
        <v>3.8225447905018295</v>
      </c>
      <c r="E17" s="4">
        <f>(12.398-5.091)/3</f>
        <v>2.4356666666666666</v>
      </c>
      <c r="F17" s="4">
        <f>(12.627-5.252)/3</f>
        <v>2.4583333333333335</v>
      </c>
      <c r="G17" s="4">
        <f>(12.659-5.255)/3</f>
        <v>2.4680000000000004</v>
      </c>
      <c r="H17" s="4">
        <f>(12.519-5.151)/3</f>
        <v>2.456</v>
      </c>
      <c r="I17" s="4">
        <f>(12.562-5.251)/3</f>
        <v>2.4369999999999998</v>
      </c>
      <c r="J17" s="4">
        <f>SUM(Tabela14[[#This Row],[T (1º)]:[T (5º)]])</f>
        <v>12.254999999999999</v>
      </c>
      <c r="K17" s="4" t="str">
        <f t="shared" si="3"/>
        <v>2,451 ± 0,018</v>
      </c>
      <c r="L17" s="5"/>
      <c r="P17" s="36" t="s">
        <v>47</v>
      </c>
      <c r="Q17" s="37"/>
    </row>
    <row r="18" spans="1:17" ht="18" customHeight="1" x14ac:dyDescent="0.25">
      <c r="A18" s="1"/>
      <c r="B18" s="1"/>
      <c r="C18" s="1"/>
      <c r="D18" s="2"/>
      <c r="F18"/>
      <c r="I18" s="33" t="s">
        <v>23</v>
      </c>
      <c r="J18" s="33"/>
      <c r="K18" s="17" t="str">
        <f>ROUND(AVERAGE(Tabela14[[T (1º)]:[T (5º)]]),3) &amp; " ± " &amp; ROUND((2.064) * _xlfn.STDEV.S(Tabela14[[T (1º)]:[T (5º)]]) / SQRT(25), 3)</f>
        <v>2,448 ± 0,01</v>
      </c>
    </row>
    <row r="19" spans="1:17" x14ac:dyDescent="0.25">
      <c r="F19"/>
      <c r="J19" s="14"/>
    </row>
    <row r="20" spans="1:17" x14ac:dyDescent="0.25">
      <c r="A20" s="34" t="s">
        <v>16</v>
      </c>
      <c r="B20" s="35"/>
      <c r="C20" s="9" t="s">
        <v>19</v>
      </c>
    </row>
    <row r="21" spans="1:17" x14ac:dyDescent="0.25">
      <c r="A21" s="1" t="s">
        <v>0</v>
      </c>
      <c r="B21" s="1" t="s">
        <v>1</v>
      </c>
      <c r="C21" s="1" t="s">
        <v>2</v>
      </c>
      <c r="D21" s="1" t="s">
        <v>21</v>
      </c>
      <c r="E21" s="1" t="s">
        <v>6</v>
      </c>
      <c r="F21" s="1" t="s">
        <v>8</v>
      </c>
      <c r="G21" s="1" t="s">
        <v>9</v>
      </c>
      <c r="H21" s="1" t="s">
        <v>10</v>
      </c>
      <c r="I21" s="6" t="s">
        <v>11</v>
      </c>
      <c r="J21" s="6" t="s">
        <v>40</v>
      </c>
      <c r="K21" s="1" t="s">
        <v>7</v>
      </c>
      <c r="L21" s="5"/>
    </row>
    <row r="22" spans="1:17" x14ac:dyDescent="0.25">
      <c r="A22" s="1" t="s">
        <v>61</v>
      </c>
      <c r="B22" s="1" t="s">
        <v>50</v>
      </c>
      <c r="C22" s="2" t="s">
        <v>59</v>
      </c>
      <c r="D22" s="11">
        <v>9.5940457918080231</v>
      </c>
      <c r="E22" s="4">
        <f>(12.426-5.82)/3</f>
        <v>2.202</v>
      </c>
      <c r="F22" s="4">
        <f>(10.322-3.822)/3</f>
        <v>2.1666666666666665</v>
      </c>
      <c r="G22" s="4">
        <f>(11.151-4.539)/3</f>
        <v>2.2040000000000002</v>
      </c>
      <c r="H22" s="4">
        <f>(12.612-6.016)/3</f>
        <v>2.1986666666666665</v>
      </c>
      <c r="I22" s="4">
        <f>(12.51-5.883)/3</f>
        <v>2.2090000000000001</v>
      </c>
      <c r="J22" s="4">
        <f>SUM(Tabela15[[#This Row],[T (1º)]:[T (5º)]])</f>
        <v>10.980333333333332</v>
      </c>
      <c r="K22" s="4" t="str">
        <f>ROUND((E22+F22+G22+I22+H22)/5, 3)  &amp; " ± " &amp; ROUND((2.776) * _xlfn.STDEV.S(E22, F22, G22, H22, I22) / SQRT(5), 3)</f>
        <v>2,196 ± 0,021</v>
      </c>
      <c r="L22" s="5"/>
      <c r="M22" s="20" t="s">
        <v>41</v>
      </c>
      <c r="N22" s="20" t="s">
        <v>42</v>
      </c>
      <c r="O22" s="20" t="s">
        <v>43</v>
      </c>
      <c r="P22" s="20" t="s">
        <v>44</v>
      </c>
      <c r="Q22" s="20" t="s">
        <v>45</v>
      </c>
    </row>
    <row r="23" spans="1:17" ht="15.75" x14ac:dyDescent="0.25">
      <c r="A23" s="1" t="s">
        <v>62</v>
      </c>
      <c r="B23" s="1" t="s">
        <v>50</v>
      </c>
      <c r="C23" s="2" t="s">
        <v>59</v>
      </c>
      <c r="D23" s="11">
        <v>8.2131914957237591</v>
      </c>
      <c r="E23" s="4">
        <f>(14.155-7.061)/3</f>
        <v>2.3646666666666665</v>
      </c>
      <c r="F23" s="4">
        <f>(14.969-7.883)/3</f>
        <v>2.3619999999999997</v>
      </c>
      <c r="G23" s="4">
        <f>(17.689-10.562)/3</f>
        <v>2.375666666666667</v>
      </c>
      <c r="H23" s="4">
        <f>(14.56-7.418)/3</f>
        <v>2.3806666666666669</v>
      </c>
      <c r="I23" s="4">
        <f>(15.111-7.994)/3</f>
        <v>2.3723333333333336</v>
      </c>
      <c r="J23" s="4">
        <f>SUM(Tabela15[[#This Row],[T (1º)]:[T (5º)]])</f>
        <v>11.855333333333334</v>
      </c>
      <c r="K23" s="4" t="str">
        <f t="shared" ref="K23:K26" si="6">ROUND((E23+F23+G23+I23+H23)/5, 3)  &amp; " ± " &amp; ROUND((2.776) * _xlfn.STDEV.S(E23, F23, G23, H23, I23) / SQRT(5), 3)</f>
        <v>2,371 ± 0,01</v>
      </c>
      <c r="L23" s="5"/>
      <c r="M23" s="20" t="s">
        <v>70</v>
      </c>
      <c r="N23" s="24">
        <f>SUMSQ(Tabela15[SOMA])/5 - SUM(E22:I26)^2/25</f>
        <v>1.2747609155555608</v>
      </c>
      <c r="O23" s="20">
        <f>5-1</f>
        <v>4</v>
      </c>
      <c r="P23" s="23">
        <f t="shared" ref="P23:P24" si="7">N23/O23</f>
        <v>0.3186902288888902</v>
      </c>
      <c r="Q23" s="27">
        <f>P23/P24</f>
        <v>2852.2395187138159</v>
      </c>
    </row>
    <row r="24" spans="1:17" x14ac:dyDescent="0.25">
      <c r="A24" s="1" t="s">
        <v>63</v>
      </c>
      <c r="B24" s="1" t="s">
        <v>50</v>
      </c>
      <c r="C24" s="2" t="s">
        <v>59</v>
      </c>
      <c r="D24" s="11">
        <v>7.1807389897669234</v>
      </c>
      <c r="E24" s="4">
        <f>(18.446-10.881)/3</f>
        <v>2.5216666666666669</v>
      </c>
      <c r="F24" s="4">
        <f>(13.808-6.204)/3</f>
        <v>2.5346666666666668</v>
      </c>
      <c r="G24" s="4">
        <f>(13.518-5.937)/3</f>
        <v>2.5270000000000001</v>
      </c>
      <c r="H24" s="4">
        <f>(11.974-4.363)/3</f>
        <v>2.5369999999999999</v>
      </c>
      <c r="I24" s="4">
        <f>(13.785-6.161)/3</f>
        <v>2.5413333333333337</v>
      </c>
      <c r="J24" s="4">
        <f>SUM(Tabela15[[#This Row],[T (1º)]:[T (5º)]])</f>
        <v>12.661666666666669</v>
      </c>
      <c r="K24" s="4" t="str">
        <f t="shared" si="6"/>
        <v>2,532 ± 0,01</v>
      </c>
      <c r="L24" s="5"/>
      <c r="M24" s="20" t="s">
        <v>72</v>
      </c>
      <c r="N24" s="25">
        <f>N25-N23</f>
        <v>2.2346666666521742E-3</v>
      </c>
      <c r="O24" s="22">
        <f t="shared" ref="O24" si="8">5*(5-1)</f>
        <v>20</v>
      </c>
      <c r="P24" s="23">
        <f t="shared" si="7"/>
        <v>1.117333333326087E-4</v>
      </c>
      <c r="Q24" s="20"/>
    </row>
    <row r="25" spans="1:17" x14ac:dyDescent="0.25">
      <c r="A25" s="1" t="s">
        <v>64</v>
      </c>
      <c r="B25" s="1" t="s">
        <v>50</v>
      </c>
      <c r="C25" s="2" t="s">
        <v>59</v>
      </c>
      <c r="D25" s="11">
        <v>6.379355290735135</v>
      </c>
      <c r="E25" s="4">
        <f>(17.119-9.059)/3</f>
        <v>2.686666666666667</v>
      </c>
      <c r="F25" s="4">
        <f>(15.53-7.446)/3</f>
        <v>2.6946666666666665</v>
      </c>
      <c r="G25" s="4">
        <f>(13.297-5.225)/3</f>
        <v>2.690666666666667</v>
      </c>
      <c r="H25" s="4">
        <f>(13.993-5.914)/3</f>
        <v>2.6930000000000001</v>
      </c>
      <c r="I25" s="4">
        <f>(13.954-5.891)/3</f>
        <v>2.6876666666666669</v>
      </c>
      <c r="J25" s="4">
        <f>SUM(Tabela15[[#This Row],[T (1º)]:[T (5º)]])</f>
        <v>13.452666666666667</v>
      </c>
      <c r="K25" s="4" t="str">
        <f t="shared" si="6"/>
        <v>2,691 ± 0,004</v>
      </c>
      <c r="L25" s="5"/>
      <c r="M25" s="20" t="s">
        <v>71</v>
      </c>
      <c r="N25" s="26">
        <f>SUMSQ(E22:I26)-SUM(E22:I26)^2/25</f>
        <v>1.276995582222213</v>
      </c>
      <c r="O25" s="20">
        <f>5*5-1</f>
        <v>24</v>
      </c>
      <c r="P25" s="23"/>
      <c r="Q25" s="20"/>
    </row>
    <row r="26" spans="1:17" x14ac:dyDescent="0.25">
      <c r="A26" s="1" t="s">
        <v>65</v>
      </c>
      <c r="B26" s="1" t="s">
        <v>50</v>
      </c>
      <c r="C26" s="2" t="s">
        <v>59</v>
      </c>
      <c r="D26" s="11">
        <v>5.7391570566210737</v>
      </c>
      <c r="E26" s="4">
        <f>(20.197-11.648)/3</f>
        <v>2.8496666666666663</v>
      </c>
      <c r="F26" s="4">
        <f>(15.652-7.188)/3</f>
        <v>2.821333333333333</v>
      </c>
      <c r="G26" s="4">
        <f>(15.904-7.43)/3</f>
        <v>2.8246666666666669</v>
      </c>
      <c r="H26" s="4">
        <f>(15.151-6.652)/3</f>
        <v>2.8329999999999997</v>
      </c>
      <c r="I26" s="4">
        <f>(16.178-7.651)/3</f>
        <v>2.8423333333333338</v>
      </c>
      <c r="J26" s="4">
        <f>SUM(Tabela15[[#This Row],[T (1º)]:[T (5º)]])</f>
        <v>14.171000000000001</v>
      </c>
      <c r="K26" s="4" t="str">
        <f t="shared" si="6"/>
        <v>2,834 ± 0,015</v>
      </c>
      <c r="L26" s="5"/>
      <c r="P26" s="36" t="s">
        <v>47</v>
      </c>
      <c r="Q26" s="37"/>
    </row>
    <row r="27" spans="1:17" ht="18" customHeight="1" x14ac:dyDescent="0.25">
      <c r="A27" s="1"/>
      <c r="B27" s="1"/>
      <c r="C27" s="1"/>
      <c r="D27" s="2"/>
      <c r="F27"/>
      <c r="I27" s="29" t="s">
        <v>23</v>
      </c>
      <c r="J27" s="30"/>
      <c r="K27" s="17" t="str">
        <f>ROUND(AVERAGE(Tabela15[[T (1º)]:[T (5º)]]),3) &amp; " ± " &amp; ROUND((2.064) * _xlfn.STDEV.S(Tabela15[[T (1º)]:[T (5º)]]) / SQRT(25), 3)</f>
        <v>2,525 ± 0,095</v>
      </c>
    </row>
    <row r="29" spans="1:17" ht="17.25" customHeight="1" x14ac:dyDescent="0.25">
      <c r="F29"/>
      <c r="I29" s="5"/>
      <c r="J29"/>
    </row>
    <row r="30" spans="1:17" x14ac:dyDescent="0.25">
      <c r="F30"/>
      <c r="I30" s="5"/>
      <c r="J30"/>
    </row>
    <row r="31" spans="1:17" x14ac:dyDescent="0.25">
      <c r="F31"/>
      <c r="I31" s="5"/>
      <c r="J31"/>
    </row>
    <row r="32" spans="1:17" x14ac:dyDescent="0.25">
      <c r="F32"/>
      <c r="I32" s="5"/>
      <c r="J32"/>
    </row>
    <row r="33" spans="6:15" x14ac:dyDescent="0.25">
      <c r="F33"/>
      <c r="I33" s="5"/>
      <c r="J33"/>
    </row>
    <row r="34" spans="6:15" x14ac:dyDescent="0.25">
      <c r="F34"/>
      <c r="J34"/>
      <c r="K34" s="5"/>
      <c r="O34" s="5"/>
    </row>
  </sheetData>
  <mergeCells count="11">
    <mergeCell ref="I27:J27"/>
    <mergeCell ref="S7:T7"/>
    <mergeCell ref="I18:J18"/>
    <mergeCell ref="A2:B2"/>
    <mergeCell ref="A20:B20"/>
    <mergeCell ref="A11:B11"/>
    <mergeCell ref="I9:J9"/>
    <mergeCell ref="P8:Q8"/>
    <mergeCell ref="P17:Q17"/>
    <mergeCell ref="P26:Q26"/>
    <mergeCell ref="M2:Q2"/>
  </mergeCells>
  <phoneticPr fontId="9" type="noConversion"/>
  <pageMargins left="0.7" right="0.7" top="0.75" bottom="0.75" header="0.3" footer="0.3"/>
  <pageSetup paperSize="9" orientation="portrait" verticalDpi="300" r:id="rId1"/>
  <ignoredErrors>
    <ignoredError sqref="E16:I16 E17:H17 I17 E14:H14 I14 E15:G15 I15 H15 E5:I8 E22:I26 F13 E13 G13:I13 E4:I4 N23 N24:N25 O23:O25 N14:O16 N6:N7 O5 O6:O7" calculatedColumn="1"/>
  </ignoredErrors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Lívia Marchi</dc:creator>
  <cp:lastModifiedBy>Klauss Marchi</cp:lastModifiedBy>
  <dcterms:created xsi:type="dcterms:W3CDTF">2015-06-05T18:19:34Z</dcterms:created>
  <dcterms:modified xsi:type="dcterms:W3CDTF">2022-04-08T00:48:36Z</dcterms:modified>
</cp:coreProperties>
</file>