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\Documents\oxkon\oxkon-asu\packages\import-export-microservice\"/>
    </mc:Choice>
  </mc:AlternateContent>
  <xr:revisionPtr revIDLastSave="0" documentId="13_ncr:1_{4689F2DE-5847-45C8-A746-3D27DB53E0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естр" sheetId="1" r:id="rId1"/>
  </sheets>
  <definedNames>
    <definedName name="_xlnm._FilterDatabase" localSheetId="0" hidden="1">Реестр!$A$2:$AD$547</definedName>
    <definedName name="s">Реестр!#REF!</definedName>
    <definedName name="status" comment="Статус готовности акта обследования">Реестр!#REF!</definedName>
    <definedName name="_xlnm.Print_Titles" localSheetId="0">Реестр!$1:$2</definedName>
    <definedName name="_xlnm.Print_Area" localSheetId="0">Реестр!$A$1:$R$545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7" i="1" l="1"/>
  <c r="V545" i="1"/>
  <c r="R545" i="1"/>
  <c r="X543" i="1"/>
  <c r="V543" i="1"/>
  <c r="W546" i="1" s="1"/>
  <c r="R543" i="1"/>
  <c r="R544" i="1" s="1"/>
  <c r="AE542" i="1"/>
  <c r="R541" i="1"/>
  <c r="R542" i="1" s="1"/>
  <c r="AF540" i="1"/>
  <c r="K540" i="1"/>
  <c r="L540" i="1" s="1"/>
  <c r="AF539" i="1"/>
  <c r="K539" i="1"/>
  <c r="L539" i="1" s="1"/>
  <c r="AF538" i="1"/>
  <c r="K538" i="1"/>
  <c r="L538" i="1" s="1"/>
  <c r="AF537" i="1"/>
  <c r="K537" i="1"/>
  <c r="L537" i="1" s="1"/>
  <c r="AF536" i="1"/>
  <c r="K536" i="1"/>
  <c r="L536" i="1" s="1"/>
  <c r="AF535" i="1"/>
  <c r="K535" i="1"/>
  <c r="L535" i="1" s="1"/>
  <c r="AF534" i="1"/>
  <c r="K534" i="1"/>
  <c r="L534" i="1" s="1"/>
  <c r="AF533" i="1"/>
  <c r="K533" i="1"/>
  <c r="L533" i="1" s="1"/>
  <c r="AF532" i="1"/>
  <c r="K532" i="1"/>
  <c r="L532" i="1" s="1"/>
  <c r="AF531" i="1"/>
  <c r="K531" i="1"/>
  <c r="L531" i="1" s="1"/>
  <c r="K530" i="1"/>
  <c r="L530" i="1" s="1"/>
  <c r="AF529" i="1"/>
  <c r="K529" i="1"/>
  <c r="L529" i="1" s="1"/>
  <c r="K528" i="1"/>
  <c r="L528" i="1" s="1"/>
  <c r="AF527" i="1"/>
  <c r="AF526" i="1"/>
  <c r="AF525" i="1"/>
  <c r="K525" i="1"/>
  <c r="L525" i="1" s="1"/>
  <c r="AF524" i="1"/>
  <c r="K524" i="1"/>
  <c r="L524" i="1" s="1"/>
  <c r="AF523" i="1"/>
  <c r="K523" i="1"/>
  <c r="L523" i="1" s="1"/>
  <c r="AF522" i="1"/>
  <c r="AF521" i="1"/>
  <c r="AF520" i="1"/>
  <c r="AF519" i="1"/>
  <c r="K519" i="1"/>
  <c r="L519" i="1" s="1"/>
  <c r="AF518" i="1"/>
  <c r="L518" i="1"/>
  <c r="AF517" i="1"/>
  <c r="AF516" i="1"/>
  <c r="K516" i="1"/>
  <c r="L516" i="1" s="1"/>
  <c r="AF515" i="1"/>
  <c r="K515" i="1"/>
  <c r="L515" i="1" s="1"/>
  <c r="AF514" i="1"/>
  <c r="AF513" i="1"/>
  <c r="AF512" i="1"/>
  <c r="AF511" i="1"/>
  <c r="K511" i="1"/>
  <c r="L511" i="1" s="1"/>
  <c r="AF510" i="1"/>
  <c r="K510" i="1"/>
  <c r="L510" i="1" s="1"/>
  <c r="AF509" i="1"/>
  <c r="K509" i="1"/>
  <c r="L509" i="1" s="1"/>
  <c r="AF508" i="1"/>
  <c r="K508" i="1"/>
  <c r="L508" i="1" s="1"/>
  <c r="AF507" i="1"/>
  <c r="AF506" i="1"/>
  <c r="AF505" i="1"/>
  <c r="AF504" i="1"/>
  <c r="K504" i="1"/>
  <c r="L504" i="1" s="1"/>
  <c r="AF503" i="1"/>
  <c r="L503" i="1"/>
  <c r="AF502" i="1"/>
  <c r="L502" i="1"/>
  <c r="K502" i="1"/>
  <c r="AF501" i="1"/>
  <c r="K501" i="1"/>
  <c r="L501" i="1" s="1"/>
  <c r="AF500" i="1"/>
  <c r="K500" i="1"/>
  <c r="L500" i="1" s="1"/>
  <c r="AF499" i="1"/>
  <c r="K499" i="1"/>
  <c r="L499" i="1" s="1"/>
  <c r="AF498" i="1"/>
  <c r="K498" i="1"/>
  <c r="L498" i="1" s="1"/>
  <c r="AF497" i="1"/>
  <c r="AF496" i="1"/>
  <c r="AF495" i="1"/>
  <c r="AF494" i="1"/>
  <c r="AF493" i="1"/>
  <c r="AF492" i="1"/>
  <c r="AF491" i="1"/>
  <c r="K491" i="1"/>
  <c r="L491" i="1" s="1"/>
  <c r="AF490" i="1"/>
  <c r="AF489" i="1"/>
  <c r="AF488" i="1"/>
  <c r="AF487" i="1"/>
  <c r="AF486" i="1"/>
  <c r="AF485" i="1"/>
  <c r="AF484" i="1"/>
  <c r="K484" i="1"/>
  <c r="L484" i="1" s="1"/>
  <c r="AF483" i="1"/>
  <c r="AF482" i="1"/>
  <c r="AF481" i="1"/>
  <c r="K481" i="1"/>
  <c r="L481" i="1" s="1"/>
  <c r="AF480" i="1"/>
  <c r="K480" i="1"/>
  <c r="L480" i="1" s="1"/>
  <c r="AF479" i="1"/>
  <c r="K479" i="1"/>
  <c r="L479" i="1" s="1"/>
  <c r="AF478" i="1"/>
  <c r="K478" i="1"/>
  <c r="L478" i="1" s="1"/>
  <c r="AF477" i="1"/>
  <c r="AF476" i="1"/>
  <c r="AF475" i="1"/>
  <c r="AF474" i="1"/>
  <c r="AF473" i="1"/>
  <c r="L473" i="1"/>
  <c r="AF472" i="1"/>
  <c r="L472" i="1"/>
  <c r="AF471" i="1"/>
  <c r="K471" i="1"/>
  <c r="L471" i="1" s="1"/>
  <c r="AF470" i="1"/>
  <c r="K470" i="1"/>
  <c r="L470" i="1" s="1"/>
  <c r="AF469" i="1"/>
  <c r="AF468" i="1"/>
  <c r="AF467" i="1"/>
  <c r="AF466" i="1"/>
  <c r="AF465" i="1"/>
  <c r="AF464" i="1"/>
  <c r="K464" i="1"/>
  <c r="L464" i="1" s="1"/>
  <c r="AF463" i="1"/>
  <c r="L463" i="1"/>
  <c r="K463" i="1"/>
  <c r="AF462" i="1"/>
  <c r="K462" i="1"/>
  <c r="L462" i="1" s="1"/>
  <c r="AF461" i="1"/>
  <c r="K461" i="1"/>
  <c r="L461" i="1" s="1"/>
  <c r="AF460" i="1"/>
  <c r="K460" i="1"/>
  <c r="L460" i="1" s="1"/>
  <c r="AF459" i="1"/>
  <c r="K459" i="1"/>
  <c r="L459" i="1" s="1"/>
  <c r="AF458" i="1"/>
  <c r="AF457" i="1"/>
  <c r="AF456" i="1"/>
  <c r="AF455" i="1"/>
  <c r="K455" i="1"/>
  <c r="L455" i="1" s="1"/>
  <c r="AF454" i="1"/>
  <c r="AF453" i="1"/>
  <c r="K453" i="1"/>
  <c r="L453" i="1" s="1"/>
  <c r="AF452" i="1"/>
  <c r="K452" i="1"/>
  <c r="L452" i="1" s="1"/>
  <c r="AF451" i="1"/>
  <c r="K451" i="1"/>
  <c r="L451" i="1" s="1"/>
  <c r="AF450" i="1"/>
  <c r="L450" i="1"/>
  <c r="K450" i="1"/>
  <c r="AF449" i="1"/>
  <c r="K449" i="1"/>
  <c r="L449" i="1" s="1"/>
  <c r="AF448" i="1"/>
  <c r="K448" i="1"/>
  <c r="L448" i="1" s="1"/>
  <c r="AF447" i="1"/>
  <c r="AF446" i="1"/>
  <c r="K446" i="1"/>
  <c r="L446" i="1" s="1"/>
  <c r="AF445" i="1"/>
  <c r="K445" i="1"/>
  <c r="L445" i="1" s="1"/>
  <c r="AF444" i="1"/>
  <c r="L444" i="1"/>
  <c r="K444" i="1"/>
  <c r="AF443" i="1"/>
  <c r="K443" i="1"/>
  <c r="L443" i="1" s="1"/>
  <c r="AF442" i="1"/>
  <c r="K442" i="1"/>
  <c r="L442" i="1" s="1"/>
  <c r="AF441" i="1"/>
  <c r="K441" i="1"/>
  <c r="L441" i="1" s="1"/>
  <c r="AF440" i="1"/>
  <c r="K440" i="1"/>
  <c r="L440" i="1" s="1"/>
  <c r="AF439" i="1"/>
  <c r="AF438" i="1"/>
  <c r="AF437" i="1"/>
  <c r="K437" i="1"/>
  <c r="L437" i="1" s="1"/>
  <c r="AF436" i="1"/>
  <c r="K436" i="1"/>
  <c r="L436" i="1" s="1"/>
  <c r="AF435" i="1"/>
  <c r="K435" i="1"/>
  <c r="L435" i="1" s="1"/>
  <c r="AF434" i="1"/>
  <c r="K434" i="1"/>
  <c r="L434" i="1" s="1"/>
  <c r="AF433" i="1"/>
  <c r="AF432" i="1"/>
  <c r="K432" i="1"/>
  <c r="L432" i="1" s="1"/>
  <c r="AF431" i="1"/>
  <c r="K431" i="1"/>
  <c r="L431" i="1" s="1"/>
  <c r="AF430" i="1"/>
  <c r="AF429" i="1"/>
  <c r="K429" i="1"/>
  <c r="L429" i="1" s="1"/>
  <c r="AF428" i="1"/>
  <c r="K428" i="1"/>
  <c r="L428" i="1" s="1"/>
  <c r="AF427" i="1"/>
  <c r="K427" i="1"/>
  <c r="L427" i="1" s="1"/>
  <c r="AF426" i="1"/>
  <c r="K426" i="1"/>
  <c r="L426" i="1" s="1"/>
  <c r="AF425" i="1"/>
  <c r="K425" i="1"/>
  <c r="L425" i="1" s="1"/>
  <c r="AF424" i="1"/>
  <c r="K424" i="1"/>
  <c r="L424" i="1" s="1"/>
  <c r="AF423" i="1"/>
  <c r="K423" i="1"/>
  <c r="L423" i="1" s="1"/>
  <c r="AF422" i="1"/>
  <c r="K422" i="1"/>
  <c r="L422" i="1" s="1"/>
  <c r="AF421" i="1"/>
  <c r="K421" i="1"/>
  <c r="L421" i="1" s="1"/>
  <c r="AF420" i="1"/>
  <c r="K420" i="1"/>
  <c r="L420" i="1" s="1"/>
  <c r="AF419" i="1"/>
  <c r="K419" i="1"/>
  <c r="L419" i="1" s="1"/>
  <c r="AF418" i="1"/>
  <c r="K418" i="1"/>
  <c r="L418" i="1" s="1"/>
  <c r="AF417" i="1"/>
  <c r="L417" i="1"/>
  <c r="K417" i="1"/>
  <c r="AF416" i="1"/>
  <c r="K416" i="1"/>
  <c r="L416" i="1" s="1"/>
  <c r="AF415" i="1"/>
  <c r="K415" i="1"/>
  <c r="L415" i="1" s="1"/>
  <c r="AF414" i="1"/>
  <c r="K414" i="1"/>
  <c r="L414" i="1" s="1"/>
  <c r="AF413" i="1"/>
  <c r="K413" i="1"/>
  <c r="L413" i="1" s="1"/>
  <c r="AF412" i="1"/>
  <c r="L412" i="1"/>
  <c r="K412" i="1"/>
  <c r="AF411" i="1"/>
  <c r="K411" i="1"/>
  <c r="L411" i="1" s="1"/>
  <c r="AF410" i="1"/>
  <c r="K410" i="1"/>
  <c r="L410" i="1" s="1"/>
  <c r="AF409" i="1"/>
  <c r="K409" i="1"/>
  <c r="L409" i="1" s="1"/>
  <c r="AF408" i="1"/>
  <c r="K408" i="1"/>
  <c r="L408" i="1" s="1"/>
  <c r="AF407" i="1"/>
  <c r="K407" i="1"/>
  <c r="L407" i="1" s="1"/>
  <c r="AF406" i="1"/>
  <c r="K406" i="1"/>
  <c r="L406" i="1" s="1"/>
  <c r="AF405" i="1"/>
  <c r="K405" i="1"/>
  <c r="L405" i="1" s="1"/>
  <c r="AF404" i="1"/>
  <c r="K404" i="1"/>
  <c r="L404" i="1" s="1"/>
  <c r="AF403" i="1"/>
  <c r="K403" i="1"/>
  <c r="L403" i="1" s="1"/>
  <c r="AF402" i="1"/>
  <c r="L402" i="1"/>
  <c r="AF401" i="1"/>
  <c r="K401" i="1"/>
  <c r="L401" i="1" s="1"/>
  <c r="AF400" i="1"/>
  <c r="K400" i="1"/>
  <c r="L400" i="1" s="1"/>
  <c r="AF399" i="1"/>
  <c r="K399" i="1"/>
  <c r="L399" i="1" s="1"/>
  <c r="AF398" i="1"/>
  <c r="K398" i="1"/>
  <c r="L398" i="1" s="1"/>
  <c r="AF397" i="1"/>
  <c r="L397" i="1"/>
  <c r="K397" i="1"/>
  <c r="AF396" i="1"/>
  <c r="K396" i="1"/>
  <c r="L396" i="1" s="1"/>
  <c r="AF395" i="1"/>
  <c r="L395" i="1"/>
  <c r="AF394" i="1"/>
  <c r="K394" i="1"/>
  <c r="L394" i="1" s="1"/>
  <c r="AF393" i="1"/>
  <c r="AF392" i="1"/>
  <c r="K392" i="1"/>
  <c r="L392" i="1" s="1"/>
  <c r="AF391" i="1"/>
  <c r="AF390" i="1"/>
  <c r="AF389" i="1"/>
  <c r="K389" i="1"/>
  <c r="L389" i="1" s="1"/>
  <c r="AF388" i="1"/>
  <c r="AF387" i="1"/>
  <c r="AF386" i="1"/>
  <c r="K386" i="1"/>
  <c r="L386" i="1" s="1"/>
  <c r="AF385" i="1"/>
  <c r="K385" i="1"/>
  <c r="L385" i="1" s="1"/>
  <c r="AF384" i="1"/>
  <c r="L384" i="1"/>
  <c r="K384" i="1"/>
  <c r="AF383" i="1"/>
  <c r="K383" i="1"/>
  <c r="L383" i="1" s="1"/>
  <c r="AF382" i="1"/>
  <c r="K382" i="1"/>
  <c r="L382" i="1" s="1"/>
  <c r="AF381" i="1"/>
  <c r="AF380" i="1"/>
  <c r="K380" i="1"/>
  <c r="L380" i="1" s="1"/>
  <c r="AF379" i="1"/>
  <c r="K379" i="1"/>
  <c r="L379" i="1" s="1"/>
  <c r="AF378" i="1"/>
  <c r="AF377" i="1"/>
  <c r="AF376" i="1"/>
  <c r="AF375" i="1"/>
  <c r="AF374" i="1"/>
  <c r="AF373" i="1"/>
  <c r="K373" i="1"/>
  <c r="L373" i="1" s="1"/>
  <c r="AF372" i="1"/>
  <c r="K372" i="1"/>
  <c r="L372" i="1" s="1"/>
  <c r="AF371" i="1"/>
  <c r="AF370" i="1"/>
  <c r="AF369" i="1"/>
  <c r="AF368" i="1"/>
  <c r="AF367" i="1"/>
  <c r="K366" i="1"/>
  <c r="L366" i="1" s="1"/>
  <c r="AF365" i="1"/>
  <c r="K365" i="1"/>
  <c r="L365" i="1" s="1"/>
  <c r="AF364" i="1"/>
  <c r="K364" i="1"/>
  <c r="L364" i="1" s="1"/>
  <c r="AF363" i="1"/>
  <c r="K363" i="1"/>
  <c r="L363" i="1" s="1"/>
  <c r="AF362" i="1"/>
  <c r="K362" i="1"/>
  <c r="L362" i="1" s="1"/>
  <c r="AF361" i="1"/>
  <c r="K361" i="1"/>
  <c r="L361" i="1" s="1"/>
  <c r="AF360" i="1"/>
  <c r="K360" i="1"/>
  <c r="L360" i="1" s="1"/>
  <c r="AF359" i="1"/>
  <c r="AF358" i="1"/>
  <c r="K358" i="1"/>
  <c r="L358" i="1" s="1"/>
  <c r="AF357" i="1"/>
  <c r="K357" i="1"/>
  <c r="L357" i="1" s="1"/>
  <c r="AF356" i="1"/>
  <c r="K356" i="1"/>
  <c r="L356" i="1" s="1"/>
  <c r="AF355" i="1"/>
  <c r="K355" i="1"/>
  <c r="L355" i="1" s="1"/>
  <c r="AF354" i="1"/>
  <c r="K354" i="1"/>
  <c r="L354" i="1" s="1"/>
  <c r="AF353" i="1"/>
  <c r="K353" i="1"/>
  <c r="L353" i="1" s="1"/>
  <c r="AF352" i="1"/>
  <c r="AF351" i="1"/>
  <c r="AF350" i="1"/>
  <c r="L350" i="1"/>
  <c r="K350" i="1"/>
  <c r="AF349" i="1"/>
  <c r="AF348" i="1"/>
  <c r="AF347" i="1"/>
  <c r="K347" i="1"/>
  <c r="L347" i="1" s="1"/>
  <c r="AF346" i="1"/>
  <c r="K346" i="1"/>
  <c r="L346" i="1" s="1"/>
  <c r="AF345" i="1"/>
  <c r="K345" i="1"/>
  <c r="L345" i="1" s="1"/>
  <c r="AF344" i="1"/>
  <c r="AF343" i="1"/>
  <c r="K343" i="1"/>
  <c r="L343" i="1" s="1"/>
  <c r="AF342" i="1"/>
  <c r="AF341" i="1"/>
  <c r="AF340" i="1"/>
  <c r="K340" i="1"/>
  <c r="L340" i="1" s="1"/>
  <c r="AF339" i="1"/>
  <c r="K339" i="1"/>
  <c r="L339" i="1" s="1"/>
  <c r="AF338" i="1"/>
  <c r="K338" i="1"/>
  <c r="L338" i="1" s="1"/>
  <c r="AF337" i="1"/>
  <c r="AF336" i="1"/>
  <c r="K336" i="1"/>
  <c r="L336" i="1" s="1"/>
  <c r="AF335" i="1"/>
  <c r="K335" i="1"/>
  <c r="L335" i="1" s="1"/>
  <c r="AF334" i="1"/>
  <c r="AF333" i="1"/>
  <c r="K333" i="1"/>
  <c r="L333" i="1" s="1"/>
  <c r="AF332" i="1"/>
  <c r="AF331" i="1"/>
  <c r="AF330" i="1"/>
  <c r="K330" i="1"/>
  <c r="L330" i="1" s="1"/>
  <c r="AF329" i="1"/>
  <c r="K329" i="1"/>
  <c r="L329" i="1" s="1"/>
  <c r="AF328" i="1"/>
  <c r="K328" i="1"/>
  <c r="L328" i="1" s="1"/>
  <c r="AF327" i="1"/>
  <c r="K327" i="1"/>
  <c r="L327" i="1" s="1"/>
  <c r="AF326" i="1"/>
  <c r="L326" i="1"/>
  <c r="AF325" i="1"/>
  <c r="L325" i="1"/>
  <c r="AF324" i="1"/>
  <c r="L324" i="1"/>
  <c r="AF323" i="1"/>
  <c r="L323" i="1"/>
  <c r="AF322" i="1"/>
  <c r="L322" i="1"/>
  <c r="AF321" i="1"/>
  <c r="L321" i="1"/>
  <c r="AF320" i="1"/>
  <c r="L320" i="1"/>
  <c r="AF319" i="1"/>
  <c r="L319" i="1"/>
  <c r="AF318" i="1"/>
  <c r="L318" i="1"/>
  <c r="AF317" i="1"/>
  <c r="L317" i="1"/>
  <c r="AF316" i="1"/>
  <c r="L316" i="1"/>
  <c r="AF315" i="1"/>
  <c r="L315" i="1"/>
  <c r="AF314" i="1"/>
  <c r="L314" i="1"/>
  <c r="AF313" i="1"/>
  <c r="L313" i="1"/>
  <c r="AF312" i="1"/>
  <c r="L312" i="1"/>
  <c r="AF311" i="1"/>
  <c r="L311" i="1"/>
  <c r="AF310" i="1"/>
  <c r="L310" i="1"/>
  <c r="AF309" i="1"/>
  <c r="L309" i="1"/>
  <c r="AF308" i="1"/>
  <c r="L308" i="1"/>
  <c r="AF307" i="1"/>
  <c r="L307" i="1"/>
  <c r="AF306" i="1"/>
  <c r="K306" i="1"/>
  <c r="L306" i="1" s="1"/>
  <c r="AF305" i="1"/>
  <c r="AF304" i="1"/>
  <c r="AF303" i="1"/>
  <c r="AF302" i="1"/>
  <c r="K302" i="1"/>
  <c r="L302" i="1" s="1"/>
  <c r="AF301" i="1"/>
  <c r="K301" i="1"/>
  <c r="L301" i="1" s="1"/>
  <c r="AF300" i="1"/>
  <c r="AF299" i="1"/>
  <c r="AF298" i="1"/>
  <c r="K298" i="1"/>
  <c r="L298" i="1" s="1"/>
  <c r="AF297" i="1"/>
  <c r="AF296" i="1"/>
  <c r="AF295" i="1"/>
  <c r="K295" i="1"/>
  <c r="L295" i="1" s="1"/>
  <c r="AF294" i="1"/>
  <c r="K294" i="1"/>
  <c r="L294" i="1" s="1"/>
  <c r="AF293" i="1"/>
  <c r="K293" i="1"/>
  <c r="L293" i="1" s="1"/>
  <c r="AF292" i="1"/>
  <c r="AF291" i="1"/>
  <c r="K291" i="1"/>
  <c r="L291" i="1" s="1"/>
  <c r="AF290" i="1"/>
  <c r="AF289" i="1"/>
  <c r="AF288" i="1"/>
  <c r="AF287" i="1"/>
  <c r="AF286" i="1"/>
  <c r="K286" i="1"/>
  <c r="L286" i="1" s="1"/>
  <c r="AF285" i="1"/>
  <c r="AF284" i="1"/>
  <c r="K284" i="1"/>
  <c r="L284" i="1" s="1"/>
  <c r="AF283" i="1"/>
  <c r="K283" i="1"/>
  <c r="L283" i="1" s="1"/>
  <c r="AF282" i="1"/>
  <c r="K282" i="1"/>
  <c r="L282" i="1" s="1"/>
  <c r="AF281" i="1"/>
  <c r="K281" i="1"/>
  <c r="L281" i="1" s="1"/>
  <c r="AF280" i="1"/>
  <c r="K280" i="1"/>
  <c r="L280" i="1" s="1"/>
  <c r="AF279" i="1"/>
  <c r="K279" i="1"/>
  <c r="L279" i="1" s="1"/>
  <c r="AF278" i="1"/>
  <c r="L278" i="1"/>
  <c r="K278" i="1"/>
  <c r="AF277" i="1"/>
  <c r="K277" i="1"/>
  <c r="L277" i="1" s="1"/>
  <c r="AF276" i="1"/>
  <c r="K276" i="1"/>
  <c r="L276" i="1" s="1"/>
  <c r="AF275" i="1"/>
  <c r="K275" i="1"/>
  <c r="L275" i="1" s="1"/>
  <c r="AF274" i="1"/>
  <c r="K274" i="1"/>
  <c r="L274" i="1" s="1"/>
  <c r="AF273" i="1"/>
  <c r="L273" i="1"/>
  <c r="K273" i="1"/>
  <c r="AF272" i="1"/>
  <c r="K272" i="1"/>
  <c r="L272" i="1" s="1"/>
  <c r="AF271" i="1"/>
  <c r="K271" i="1"/>
  <c r="L271" i="1" s="1"/>
  <c r="AF270" i="1"/>
  <c r="K270" i="1"/>
  <c r="L270" i="1" s="1"/>
  <c r="AF269" i="1"/>
  <c r="K269" i="1"/>
  <c r="L269" i="1" s="1"/>
  <c r="AF268" i="1"/>
  <c r="K268" i="1"/>
  <c r="L268" i="1" s="1"/>
  <c r="AF267" i="1"/>
  <c r="K267" i="1"/>
  <c r="L267" i="1" s="1"/>
  <c r="AF266" i="1"/>
  <c r="K266" i="1"/>
  <c r="L266" i="1" s="1"/>
  <c r="AF265" i="1"/>
  <c r="K265" i="1"/>
  <c r="L265" i="1" s="1"/>
  <c r="AF264" i="1"/>
  <c r="K264" i="1"/>
  <c r="L264" i="1" s="1"/>
  <c r="AF263" i="1"/>
  <c r="K263" i="1"/>
  <c r="L263" i="1" s="1"/>
  <c r="AF262" i="1"/>
  <c r="K262" i="1"/>
  <c r="L262" i="1" s="1"/>
  <c r="AF261" i="1"/>
  <c r="K261" i="1"/>
  <c r="L261" i="1" s="1"/>
  <c r="AF260" i="1"/>
  <c r="K260" i="1"/>
  <c r="L260" i="1" s="1"/>
  <c r="AF259" i="1"/>
  <c r="K259" i="1"/>
  <c r="L259" i="1" s="1"/>
  <c r="AF258" i="1"/>
  <c r="K258" i="1"/>
  <c r="L258" i="1" s="1"/>
  <c r="AF257" i="1"/>
  <c r="K257" i="1"/>
  <c r="L257" i="1" s="1"/>
  <c r="AF256" i="1"/>
  <c r="K256" i="1"/>
  <c r="L256" i="1" s="1"/>
  <c r="AF255" i="1"/>
  <c r="K255" i="1"/>
  <c r="L255" i="1" s="1"/>
  <c r="AF254" i="1"/>
  <c r="K254" i="1"/>
  <c r="L254" i="1" s="1"/>
  <c r="AF253" i="1"/>
  <c r="L253" i="1"/>
  <c r="K253" i="1"/>
  <c r="AF252" i="1"/>
  <c r="K252" i="1"/>
  <c r="L252" i="1" s="1"/>
  <c r="AF251" i="1"/>
  <c r="AF250" i="1"/>
  <c r="AF249" i="1"/>
  <c r="AF248" i="1"/>
  <c r="AF247" i="1"/>
  <c r="AF246" i="1"/>
  <c r="AF245" i="1"/>
  <c r="AF244" i="1"/>
  <c r="L244" i="1"/>
  <c r="K244" i="1"/>
  <c r="AF243" i="1"/>
  <c r="K243" i="1"/>
  <c r="L243" i="1" s="1"/>
  <c r="AF242" i="1"/>
  <c r="K242" i="1"/>
  <c r="L242" i="1" s="1"/>
  <c r="AF241" i="1"/>
  <c r="K241" i="1"/>
  <c r="L241" i="1" s="1"/>
  <c r="AF240" i="1"/>
  <c r="AF239" i="1"/>
  <c r="AF238" i="1"/>
  <c r="K238" i="1"/>
  <c r="L238" i="1" s="1"/>
  <c r="AF237" i="1"/>
  <c r="L237" i="1"/>
  <c r="AF236" i="1"/>
  <c r="L236" i="1"/>
  <c r="AF235" i="1"/>
  <c r="L235" i="1"/>
  <c r="AF234" i="1"/>
  <c r="L234" i="1"/>
  <c r="AF233" i="1"/>
  <c r="L233" i="1"/>
  <c r="AF232" i="1"/>
  <c r="L232" i="1"/>
  <c r="K232" i="1"/>
  <c r="AF231" i="1"/>
  <c r="L231" i="1"/>
  <c r="AF230" i="1"/>
  <c r="L230" i="1"/>
  <c r="AF229" i="1"/>
  <c r="L229" i="1"/>
  <c r="AF228" i="1"/>
  <c r="K228" i="1"/>
  <c r="L228" i="1" s="1"/>
  <c r="AF227" i="1"/>
  <c r="L227" i="1"/>
  <c r="K227" i="1"/>
  <c r="AF226" i="1"/>
  <c r="AF225" i="1"/>
  <c r="AF224" i="1"/>
  <c r="K224" i="1"/>
  <c r="L224" i="1" s="1"/>
  <c r="AF223" i="1"/>
  <c r="K223" i="1"/>
  <c r="L223" i="1" s="1"/>
  <c r="AF222" i="1"/>
  <c r="K222" i="1"/>
  <c r="L222" i="1" s="1"/>
  <c r="AF221" i="1"/>
  <c r="K221" i="1"/>
  <c r="L221" i="1" s="1"/>
  <c r="AF220" i="1"/>
  <c r="K220" i="1"/>
  <c r="L220" i="1" s="1"/>
  <c r="AF219" i="1"/>
  <c r="K218" i="1"/>
  <c r="L218" i="1" s="1"/>
  <c r="AF217" i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AF208" i="1"/>
  <c r="K208" i="1"/>
  <c r="L208" i="1" s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K195" i="1"/>
  <c r="L195" i="1" s="1"/>
  <c r="AF194" i="1"/>
  <c r="AF193" i="1"/>
  <c r="K193" i="1"/>
  <c r="L193" i="1" s="1"/>
  <c r="AF192" i="1"/>
  <c r="K192" i="1"/>
  <c r="L192" i="1" s="1"/>
  <c r="AF191" i="1"/>
  <c r="AF190" i="1"/>
  <c r="AF189" i="1"/>
  <c r="K189" i="1"/>
  <c r="L189" i="1" s="1"/>
  <c r="AF188" i="1"/>
  <c r="AF187" i="1"/>
  <c r="K187" i="1"/>
  <c r="L187" i="1" s="1"/>
  <c r="AF186" i="1"/>
  <c r="K186" i="1"/>
  <c r="L186" i="1" s="1"/>
  <c r="AF185" i="1"/>
  <c r="K185" i="1"/>
  <c r="L185" i="1" s="1"/>
  <c r="AF184" i="1"/>
  <c r="K184" i="1"/>
  <c r="L184" i="1" s="1"/>
  <c r="AF183" i="1"/>
  <c r="K183" i="1"/>
  <c r="L183" i="1" s="1"/>
  <c r="AF182" i="1"/>
  <c r="AF181" i="1"/>
  <c r="AF180" i="1"/>
  <c r="AF179" i="1"/>
  <c r="AF178" i="1"/>
  <c r="AF177" i="1"/>
  <c r="AF176" i="1"/>
  <c r="AF175" i="1"/>
  <c r="K175" i="1"/>
  <c r="L175" i="1" s="1"/>
  <c r="AF174" i="1"/>
  <c r="AF173" i="1"/>
  <c r="AF172" i="1"/>
  <c r="K172" i="1"/>
  <c r="L172" i="1" s="1"/>
  <c r="AF171" i="1"/>
  <c r="K171" i="1"/>
  <c r="L171" i="1" s="1"/>
  <c r="AF170" i="1"/>
  <c r="L170" i="1"/>
  <c r="K170" i="1"/>
  <c r="AF169" i="1"/>
  <c r="K169" i="1"/>
  <c r="L169" i="1" s="1"/>
  <c r="AF168" i="1"/>
  <c r="K168" i="1"/>
  <c r="L168" i="1" s="1"/>
  <c r="AF167" i="1"/>
  <c r="K167" i="1"/>
  <c r="L167" i="1" s="1"/>
  <c r="AF166" i="1"/>
  <c r="K166" i="1"/>
  <c r="L166" i="1" s="1"/>
  <c r="AF165" i="1"/>
  <c r="K165" i="1"/>
  <c r="L165" i="1" s="1"/>
  <c r="AF164" i="1"/>
  <c r="K164" i="1"/>
  <c r="L164" i="1" s="1"/>
  <c r="AF163" i="1"/>
  <c r="K163" i="1"/>
  <c r="L163" i="1" s="1"/>
  <c r="AF162" i="1"/>
  <c r="K162" i="1"/>
  <c r="L162" i="1" s="1"/>
  <c r="AF161" i="1"/>
  <c r="K161" i="1"/>
  <c r="L161" i="1" s="1"/>
  <c r="AF160" i="1"/>
  <c r="AF159" i="1"/>
  <c r="AF158" i="1"/>
  <c r="K158" i="1"/>
  <c r="L158" i="1" s="1"/>
  <c r="AF157" i="1"/>
  <c r="K157" i="1"/>
  <c r="L157" i="1" s="1"/>
  <c r="AF156" i="1"/>
  <c r="K156" i="1"/>
  <c r="L156" i="1" s="1"/>
  <c r="AF155" i="1"/>
  <c r="K155" i="1"/>
  <c r="L155" i="1" s="1"/>
  <c r="AF154" i="1"/>
  <c r="L154" i="1"/>
  <c r="K154" i="1"/>
  <c r="AF153" i="1"/>
  <c r="K153" i="1"/>
  <c r="L153" i="1" s="1"/>
  <c r="AF152" i="1"/>
  <c r="K152" i="1"/>
  <c r="L152" i="1" s="1"/>
  <c r="AF151" i="1"/>
  <c r="AF150" i="1"/>
  <c r="AF149" i="1"/>
  <c r="AF148" i="1"/>
  <c r="AF147" i="1"/>
  <c r="AF146" i="1"/>
  <c r="K146" i="1"/>
  <c r="L146" i="1" s="1"/>
  <c r="AF145" i="1"/>
  <c r="AF144" i="1"/>
  <c r="K144" i="1"/>
  <c r="L144" i="1" s="1"/>
  <c r="AF143" i="1"/>
  <c r="AF142" i="1"/>
  <c r="AF141" i="1"/>
  <c r="AF140" i="1"/>
  <c r="AF139" i="1"/>
  <c r="AF138" i="1"/>
  <c r="K138" i="1"/>
  <c r="L138" i="1" s="1"/>
  <c r="AF137" i="1"/>
  <c r="AF136" i="1"/>
  <c r="L136" i="1"/>
  <c r="AF135" i="1"/>
  <c r="K135" i="1"/>
  <c r="L135" i="1" s="1"/>
  <c r="AF134" i="1"/>
  <c r="K134" i="1"/>
  <c r="L134" i="1" s="1"/>
  <c r="AF133" i="1"/>
  <c r="K133" i="1"/>
  <c r="L133" i="1" s="1"/>
  <c r="AF132" i="1"/>
  <c r="K132" i="1"/>
  <c r="L132" i="1" s="1"/>
  <c r="AF131" i="1"/>
  <c r="L131" i="1"/>
  <c r="K131" i="1"/>
  <c r="AF130" i="1"/>
  <c r="K130" i="1"/>
  <c r="L130" i="1" s="1"/>
  <c r="AF129" i="1"/>
  <c r="L129" i="1"/>
  <c r="AF128" i="1"/>
  <c r="L128" i="1"/>
  <c r="AF127" i="1"/>
  <c r="K127" i="1"/>
  <c r="L127" i="1" s="1"/>
  <c r="AF126" i="1"/>
  <c r="K126" i="1"/>
  <c r="L126" i="1" s="1"/>
  <c r="AF125" i="1"/>
  <c r="L125" i="1"/>
  <c r="K125" i="1"/>
  <c r="AF124" i="1"/>
  <c r="K124" i="1"/>
  <c r="L124" i="1" s="1"/>
  <c r="AF123" i="1"/>
  <c r="K123" i="1"/>
  <c r="L123" i="1" s="1"/>
  <c r="L122" i="1"/>
  <c r="AF121" i="1"/>
  <c r="L121" i="1"/>
  <c r="K120" i="1"/>
  <c r="L120" i="1" s="1"/>
  <c r="AF119" i="1"/>
  <c r="K119" i="1"/>
  <c r="L119" i="1" s="1"/>
  <c r="AF118" i="1"/>
  <c r="K118" i="1"/>
  <c r="L118" i="1" s="1"/>
  <c r="AF117" i="1"/>
  <c r="K117" i="1"/>
  <c r="L117" i="1" s="1"/>
  <c r="AF116" i="1"/>
  <c r="L116" i="1"/>
  <c r="L115" i="1"/>
  <c r="AF114" i="1"/>
  <c r="K114" i="1"/>
  <c r="L114" i="1" s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K93" i="1"/>
  <c r="L93" i="1" s="1"/>
  <c r="K92" i="1"/>
  <c r="L92" i="1" s="1"/>
  <c r="AF91" i="1"/>
  <c r="K91" i="1"/>
  <c r="L91" i="1" s="1"/>
  <c r="AF90" i="1"/>
  <c r="K90" i="1"/>
  <c r="L90" i="1" s="1"/>
  <c r="AF89" i="1"/>
  <c r="K89" i="1"/>
  <c r="L89" i="1" s="1"/>
  <c r="AF88" i="1"/>
  <c r="K88" i="1"/>
  <c r="L88" i="1" s="1"/>
  <c r="AF87" i="1"/>
  <c r="K87" i="1"/>
  <c r="L87" i="1" s="1"/>
  <c r="AF86" i="1"/>
  <c r="K86" i="1"/>
  <c r="L86" i="1" s="1"/>
  <c r="AF85" i="1"/>
  <c r="K85" i="1"/>
  <c r="L85" i="1" s="1"/>
  <c r="AF84" i="1"/>
  <c r="K84" i="1"/>
  <c r="L84" i="1" s="1"/>
  <c r="AF83" i="1"/>
  <c r="K83" i="1"/>
  <c r="L83" i="1" s="1"/>
  <c r="AF82" i="1"/>
  <c r="K82" i="1"/>
  <c r="L82" i="1" s="1"/>
  <c r="AF81" i="1"/>
  <c r="L81" i="1"/>
  <c r="K81" i="1"/>
  <c r="AF80" i="1"/>
  <c r="K80" i="1"/>
  <c r="L80" i="1" s="1"/>
  <c r="AF79" i="1"/>
  <c r="K79" i="1"/>
  <c r="L79" i="1" s="1"/>
  <c r="AF78" i="1"/>
  <c r="K78" i="1"/>
  <c r="L78" i="1" s="1"/>
  <c r="AF77" i="1"/>
  <c r="K77" i="1"/>
  <c r="L77" i="1" s="1"/>
  <c r="AF76" i="1"/>
  <c r="K76" i="1"/>
  <c r="L76" i="1" s="1"/>
  <c r="AF75" i="1"/>
  <c r="K75" i="1"/>
  <c r="L75" i="1" s="1"/>
  <c r="AF74" i="1"/>
  <c r="K74" i="1"/>
  <c r="L74" i="1" s="1"/>
  <c r="AF73" i="1"/>
  <c r="K73" i="1"/>
  <c r="L73" i="1" s="1"/>
  <c r="AF72" i="1"/>
  <c r="K72" i="1"/>
  <c r="L72" i="1" s="1"/>
  <c r="AF71" i="1"/>
  <c r="K71" i="1"/>
  <c r="L71" i="1" s="1"/>
  <c r="AF70" i="1"/>
  <c r="K70" i="1"/>
  <c r="L70" i="1" s="1"/>
  <c r="AF69" i="1"/>
  <c r="K69" i="1"/>
  <c r="L69" i="1" s="1"/>
  <c r="AF68" i="1"/>
  <c r="K68" i="1"/>
  <c r="L68" i="1" s="1"/>
  <c r="AF67" i="1"/>
  <c r="K67" i="1"/>
  <c r="L67" i="1" s="1"/>
  <c r="AF66" i="1"/>
  <c r="L66" i="1"/>
  <c r="K66" i="1"/>
  <c r="AF65" i="1"/>
  <c r="K65" i="1"/>
  <c r="L65" i="1" s="1"/>
  <c r="AF64" i="1"/>
  <c r="K64" i="1"/>
  <c r="L64" i="1" s="1"/>
  <c r="AF63" i="1"/>
  <c r="K63" i="1"/>
  <c r="L63" i="1" s="1"/>
  <c r="AF62" i="1"/>
  <c r="K62" i="1"/>
  <c r="L62" i="1" s="1"/>
  <c r="AF61" i="1"/>
  <c r="L61" i="1"/>
  <c r="K61" i="1"/>
  <c r="AF60" i="1"/>
  <c r="K60" i="1"/>
  <c r="L60" i="1" s="1"/>
  <c r="AF59" i="1"/>
  <c r="K59" i="1"/>
  <c r="L59" i="1" s="1"/>
  <c r="AF58" i="1"/>
  <c r="K58" i="1"/>
  <c r="L58" i="1" s="1"/>
  <c r="AF57" i="1"/>
  <c r="K57" i="1"/>
  <c r="L57" i="1" s="1"/>
  <c r="AF56" i="1"/>
  <c r="K56" i="1"/>
  <c r="L56" i="1" s="1"/>
  <c r="AF55" i="1"/>
  <c r="K55" i="1"/>
  <c r="L55" i="1" s="1"/>
  <c r="AF54" i="1"/>
  <c r="K54" i="1"/>
  <c r="L54" i="1" s="1"/>
  <c r="AF53" i="1"/>
  <c r="K53" i="1"/>
  <c r="L53" i="1" s="1"/>
  <c r="AF52" i="1"/>
  <c r="K52" i="1"/>
  <c r="L52" i="1" s="1"/>
  <c r="AF51" i="1"/>
  <c r="K51" i="1"/>
  <c r="L51" i="1" s="1"/>
  <c r="AF50" i="1"/>
  <c r="K50" i="1"/>
  <c r="L50" i="1" s="1"/>
  <c r="AF49" i="1"/>
  <c r="K49" i="1"/>
  <c r="L49" i="1" s="1"/>
  <c r="AF48" i="1"/>
  <c r="K48" i="1"/>
  <c r="L48" i="1" s="1"/>
  <c r="AF47" i="1"/>
  <c r="K47" i="1"/>
  <c r="L47" i="1" s="1"/>
  <c r="AF46" i="1"/>
  <c r="K46" i="1"/>
  <c r="L46" i="1" s="1"/>
  <c r="AF45" i="1"/>
  <c r="K45" i="1"/>
  <c r="L45" i="1" s="1"/>
  <c r="AF44" i="1"/>
  <c r="K44" i="1"/>
  <c r="L44" i="1" s="1"/>
  <c r="AF43" i="1"/>
  <c r="K43" i="1"/>
  <c r="L43" i="1" s="1"/>
  <c r="AF42" i="1"/>
  <c r="K42" i="1"/>
  <c r="L42" i="1" s="1"/>
  <c r="AF41" i="1"/>
  <c r="L41" i="1"/>
  <c r="K41" i="1"/>
  <c r="AF40" i="1"/>
  <c r="K40" i="1"/>
  <c r="L40" i="1" s="1"/>
  <c r="AF39" i="1"/>
  <c r="K39" i="1"/>
  <c r="L39" i="1" s="1"/>
  <c r="AF38" i="1"/>
  <c r="K38" i="1"/>
  <c r="L38" i="1" s="1"/>
  <c r="AF37" i="1"/>
  <c r="K37" i="1"/>
  <c r="L37" i="1" s="1"/>
  <c r="AF36" i="1"/>
  <c r="K36" i="1"/>
  <c r="L36" i="1" s="1"/>
  <c r="AF35" i="1"/>
  <c r="K35" i="1"/>
  <c r="L35" i="1" s="1"/>
  <c r="AF34" i="1"/>
  <c r="AF33" i="1"/>
  <c r="AF32" i="1"/>
  <c r="AF31" i="1"/>
  <c r="AF30" i="1"/>
  <c r="AF29" i="1"/>
  <c r="AF28" i="1"/>
  <c r="AF27" i="1"/>
  <c r="AF26" i="1"/>
  <c r="L26" i="1"/>
  <c r="K26" i="1"/>
  <c r="L25" i="1"/>
  <c r="AF24" i="1"/>
  <c r="K24" i="1"/>
  <c r="L24" i="1" s="1"/>
  <c r="AF23" i="1"/>
  <c r="K23" i="1"/>
  <c r="L23" i="1" s="1"/>
  <c r="AF22" i="1"/>
  <c r="AF21" i="1"/>
  <c r="AF20" i="1"/>
  <c r="AF19" i="1"/>
  <c r="AF18" i="1"/>
  <c r="K18" i="1"/>
  <c r="L18" i="1" s="1"/>
  <c r="K17" i="1"/>
  <c r="L17" i="1" s="1"/>
  <c r="AF16" i="1"/>
  <c r="K16" i="1"/>
  <c r="L16" i="1" s="1"/>
  <c r="AF15" i="1"/>
  <c r="K15" i="1"/>
  <c r="L15" i="1" s="1"/>
  <c r="AF14" i="1"/>
  <c r="AF13" i="1"/>
  <c r="AF12" i="1"/>
  <c r="L12" i="1"/>
  <c r="K12" i="1"/>
  <c r="AF11" i="1"/>
  <c r="L11" i="1"/>
  <c r="AF10" i="1"/>
  <c r="K10" i="1"/>
  <c r="L10" i="1" s="1"/>
  <c r="AF9" i="1"/>
  <c r="K9" i="1"/>
  <c r="L9" i="1" s="1"/>
  <c r="AF8" i="1"/>
  <c r="K8" i="1"/>
  <c r="L8" i="1" s="1"/>
  <c r="AF7" i="1"/>
  <c r="K7" i="1"/>
  <c r="L7" i="1" s="1"/>
  <c r="AF6" i="1"/>
  <c r="L6" i="1"/>
  <c r="AF5" i="1"/>
  <c r="K5" i="1"/>
  <c r="L5" i="1" s="1"/>
  <c r="AF4" i="1"/>
  <c r="L4" i="1"/>
  <c r="AF3" i="1"/>
  <c r="L3" i="1"/>
  <c r="AF542" i="1" l="1"/>
  <c r="X545" i="1"/>
  <c r="X5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umka</author>
  </authors>
  <commentList>
    <comment ref="E9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umka:</t>
        </r>
        <r>
          <rPr>
            <sz val="9"/>
            <color indexed="81"/>
            <rFont val="Tahoma"/>
            <family val="2"/>
            <charset val="204"/>
          </rPr>
          <t xml:space="preserve">
Задвоение по договору №</t>
        </r>
      </text>
    </comment>
    <comment ref="E10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umka:</t>
        </r>
        <r>
          <rPr>
            <sz val="9"/>
            <color indexed="81"/>
            <rFont val="Tahoma"/>
            <family val="2"/>
            <charset val="204"/>
          </rPr>
          <t xml:space="preserve">
Задвоение по договору №</t>
        </r>
      </text>
    </comment>
    <comment ref="E35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umka:</t>
        </r>
        <r>
          <rPr>
            <sz val="9"/>
            <color indexed="81"/>
            <rFont val="Tahoma"/>
            <family val="2"/>
            <charset val="204"/>
          </rPr>
          <t xml:space="preserve">
Замена кода работ</t>
        </r>
      </text>
    </comment>
  </commentList>
</comments>
</file>

<file path=xl/sharedStrings.xml><?xml version="1.0" encoding="utf-8"?>
<sst xmlns="http://schemas.openxmlformats.org/spreadsheetml/2006/main" count="4509" uniqueCount="1582">
  <si>
    <t>№ id</t>
  </si>
  <si>
    <t>ОМСУ</t>
  </si>
  <si>
    <t>Адрес Объекта</t>
  </si>
  <si>
    <t>шифр в проекте</t>
  </si>
  <si>
    <t>Код</t>
  </si>
  <si>
    <t>Вид выполняемых работ</t>
  </si>
  <si>
    <t>Объем по договору</t>
  </si>
  <si>
    <t>Объем по факту</t>
  </si>
  <si>
    <t>%</t>
  </si>
  <si>
    <t>прим.</t>
  </si>
  <si>
    <t>Гос. Экс.</t>
  </si>
  <si>
    <t>Конструктор</t>
  </si>
  <si>
    <t>Сегмент</t>
  </si>
  <si>
    <t>Сметчик</t>
  </si>
  <si>
    <t>СМР</t>
  </si>
  <si>
    <t>Акт отказ</t>
  </si>
  <si>
    <t>Акт</t>
  </si>
  <si>
    <t>ДВ</t>
  </si>
  <si>
    <t>В экспертизе</t>
  </si>
  <si>
    <t>Статус в э</t>
  </si>
  <si>
    <t>Принято АСУ, сумма ПСД</t>
  </si>
  <si>
    <t>Строительный объем здания</t>
  </si>
  <si>
    <t>Высота здания</t>
  </si>
  <si>
    <t>Высота для расценки</t>
  </si>
  <si>
    <t>Кол-во этажей</t>
  </si>
  <si>
    <t>Категория сложности</t>
  </si>
  <si>
    <t>Стоимость,
тыс руб</t>
  </si>
  <si>
    <t>Ст-ть с 0,4</t>
  </si>
  <si>
    <t>6</t>
  </si>
  <si>
    <t>13</t>
  </si>
  <si>
    <t>14</t>
  </si>
  <si>
    <t>18</t>
  </si>
  <si>
    <t>19</t>
  </si>
  <si>
    <t>20</t>
  </si>
  <si>
    <t>22</t>
  </si>
  <si>
    <t>Балашиха г.о</t>
  </si>
  <si>
    <t>г. Балашиха, д. Пуршево, ул. Новослободская, д. 23</t>
  </si>
  <si>
    <t>01-1492ПП-0818-1</t>
  </si>
  <si>
    <t xml:space="preserve"> 5.1</t>
  </si>
  <si>
    <t>Разработка ПСД на Ремонт фундаментов</t>
  </si>
  <si>
    <t>Замечания по разделу выданы и еще не сняты</t>
  </si>
  <si>
    <t>Замечания по разделу не выдавались</t>
  </si>
  <si>
    <t>+</t>
  </si>
  <si>
    <t>пз</t>
  </si>
  <si>
    <t>г. Балашиха, д.Пуршево, ул.Новослободская, д.15</t>
  </si>
  <si>
    <t>01-1492ПП-0818-2</t>
  </si>
  <si>
    <t xml:space="preserve"> 1.17</t>
  </si>
  <si>
    <t>Разработка ПСД на Замена балконных плит</t>
  </si>
  <si>
    <t>0</t>
  </si>
  <si>
    <t>г. Балашиха, мкр. 1 Мая, д. 5</t>
  </si>
  <si>
    <t>01-1492ПП-0818-3</t>
  </si>
  <si>
    <t>г. Балашиха, мкр. Дзержинского, д. 40</t>
  </si>
  <si>
    <t>01-1492ПП-0818-4</t>
  </si>
  <si>
    <t>В работе</t>
  </si>
  <si>
    <t>Замечания по разделу сняты. Результат: Положительный</t>
  </si>
  <si>
    <t>г. Балашиха, мкр. Заря, ул. Молодежная, д.17</t>
  </si>
  <si>
    <t>01-1492ПП-0818-5</t>
  </si>
  <si>
    <t>г. Балашиха, мкр. Заря, ул. Советская, д.12</t>
  </si>
  <si>
    <t>01-1492ПП-0818-7</t>
  </si>
  <si>
    <t>г. Балашиха, мкр. Заря, ул. Советская, д.14</t>
  </si>
  <si>
    <t>01-1492ПП-0818-9</t>
  </si>
  <si>
    <t>г. Балашиха, мкр. Керамик, ул. Заводская, д. 10</t>
  </si>
  <si>
    <t>01-1492ПП-0818-11</t>
  </si>
  <si>
    <t>г. Балашиха, мкр.1 Мая, д.3</t>
  </si>
  <si>
    <t>01-1492ПП-0818-12</t>
  </si>
  <si>
    <t>г. Балашиха, мкр.Купавна, ул.А. Нахимова, д.3</t>
  </si>
  <si>
    <t>01-1492ПП-0818-14</t>
  </si>
  <si>
    <t>г. Балашиха, мкр.Купавна, ул.Морская, д.1</t>
  </si>
  <si>
    <t>01-1492ПП-0818-15</t>
  </si>
  <si>
    <t>г. Балашиха, мкр.Купавна, ул.Морская, д.3</t>
  </si>
  <si>
    <t>01-1492ПП-0818-16</t>
  </si>
  <si>
    <t>г. Балашиха, ул. Быковского, д. 12</t>
  </si>
  <si>
    <t>01-1492ПП-0818-17</t>
  </si>
  <si>
    <t>г. Балашиха, ул. Орджоникидзе, д. 9</t>
  </si>
  <si>
    <t>01-1492ПП-0818-18</t>
  </si>
  <si>
    <t>нет ТЗК</t>
  </si>
  <si>
    <t>Воскресенский м.р.</t>
  </si>
  <si>
    <t>Воскресенский р-н, г. Воскресенск, ул. Менделеева, д.21</t>
  </si>
  <si>
    <t>01-1492ПП-0818-19</t>
  </si>
  <si>
    <t xml:space="preserve"> 5.2</t>
  </si>
  <si>
    <t>Разработка ПСД на Ремонт отмостки</t>
  </si>
  <si>
    <t>нов. Адрес</t>
  </si>
  <si>
    <t>г. Балашиха, ул.Орджоникидзе, д.8</t>
  </si>
  <si>
    <t>01-1492ПП-0818-20</t>
  </si>
  <si>
    <t>Власиха г.о</t>
  </si>
  <si>
    <t>г. Власиха, б-р. Цветной, д. 3</t>
  </si>
  <si>
    <t>01-1492ПП-0818-21</t>
  </si>
  <si>
    <t>Услуга оказана</t>
  </si>
  <si>
    <t>Пол.Закл.</t>
  </si>
  <si>
    <t>г. Власиха, б-р.Цветной, д.2</t>
  </si>
  <si>
    <t>01-1492ПП-0818-22</t>
  </si>
  <si>
    <t>Волоколамский м.р.</t>
  </si>
  <si>
    <t>Волоколамский р-н, г. Волоколамск, ш.Рижское, д.15</t>
  </si>
  <si>
    <t>01-1492ПП-0818-23</t>
  </si>
  <si>
    <t>Волоколамский р-н, д. Кашино, ул. Ленина, д. 48</t>
  </si>
  <si>
    <t>01-1492ПП-0818-24</t>
  </si>
  <si>
    <t>искл</t>
  </si>
  <si>
    <t>Воскресенский р-н, г. Воскресенск, ул. Некрасова, д.9</t>
  </si>
  <si>
    <t>01-1492ПП-0818-25</t>
  </si>
  <si>
    <t>отрем.</t>
  </si>
  <si>
    <t>Воскресенский р-н, г. Хорлово, ул. Садовая, д. 15</t>
  </si>
  <si>
    <t>01-1492ПП-0818-26</t>
  </si>
  <si>
    <t>Воскресенский р-н, г. Воскресенск, ул. Менделеева, д.20</t>
  </si>
  <si>
    <t>01-1492ПП-0818-27</t>
  </si>
  <si>
    <t>Восход г.о.</t>
  </si>
  <si>
    <t>п. Восход, д.4</t>
  </si>
  <si>
    <t>01-1492ПП-0818-28</t>
  </si>
  <si>
    <t>Дмитровский м.р.</t>
  </si>
  <si>
    <t>Дмитровский р-н, г. Дмитров, пер.Большевистский, д.15</t>
  </si>
  <si>
    <t>01-1492ПП-0818-29</t>
  </si>
  <si>
    <t xml:space="preserve">Дмитровский р-н, г. Дмитров, пер.Большевистский, д.17 </t>
  </si>
  <si>
    <t>01-1492ПП-0818-30</t>
  </si>
  <si>
    <t xml:space="preserve">Дмитровский р-н, г. Дмитров, пер.Большевистский, д.6 </t>
  </si>
  <si>
    <t>01-1492ПП-0818-31</t>
  </si>
  <si>
    <t xml:space="preserve">Дмитровский р-н, г. Дмитров, ул.2-я Центральная, д.12 </t>
  </si>
  <si>
    <t>01-1492ПП-0818-32</t>
  </si>
  <si>
    <t xml:space="preserve">Дмитровский р-н, г. Дмитров, ул.2-я Центральная, д.8 </t>
  </si>
  <si>
    <t>01-1492ПП-0818-33</t>
  </si>
  <si>
    <t xml:space="preserve">Дмитровский р-н, г. Некрасовский, ул.Маяковского, д.15 </t>
  </si>
  <si>
    <t>01-1492ПП-0818-34</t>
  </si>
  <si>
    <t xml:space="preserve">Дмитровский р-н, г. Яхрома, ул.Кирьянова, д.32 </t>
  </si>
  <si>
    <t>01-1492ПП-0818-35</t>
  </si>
  <si>
    <t>Дмитровский р-н, п. Автополигон, д.2</t>
  </si>
  <si>
    <t>01-1492ПП-0818-36</t>
  </si>
  <si>
    <t>Долгопрудный г.о.</t>
  </si>
  <si>
    <t>г. Долгопрудный, мкр. Павельцево, ул. 25 Съезда, д.12</t>
  </si>
  <si>
    <t>01-1492ПП-0818-37</t>
  </si>
  <si>
    <t>г. Долгопрудный, мкр. Хлебниково, ул. Станционная, д.4</t>
  </si>
  <si>
    <t>01-1492ПП-0818-39</t>
  </si>
  <si>
    <t>срочный</t>
  </si>
  <si>
    <t>г. Долгопрудный, мкр.Павельцево, ул.Нефтяников, д.3</t>
  </si>
  <si>
    <t>01-1492ПП-0818-41</t>
  </si>
  <si>
    <t>г. Долгопрудный, мкр.Павельцево, ул.Нефтяников, д.7</t>
  </si>
  <si>
    <t>01-1492ПП-0818-43</t>
  </si>
  <si>
    <t>5.1</t>
  </si>
  <si>
    <t>г. Долгопрудный, мкр.Павельцево, ул.Нефтяников, д.9</t>
  </si>
  <si>
    <t>01-1492ПП-0818-44</t>
  </si>
  <si>
    <t>г. Долгопрудный, мкр.Хлебниково, ул.Ленинградская, д.36А</t>
  </si>
  <si>
    <t>01-1492ПП-0818-45</t>
  </si>
  <si>
    <t>г. Долгопрудный, мкр.Хлебниково, ул.Станционная, д.3</t>
  </si>
  <si>
    <t>01-1492ПП-0818-47</t>
  </si>
  <si>
    <t>г. Долгопрудный, мкр.Хлебниково, ул.Станционная, д.5</t>
  </si>
  <si>
    <t>01-1492ПП-0818-49</t>
  </si>
  <si>
    <t>г. Долгопрудный, мкр.Хлебниково, ул.Станционная, д.6</t>
  </si>
  <si>
    <t>01-1492ПП-0818-51</t>
  </si>
  <si>
    <t>г. Долгопрудный, пер. Институтский, д. 8</t>
  </si>
  <si>
    <t>01-1492ПП-0818-54</t>
  </si>
  <si>
    <t>г. Долгопрудный, пр.Лихачевский, д.1</t>
  </si>
  <si>
    <t>01-1492ПП-0818-55</t>
  </si>
  <si>
    <t>г. Долгопрудный, пр.Лихачевский, д.7</t>
  </si>
  <si>
    <t>01-1492ПП-0818-57</t>
  </si>
  <si>
    <t>г. Долгопрудный, пр.Лихачевский, д.9</t>
  </si>
  <si>
    <t>01-1492ПП-0818-59</t>
  </si>
  <si>
    <t>г. Долгопрудный, ул. Восточная, д. 10</t>
  </si>
  <si>
    <t>01-1492ПП-0818-61</t>
  </si>
  <si>
    <t>г. Долгопрудный, ул. Восточная, д. 7</t>
  </si>
  <si>
    <t>01-1492ПП-0818-62</t>
  </si>
  <si>
    <t>г. Долгопрудный, ул. Восточная, д. 9</t>
  </si>
  <si>
    <t>01-1492ПП-0818-63</t>
  </si>
  <si>
    <t>г. Долгопрудный, ул. Восточная, д.8</t>
  </si>
  <si>
    <t>01-1492ПП-0818-64</t>
  </si>
  <si>
    <t>г. Долгопрудный, ул. Заводская, д. 10</t>
  </si>
  <si>
    <t>01-1492ПП-0818-66</t>
  </si>
  <si>
    <t>г. Долгопрудный, ул. Заводская, д. 12</t>
  </si>
  <si>
    <t>01-1492ПП-0818-67</t>
  </si>
  <si>
    <t>г. Долгопрудный, ул. Заводская, д. 6</t>
  </si>
  <si>
    <t>01-1492ПП-0818-68</t>
  </si>
  <si>
    <t>г. Долгопрудный, ул. Комсомольская, д.6</t>
  </si>
  <si>
    <t>01-1492ПП-0818-69</t>
  </si>
  <si>
    <t>г. Долгопрудный, ул. Октябрьская, д. 7</t>
  </si>
  <si>
    <t>01-1492ПП-0818-71</t>
  </si>
  <si>
    <t>г. Долгопрудный, ул. Павлова, д. 10</t>
  </si>
  <si>
    <t>01-1492ПП-0818-72</t>
  </si>
  <si>
    <t>г. Долгопрудный, ул. Якорная, д.8</t>
  </si>
  <si>
    <t>01-1492ПП-0818-73</t>
  </si>
  <si>
    <t>г. Долгопрудный, ул.Восточная, д.13</t>
  </si>
  <si>
    <t>01-1492ПП-0818-75</t>
  </si>
  <si>
    <t>01-1492ПП-0818-76</t>
  </si>
  <si>
    <t>г. Долгопрудный, ул.Восточная, д.14</t>
  </si>
  <si>
    <t>01-1492ПП-0818-77</t>
  </si>
  <si>
    <t>01-1492ПП-0818-78</t>
  </si>
  <si>
    <t>г. Долгопрудный, ул.Заводская, д.4</t>
  </si>
  <si>
    <t>01-1492ПП-0818-79</t>
  </si>
  <si>
    <t>г. Долгопрудный, ул.Заводская, д.6</t>
  </si>
  <si>
    <t>01-1492ПП-0818-81</t>
  </si>
  <si>
    <t>г. Долгопрудный, ул.Заводская, д.8</t>
  </si>
  <si>
    <t>01-1492ПП-0818-82</t>
  </si>
  <si>
    <t>г. Долгопрудный, ул.Менделеева, д.17</t>
  </si>
  <si>
    <t>01-1492ПП-0818-83</t>
  </si>
  <si>
    <t>г. Долгопрудный, ул.Менделеева, д.18</t>
  </si>
  <si>
    <t>01-1492ПП-0818-85</t>
  </si>
  <si>
    <t>г. Долгопрудный, ул.Менделеева, д.19</t>
  </si>
  <si>
    <t>01-1492ПП-0818-87</t>
  </si>
  <si>
    <t>01-1492ПП-0818-88</t>
  </si>
  <si>
    <t>г. Долгопрудный, ул.Менделеева, д.20</t>
  </si>
  <si>
    <t>01-1492ПП-0818-89</t>
  </si>
  <si>
    <t>г. Долгопрудный, ул.Менделеева, д.21</t>
  </si>
  <si>
    <t>01-1492ПП-0818-91</t>
  </si>
  <si>
    <t>г. Долгопрудный, ул.Менделеева, д.22</t>
  </si>
  <si>
    <t>01-1492ПП-0818-93</t>
  </si>
  <si>
    <t>г. Долгопрудный, ул.Октябрьская, д. 1/10</t>
  </si>
  <si>
    <t>01-1492ПП-0818-95</t>
  </si>
  <si>
    <t>г. Долгопрудный, ул.Октябрьская, д.1/10</t>
  </si>
  <si>
    <t>01-1492ПП-0818-96</t>
  </si>
  <si>
    <t>г. Долгопрудный, ул.Октябрьская, д.6</t>
  </si>
  <si>
    <t>01-1492ПП-0818-97</t>
  </si>
  <si>
    <t>01-1492ПП-0818-98</t>
  </si>
  <si>
    <t>Разработка ПСД на Ремонт отмостки (исключено)</t>
  </si>
  <si>
    <t>г. Долгопрудный, ул.Павлова, д.12</t>
  </si>
  <si>
    <t>01-1492ПП-0818-99</t>
  </si>
  <si>
    <t>г. Долгопрудный, ул.Первомайская, д.20</t>
  </si>
  <si>
    <t>01-1492ПП-0818-101</t>
  </si>
  <si>
    <t>г. Долгопрудный, ул.Первомайская, д.22</t>
  </si>
  <si>
    <t>01-1492ПП-0818-103</t>
  </si>
  <si>
    <t>01-1492ПП-0818-104</t>
  </si>
  <si>
    <t>г. Долгопрудный, ул.Первомайская, д.24</t>
  </si>
  <si>
    <t>01-1492ПП-0818-105</t>
  </si>
  <si>
    <t>01-1492ПП-0818-106</t>
  </si>
  <si>
    <t>г. Долгопрудный, ул.Первомайская, д.25</t>
  </si>
  <si>
    <t>01-1492ПП-0818-107</t>
  </si>
  <si>
    <t>г. Долгопрудный, ул.Первомайская, д.26</t>
  </si>
  <si>
    <t>01-1492ПП-0818-109</t>
  </si>
  <si>
    <t>г. Долгопрудный, ул.Первомайская, д.27</t>
  </si>
  <si>
    <t>01-1492ПП-0818-111</t>
  </si>
  <si>
    <t>г. Долгопрудный, ул.Первомайская, д.56</t>
  </si>
  <si>
    <t>01-1492ПП-0818-113</t>
  </si>
  <si>
    <t>г. Долгопрудный, ул.Северная, д.10</t>
  </si>
  <si>
    <t>01-1492ПП-0818-114</t>
  </si>
  <si>
    <t>г. Долгопрудный, ул.Северная, д.8</t>
  </si>
  <si>
    <t>01-1492ПП-0818-116</t>
  </si>
  <si>
    <t>г. Долгопрудный, ул.Советская, д.5</t>
  </si>
  <si>
    <t>01-1492ПП-0818-118</t>
  </si>
  <si>
    <t>г. Долгопрудный, ул.Якорная, д.4</t>
  </si>
  <si>
    <t>01-1492ПП-0818-120</t>
  </si>
  <si>
    <t>г. Долгопрудный, ш. Лихачевское, д.16</t>
  </si>
  <si>
    <t>01-1492ПП-0818-122</t>
  </si>
  <si>
    <t>г. Долгопрудный, ш.Московское, д.19</t>
  </si>
  <si>
    <t>01-1492ПП-0818-123</t>
  </si>
  <si>
    <t>01-1492ПП-0818-124</t>
  </si>
  <si>
    <t>г. Долгопрудный, ш.Московское, д.21</t>
  </si>
  <si>
    <t>01-1492ПП-0818-125</t>
  </si>
  <si>
    <t>Домодедово г.о.</t>
  </si>
  <si>
    <t>г. Домодедово, д. Шубино-2, д.52</t>
  </si>
  <si>
    <t>01-1492ПП-0818-127</t>
  </si>
  <si>
    <t>г. Домодедово, д. Шубино-2, д.54</t>
  </si>
  <si>
    <t>01-1492ПП-0818-128</t>
  </si>
  <si>
    <t>г. Домодедово, мкр. Белые Столбы, пр-кт.Госфильмофонда, д.ИТР</t>
  </si>
  <si>
    <t>01-1492ПП-0818-129</t>
  </si>
  <si>
    <t>г. Домодедово, мкр. Белые Столбы, ул. Гвардейская, д.1</t>
  </si>
  <si>
    <t>01-1492ПП-0818-130</t>
  </si>
  <si>
    <t>г. Домодедово, мкр. Белые Столбы, ул. Гвардейская, д.10</t>
  </si>
  <si>
    <t>01-1492ПП-0818-131</t>
  </si>
  <si>
    <t>г. Домодедово, мкр. Белые Столбы, ул. Гвардейская, д.100</t>
  </si>
  <si>
    <t>01-1492ПП-0818-132</t>
  </si>
  <si>
    <t>г. Домодедово, мкр. Белые Столбы, ул. Гвардейская, д.11</t>
  </si>
  <si>
    <t>01-1492ПП-0818-133</t>
  </si>
  <si>
    <t>г. Домодедово, мкр. Белые Столбы, ул. Гвардейская, д.12</t>
  </si>
  <si>
    <t>01-1492ПП-0818-134</t>
  </si>
  <si>
    <t>г. Домодедово, мкр. Белые Столбы, ул. Гвардейская, д.2</t>
  </si>
  <si>
    <t>01-1492ПП-0818-135</t>
  </si>
  <si>
    <t>г. Домодедово, мкр. Белые Столбы, ул. Гвардейская, д.3</t>
  </si>
  <si>
    <t>01-1492ПП-0818-136</t>
  </si>
  <si>
    <t>г. Домодедово, мкр. Белые Столбы, ул. Гвардейская, д.4</t>
  </si>
  <si>
    <t>01-1492ПП-0818-137</t>
  </si>
  <si>
    <t>г. Домодедово, мкр. Белые Столбы, ул. Гвардейская, д.5</t>
  </si>
  <si>
    <t>01-1492ПП-0818-138</t>
  </si>
  <si>
    <t>г. Домодедово, мкр. Белые Столбы, ул. Гвардейская, д.6</t>
  </si>
  <si>
    <t>01-1492ПП-0818-139</t>
  </si>
  <si>
    <t>г. Домодедово, мкр. Белые Столбы, ул. Гвардейская, д.65</t>
  </si>
  <si>
    <t>01-1492ПП-0818-140</t>
  </si>
  <si>
    <t>г. Домодедово, мкр. Белые Столбы, ул. Гвардейская, д.7</t>
  </si>
  <si>
    <t>01-1492ПП-0818-141</t>
  </si>
  <si>
    <t>г. Домодедово, мкр. Белые Столбы, ул. Гвардейская, д.8</t>
  </si>
  <si>
    <t>01-1492ПП-0818-142</t>
  </si>
  <si>
    <t>г. Домодедово, мкр. Белые Столбы, ул. Гвардейская, д.9</t>
  </si>
  <si>
    <t>01-1492ПП-0818-143</t>
  </si>
  <si>
    <t>г. Домодедово, мкр. Белые Столбы, ул. Гвардейская, д.97</t>
  </si>
  <si>
    <t>01-1492ПП-0818-144</t>
  </si>
  <si>
    <t>г. Домодедово, мкр. Белые Столбы, ул. Гвардейская, д.99</t>
  </si>
  <si>
    <t>01-1492ПП-0818-145</t>
  </si>
  <si>
    <t>г. Домодедово, мкр. Центральный, ул.Советская, д.3</t>
  </si>
  <si>
    <t>01-1492ПП-0818-146</t>
  </si>
  <si>
    <t>г. Домодедово, мкр.Западный, ул.Текстильщиков, д.7</t>
  </si>
  <si>
    <t>01-1492ПП-0818-147</t>
  </si>
  <si>
    <t>перенос 2022</t>
  </si>
  <si>
    <t>г. Домодедово, с Растуново, п.о.ЦВМиР "Зеленая Роща", д.2</t>
  </si>
  <si>
    <t>01-1492ПП-0818-148</t>
  </si>
  <si>
    <t>Егорьевск г.о.</t>
  </si>
  <si>
    <t>г. Егорьевск, д. Михали, ул. Гагарина, д. 2</t>
  </si>
  <si>
    <t>01-1492ПП-0818-150</t>
  </si>
  <si>
    <t>г. Егорьевск, д. Михали, ул. Гагарина, д. 3</t>
  </si>
  <si>
    <t>01-1492ПП-0818-151</t>
  </si>
  <si>
    <t>г. Егорьевск, д. Юрцово, ул. Новая, д.12</t>
  </si>
  <si>
    <t>01-1492ПП-0818-152</t>
  </si>
  <si>
    <t>г. Егорьевск, микрорайон 1-й, д.15</t>
  </si>
  <si>
    <t>01-1492ПП-0818-154</t>
  </si>
  <si>
    <t>г. Егорьевск, ул.А.Невского,д.23</t>
  </si>
  <si>
    <t>01-1492ПП-0818-155</t>
  </si>
  <si>
    <t>признан аварийным</t>
  </si>
  <si>
    <t>01-1492ПП-0818-156</t>
  </si>
  <si>
    <t>Жуковский г.о.</t>
  </si>
  <si>
    <t>г. Жуковский, ул. Туполева, д. 10</t>
  </si>
  <si>
    <t>01-1492ПП-0818-157</t>
  </si>
  <si>
    <t>г. Жуковский, ул.Маяковского, д.12</t>
  </si>
  <si>
    <t>01-1492ПП-0818-158</t>
  </si>
  <si>
    <t>аварийные балконы</t>
  </si>
  <si>
    <t>г. Жуковский, ул.Маяковского, д.14/3</t>
  </si>
  <si>
    <t>01-1492ПП-0818-159</t>
  </si>
  <si>
    <t>г. Жуковский, ул.Маяковского, д.19</t>
  </si>
  <si>
    <t>01-1492ПП-0818-160</t>
  </si>
  <si>
    <t>г. Жуковский, ул.Маяковского, д.8</t>
  </si>
  <si>
    <t>01-1492ПП-0818-161</t>
  </si>
  <si>
    <t>Звездный городок г.о.</t>
  </si>
  <si>
    <t>г. Звездный городок, д.17</t>
  </si>
  <si>
    <t>01-1492ПП-0818-162</t>
  </si>
  <si>
    <t xml:space="preserve">не обследован </t>
  </si>
  <si>
    <t>г. Звездный городок, д.5</t>
  </si>
  <si>
    <t>01-1492ПП-0818-164</t>
  </si>
  <si>
    <t>Звенигород г.о</t>
  </si>
  <si>
    <t>г. Звенигород, д/о Поречье, д. 7</t>
  </si>
  <si>
    <t>01-1492ПП-0818-165</t>
  </si>
  <si>
    <t>г. Звенигород, кв.Маяковского, д.5</t>
  </si>
  <si>
    <t>01-1492ПП-0818-167</t>
  </si>
  <si>
    <t>г. Звенигород, кв-л. Маяковского, д. 19</t>
  </si>
  <si>
    <t>01-1492ПП-0818-168</t>
  </si>
  <si>
    <t>г. Звенигород, п.санатория Звенигород, д. 3</t>
  </si>
  <si>
    <t>01-1492ПП-0818-170</t>
  </si>
  <si>
    <t>Ивантеевка г.о.</t>
  </si>
  <si>
    <t>г. Ивантеевка, пр-д. Детский, д. 5</t>
  </si>
  <si>
    <t>01-1492ПП-0818-171</t>
  </si>
  <si>
    <t>г. Ивантеевка, пр-д. Маяковского, д. 11</t>
  </si>
  <si>
    <t>01-1492ПП-0818-172</t>
  </si>
  <si>
    <t>г. Ивантеевка, ул.Адмирала Жильцова, д.4</t>
  </si>
  <si>
    <t>01-1492ПП-0818-173</t>
  </si>
  <si>
    <t>нет балконов, подвал затоплен</t>
  </si>
  <si>
    <t>Истра г.о</t>
  </si>
  <si>
    <t>Истринский р-н, г. Дедовск, ул. Ударная, д. 4</t>
  </si>
  <si>
    <t>01-1492ПП-0818-174</t>
  </si>
  <si>
    <t>Истринский р-н, г. Дедовск, ул. Ударная, д. 6</t>
  </si>
  <si>
    <t>01-1492ПП-0818-175</t>
  </si>
  <si>
    <t>Истринский р-н, г. Дедовск, ул.Гагарина, д.22</t>
  </si>
  <si>
    <t>01-1492ПП-0818-176</t>
  </si>
  <si>
    <t>Истринский р-н, г. Дедовск, ул.Гагарина, д.24</t>
  </si>
  <si>
    <t>01-1492ПП-0818-177</t>
  </si>
  <si>
    <t>рассм</t>
  </si>
  <si>
    <t>Истринский р-н, г. Истра, ул Босова, д. 1</t>
  </si>
  <si>
    <t>01-1492ПП-0818-178</t>
  </si>
  <si>
    <t>Истринский р-н, г. Истра, ул. Ленина, д. 84</t>
  </si>
  <si>
    <t>01-1492ПП-0818-179</t>
  </si>
  <si>
    <t>Истринский р-н, г. Истра, ул. Первомайская, д.6</t>
  </si>
  <si>
    <t>01-1492ПП-0818-180</t>
  </si>
  <si>
    <t>откааз УК</t>
  </si>
  <si>
    <t>Истринский р-н, г. Истра, ул. Советская, д.28</t>
  </si>
  <si>
    <t>01-1492ПП-0818-182</t>
  </si>
  <si>
    <t>Истринский р-н, д. Кострово, ул. Центральная, д. 12</t>
  </si>
  <si>
    <t>01-1492ПП-0818-184</t>
  </si>
  <si>
    <t>Истринский р-н, д. Павловское, д. 19</t>
  </si>
  <si>
    <t>01-1492ПП-0818-185</t>
  </si>
  <si>
    <t>не дефектов</t>
  </si>
  <si>
    <t>Истринский р-н, п. Глебовский, ул. Октябрьская, д. 60</t>
  </si>
  <si>
    <t>01-1492ПП-0818-186</t>
  </si>
  <si>
    <t>Истринский р-н, п. Глебовский, ул. Октябрьская, д. 61</t>
  </si>
  <si>
    <t>01-1492ПП-0818-187</t>
  </si>
  <si>
    <t>Истринский р-н, п. Глебовский, ул. Октябрьская, д. 62</t>
  </si>
  <si>
    <t>01-1492ПП-0818-188</t>
  </si>
  <si>
    <t>Регистрация заключения в ЕГРЗ</t>
  </si>
  <si>
    <t>Истринский р-н, п. Румянцево, ул. Школьная, д. 54</t>
  </si>
  <si>
    <t>01-1492ПП-0818-189</t>
  </si>
  <si>
    <t>Истринский р-н, п.Глебовский, ул.Советская, д.70</t>
  </si>
  <si>
    <t>01-1492ПП-0818-190</t>
  </si>
  <si>
    <t>Кашира г.о.</t>
  </si>
  <si>
    <t>г. Кашира, мкр. Ожерелье, ул. Пионерская, д. 12</t>
  </si>
  <si>
    <t>01-1492ПП-0818-192</t>
  </si>
  <si>
    <t>г. Кашира, ул. Пушкинская, д.42</t>
  </si>
  <si>
    <t>01-1492ПП-0818-193</t>
  </si>
  <si>
    <t>аварийный трещины по фасаду</t>
  </si>
  <si>
    <t>Каширский р-н, г.Ожерелье, ул.Советская, д.19 (г.Кашира, мкр.Ожерелье, ул.Советская, д.19)</t>
  </si>
  <si>
    <t>01-1492ПП-0818-195</t>
  </si>
  <si>
    <t>Каширский р-н, г.Ожерелье, ул.Советская, д.23 (г.Кашира, мкр.Ожерелье, ул.Советская, д.23)</t>
  </si>
  <si>
    <t>01-1492ПП-0818-196</t>
  </si>
  <si>
    <t>Каширский р-н, г.Ожерелье, ул.Советская, д.4 (г.Кашира, мкр.Ожерелье, ул.Советская, д.4)</t>
  </si>
  <si>
    <t>01-1492ПП-0818-197</t>
  </si>
  <si>
    <t>Каширский р-н, г.Ожерелье, ул.Центральная, д.2А (г.Кашира, мкр.Ожерелье, ул.Центральная, д.2А)</t>
  </si>
  <si>
    <t>01-1492ПП-0818-198</t>
  </si>
  <si>
    <t>Клин г.о.</t>
  </si>
  <si>
    <t>г. Высоковск, ул.Ленина, д.20</t>
  </si>
  <si>
    <t>01-1492ПП-0818-199</t>
  </si>
  <si>
    <t>г. Высоковск, ул.Первомайская, д.10</t>
  </si>
  <si>
    <t>01-1492ПП-0818-200</t>
  </si>
  <si>
    <t>г. Высоковск, ул.Первомайская, д.8</t>
  </si>
  <si>
    <t>01-1492ПП-0818-201</t>
  </si>
  <si>
    <t>г. Клин, пр-д.Бородинский, д.22</t>
  </si>
  <si>
    <t>01-1492ПП-0818-202</t>
  </si>
  <si>
    <t>проблемы в подписании акта</t>
  </si>
  <si>
    <t>г. Клин, ул.Литейная, д.50/10</t>
  </si>
  <si>
    <t>01-1492ПП-0818-203</t>
  </si>
  <si>
    <t>г. Клин, ул.Льва Толстого, д.7</t>
  </si>
  <si>
    <t>01-1492ПП-0818-204</t>
  </si>
  <si>
    <t>г. Клин, ул.Спортивная, д.17/2</t>
  </si>
  <si>
    <t>01-1492ПП-0818-205</t>
  </si>
  <si>
    <t>г. Клин, ул.Центральная, д.43</t>
  </si>
  <si>
    <t>01-1492ПП-0818-206</t>
  </si>
  <si>
    <t>Коломна г.о.</t>
  </si>
  <si>
    <t>г. Коломна, ул. Зеленая, д.31</t>
  </si>
  <si>
    <t>01-1492ПП-0818-207</t>
  </si>
  <si>
    <t>г. Коломна, ул. Лазарева, д. 10</t>
  </si>
  <si>
    <t>01-1492ПП-0818-209</t>
  </si>
  <si>
    <t>г. Коломна, ул. Набережная, д. 13</t>
  </si>
  <si>
    <t>01-1492ПП-0818-210</t>
  </si>
  <si>
    <t>г.Коломна, ул.Посадская, д.40</t>
  </si>
  <si>
    <t>01-1492ПП-0818-212</t>
  </si>
  <si>
    <t>п. Индустрия, ул.Центральная, д.11</t>
  </si>
  <si>
    <t>01-1492ПП-0818-214</t>
  </si>
  <si>
    <t>Королев г.о.</t>
  </si>
  <si>
    <t>г. Королев, ул. Карла Либкнехта, д. 1/9</t>
  </si>
  <si>
    <t>01-1492ПП-0818-216</t>
  </si>
  <si>
    <t>г. Королев, ул. Карла Либкнехта, д. 3</t>
  </si>
  <si>
    <t>01-1492ПП-0818-217</t>
  </si>
  <si>
    <t>г. Королев, ул. Коминтерна, д. 8/1</t>
  </si>
  <si>
    <t>01-1492ПП-0818-218</t>
  </si>
  <si>
    <t>г. Королев, ул.Калинина, д.13/8</t>
  </si>
  <si>
    <t>01-1492ПП-0818-221</t>
  </si>
  <si>
    <t>г. Королев, ул.Калинина, д.15</t>
  </si>
  <si>
    <t>01-1492ПП-0818-222</t>
  </si>
  <si>
    <t>г. Королев, ул.Карла Маркса, д.18</t>
  </si>
  <si>
    <t>01-1492ПП-0818-223</t>
  </si>
  <si>
    <t>г. Королев, ул.Карла Маркса, д.27/21</t>
  </si>
  <si>
    <t>01-1492ПП-0818-224</t>
  </si>
  <si>
    <t>Королёв г.о.</t>
  </si>
  <si>
    <t>г. Королев, проезд. Ударника, д.1</t>
  </si>
  <si>
    <t>01-1492ПП-0818-225</t>
  </si>
  <si>
    <t>г. Королев, проезд. Ударника, д.3</t>
  </si>
  <si>
    <t>01-1492ПП-0818-227</t>
  </si>
  <si>
    <t>г. Королев, проезд. Ударника, д.5</t>
  </si>
  <si>
    <t>01-1492ПП-0818-229</t>
  </si>
  <si>
    <t>г. Королев, проезд. Ударника, д.7</t>
  </si>
  <si>
    <t>01-1492ПП-0818-231</t>
  </si>
  <si>
    <t>Котельники г.о.</t>
  </si>
  <si>
    <t>г. Котельники, мкр.Опытное поле, д.6</t>
  </si>
  <si>
    <t>01-1492ПП-0818-233</t>
  </si>
  <si>
    <t>г. Котельники, ул. Новая, д.1</t>
  </si>
  <si>
    <t>01-1492ПП-0818-234</t>
  </si>
  <si>
    <t>Красноармейск г.о.</t>
  </si>
  <si>
    <t>г. Красноармейск, ул. Новая Жизнь, д. 11</t>
  </si>
  <si>
    <t>01-1492ПП-0818-235</t>
  </si>
  <si>
    <t>Красногорск г.о.</t>
  </si>
  <si>
    <t>г. Красногорск, ул. Железнодорожная, д. 1</t>
  </si>
  <si>
    <t>01-1492ПП-0818-238</t>
  </si>
  <si>
    <t>01-1492ПП-0818-239</t>
  </si>
  <si>
    <t>подшит железом</t>
  </si>
  <si>
    <t>г. Красногорск, ул. Жуковского, д. 6</t>
  </si>
  <si>
    <t>01-1492ПП-0818-240</t>
  </si>
  <si>
    <t>г. Красногорск, ул. Кирова, д. 4</t>
  </si>
  <si>
    <t>01-1492ПП-0818-241</t>
  </si>
  <si>
    <t>г. Красногорск, ул. Октябрьская, д. 1</t>
  </si>
  <si>
    <t>01-1492ПП-0818-242</t>
  </si>
  <si>
    <t>01-1492ПП-0818-243</t>
  </si>
  <si>
    <t>г. Красногорск, ул. Октябрьская, д. 2</t>
  </si>
  <si>
    <t>01-1492ПП-0818-244</t>
  </si>
  <si>
    <t>г. Красногорск, ул. Октябрьская, д. 3</t>
  </si>
  <si>
    <t>01-1492ПП-0818-245</t>
  </si>
  <si>
    <t>г. Красногорск, ул. Октябрьская, д. 5</t>
  </si>
  <si>
    <t>01-1492ПП-0818-246</t>
  </si>
  <si>
    <t>01-1492ПП-0818-247</t>
  </si>
  <si>
    <t>г. Красногорск, ул. Пионерская, д. 1</t>
  </si>
  <si>
    <t>01-1492ПП-0818-248</t>
  </si>
  <si>
    <t>01-1492ПП-0818-249</t>
  </si>
  <si>
    <t>г. Красногорск, ул. Пионерская, д. 2</t>
  </si>
  <si>
    <t>01-1492ПП-0818-250</t>
  </si>
  <si>
    <t>г. Красногорск, ул. Пионерская, д. 4</t>
  </si>
  <si>
    <t>01-1492ПП-0818-251</t>
  </si>
  <si>
    <t>г. Красногорск, ул. Пионерская, д. 7</t>
  </si>
  <si>
    <t>01-1492ПП-0818-252</t>
  </si>
  <si>
    <t>г. Красногорск, ул. Пионерская, д. 9</t>
  </si>
  <si>
    <t>01-1492ПП-0818-253</t>
  </si>
  <si>
    <t>г. Красногорск, ул. Речная, д. 4</t>
  </si>
  <si>
    <t>01-1492ПП-0818-254</t>
  </si>
  <si>
    <t>г. Красногорск, ул. Речная, д. 5</t>
  </si>
  <si>
    <t>01-1492ПП-0818-255</t>
  </si>
  <si>
    <t>г. Красногорск, ул. Чайковского, д. 10</t>
  </si>
  <si>
    <t>01-1492ПП-0818-256</t>
  </si>
  <si>
    <t>г. Красногорск, ул.Жуковского, д.6</t>
  </si>
  <si>
    <t>01-1492ПП-0818-258</t>
  </si>
  <si>
    <t>г. Красногорск, ул.Кирова, д.21</t>
  </si>
  <si>
    <t>01-1492ПП-0818-260</t>
  </si>
  <si>
    <t>01-1492ПП-0818-261</t>
  </si>
  <si>
    <t>г. Красногорск, ул.Кирова, д.4</t>
  </si>
  <si>
    <t>01-1492ПП-0818-262</t>
  </si>
  <si>
    <t>г. Красногорск, ул.Комсомольская, д.15</t>
  </si>
  <si>
    <t>01-1492ПП-0818-264</t>
  </si>
  <si>
    <t>г. Красногорск, ул.Октябрьская, д.2</t>
  </si>
  <si>
    <t>01-1492ПП-0818-267</t>
  </si>
  <si>
    <t>г. Красногорск, ул.Первомайская, д.5</t>
  </si>
  <si>
    <t>01-1492ПП-0818-270</t>
  </si>
  <si>
    <t>г. Красногорск, ул.Пионерская, д.15</t>
  </si>
  <si>
    <t>01-1492ПП-0818-272</t>
  </si>
  <si>
    <t>г. Красногорск, ул.Пионерская, д.2</t>
  </si>
  <si>
    <t>01-1492ПП-0818-273</t>
  </si>
  <si>
    <t>г. Красногорск, ул.Пионерская, д.4</t>
  </si>
  <si>
    <t>01-1492ПП-0818-274</t>
  </si>
  <si>
    <t>г. Красногорск, ул.Пионерская, д.7</t>
  </si>
  <si>
    <t>01-1492ПП-0818-275</t>
  </si>
  <si>
    <t>г. Красногорск, ул.Речная, д.4</t>
  </si>
  <si>
    <t>01-1492ПП-0818-276</t>
  </si>
  <si>
    <t>г. Красногорск, ул.Речная, д.5</t>
  </si>
  <si>
    <t>01-1492ПП-0818-277</t>
  </si>
  <si>
    <t>г. Красногорск, ул.Советская, д.2</t>
  </si>
  <si>
    <t>01-1492ПП-0818-278</t>
  </si>
  <si>
    <t>01-1492ПП-0818-279</t>
  </si>
  <si>
    <t>г. Красногорск, ул.Чайковского, д.10</t>
  </si>
  <si>
    <t>01-1492ПП-0818-280</t>
  </si>
  <si>
    <t>Ленинский м.р.</t>
  </si>
  <si>
    <t>Ленинский р-н, р.п. Горки Ленинские, п/о Петровское, д.131</t>
  </si>
  <si>
    <t>01-1492ПП-0818-282</t>
  </si>
  <si>
    <t>Ленинский р-н, р.п. Горки Ленинские, п/о Петровское, д.132</t>
  </si>
  <si>
    <t>01-1492ПП-0818-283</t>
  </si>
  <si>
    <t>Ленинский р-н, р.п. Горки Ленинские, п/о Петровское, д.133</t>
  </si>
  <si>
    <t>01-1492ПП-0818-284</t>
  </si>
  <si>
    <t>Ленинский р-н, р.п. Горки Ленинские, п/о Петровское, д.134</t>
  </si>
  <si>
    <t>01-1492ПП-0818-285</t>
  </si>
  <si>
    <t>Ленинский р-н, р.п. Горки Ленинские, п/о Петровское, д.54</t>
  </si>
  <si>
    <t>01-1492ПП-0818-286</t>
  </si>
  <si>
    <t>Лобня г.о.</t>
  </si>
  <si>
    <t>г. Лобня ул.Первая д.7</t>
  </si>
  <si>
    <t>01-1492ПП-0818-287</t>
  </si>
  <si>
    <t>г. Лобня, ул. 9-й Квартал, д. 5</t>
  </si>
  <si>
    <t>01-1492ПП-0818-288</t>
  </si>
  <si>
    <t>г. Лобня, ул. Дружбы, д. 8/12</t>
  </si>
  <si>
    <t>01-1492ПП-0818-289</t>
  </si>
  <si>
    <t>г. Лобня, ул. Мирная, д. 10</t>
  </si>
  <si>
    <t>01-1492ПП-0818-290</t>
  </si>
  <si>
    <t>г. Лобня, ул. Победы, д. 1А/2</t>
  </si>
  <si>
    <t>01-1492ПП-0818-291</t>
  </si>
  <si>
    <t>г. Лобня, ул. Победы, д. 1Б</t>
  </si>
  <si>
    <t>01-1492ПП-0818-292</t>
  </si>
  <si>
    <t>г. Лобня, ул. Победы, д. 1В</t>
  </si>
  <si>
    <t>01-1492ПП-0818-293</t>
  </si>
  <si>
    <t>г. Лобня, ул. Пушкина, д. 2</t>
  </si>
  <si>
    <t>01-1492ПП-0818-294</t>
  </si>
  <si>
    <t>г. Лобня, ул. Туголукова, д. 10</t>
  </si>
  <si>
    <t>01-1492ПП-0818-295</t>
  </si>
  <si>
    <t>г. Лобня, ул. Туголукова, д. 12</t>
  </si>
  <si>
    <t>01-1492ПП-0818-296</t>
  </si>
  <si>
    <t>г. Лобня, ул. Туголукова, д. 4</t>
  </si>
  <si>
    <t>01-1492ПП-0818-297</t>
  </si>
  <si>
    <t>г. Лобня, ул. Туголукова, д. 6</t>
  </si>
  <si>
    <t>01-1492ПП-0818-298</t>
  </si>
  <si>
    <t>г. Лобня, ул. Туголукова, д. 8</t>
  </si>
  <si>
    <t>01-1492ПП-0818-299</t>
  </si>
  <si>
    <t>г. Лобня, ул.Авиационная, д.16</t>
  </si>
  <si>
    <t>01-1492ПП-0818-300</t>
  </si>
  <si>
    <t>Лосино-Петровский г.о.</t>
  </si>
  <si>
    <t>г. Лосино-Петровский, ул.Октябрьская, д.8</t>
  </si>
  <si>
    <t>01-1492ПП-0818-301</t>
  </si>
  <si>
    <t xml:space="preserve"> 1.11</t>
  </si>
  <si>
    <t>Разработка ПСД на Ремонт (замена) балконных плит</t>
  </si>
  <si>
    <t>Лотошинский м.р.</t>
  </si>
  <si>
    <t>Лотошинский р-н, д. Савостино, ул. Школьная, д. 11</t>
  </si>
  <si>
    <t>01-1492ПП-0818-302</t>
  </si>
  <si>
    <t>Лотошинский р-н, д. Ушаково, д. 5</t>
  </si>
  <si>
    <t>01-1492ПП-0818-303</t>
  </si>
  <si>
    <t>Загрузить</t>
  </si>
  <si>
    <t>Луховицы г.о.</t>
  </si>
  <si>
    <t>Луховицкий р-н, г. Луховицы, ул. Лесная, д.31</t>
  </si>
  <si>
    <t>01-1492ПП-0818-305</t>
  </si>
  <si>
    <t>Луховицкий р-н, п. Фруктовая, ул. Лесная, д. 4</t>
  </si>
  <si>
    <t>01-1492ПП-0818-309</t>
  </si>
  <si>
    <t>Люберцы г.о.</t>
  </si>
  <si>
    <t>г. Красково, ул.Карла Маркса, д.117/16</t>
  </si>
  <si>
    <t>01-1492ПП-0818-312</t>
  </si>
  <si>
    <t>г. Красково, ул.КСЗ, д.16</t>
  </si>
  <si>
    <t>01-1492ПП-0818-313</t>
  </si>
  <si>
    <t>г. Люберцы, ул. 3-е Почтовое отделение, д. 13</t>
  </si>
  <si>
    <t>01-1492ПП-0818-314</t>
  </si>
  <si>
    <t>г. Люберцы, ул. 3-е Почтовое отделение, д. 15</t>
  </si>
  <si>
    <t>01-1492ПП-0818-315</t>
  </si>
  <si>
    <t>г. Люберцы, ул. 3-е Почтовое отделение, д. 17</t>
  </si>
  <si>
    <t>01-1492ПП-0818-316</t>
  </si>
  <si>
    <t>г. Томилино, мкр.Птицефабрика, д.4</t>
  </si>
  <si>
    <t>01-1492ПП-0818-317</t>
  </si>
  <si>
    <t>п, Красково, ул,К,Маркса, д,117/17</t>
  </si>
  <si>
    <t>01-1492ПП-0818-318</t>
  </si>
  <si>
    <t>п. Красково, ул.Железнодорожная, д.78</t>
  </si>
  <si>
    <t>01-1492ПП-0818-319</t>
  </si>
  <si>
    <t>п. Октябрьский, ул.Первомайская, д.16</t>
  </si>
  <si>
    <t>01-1492ПП-0818-320</t>
  </si>
  <si>
    <t>Можайский м.р.</t>
  </si>
  <si>
    <t>Можайский р-н, г. Можайск, п. Колычево, д. 7</t>
  </si>
  <si>
    <t>01-1492ПП-0818-321</t>
  </si>
  <si>
    <t>Можайский р-н, г. Можайск, ул. Ватутина, д.1</t>
  </si>
  <si>
    <t>01-1492ПП-0818-323</t>
  </si>
  <si>
    <t>Можайский р-н, г. Можайск, ул. Ватутина, д.3</t>
  </si>
  <si>
    <t>01-1492ПП-0818-324</t>
  </si>
  <si>
    <t>Можайский р-н, г. Можайск, ул. Школьная, д.11</t>
  </si>
  <si>
    <t>01-1492ПП-0818-325</t>
  </si>
  <si>
    <t>Можайский р-н, г. Можайск, ул. Школьная, д.7</t>
  </si>
  <si>
    <t>01-1492ПП-0818-326</t>
  </si>
  <si>
    <t>Можайский р-н, г. Можайск, ул. Юбилейная, д.1</t>
  </si>
  <si>
    <t>01-1492ПП-0818-327</t>
  </si>
  <si>
    <t>Можайский р-н, г. Можайск, ул. Юбилейная, д.2</t>
  </si>
  <si>
    <t>01-1492ПП-0818-328</t>
  </si>
  <si>
    <t>Можайский р-н, г. Можайск, ул. Юбилейная, д.3</t>
  </si>
  <si>
    <t>01-1492ПП-0818-329</t>
  </si>
  <si>
    <t>Можайский р-н, г. Можайск, ул. Юбилейная, д.4</t>
  </si>
  <si>
    <t>01-1492ПП-0818-330</t>
  </si>
  <si>
    <t>Можайский р-н, д. Троица, д.6</t>
  </si>
  <si>
    <t>01-1492ПП-0818-331</t>
  </si>
  <si>
    <t>Можайский р-н, п. ц.у свх. "Синичино", д. 5</t>
  </si>
  <si>
    <t>01-1492ПП-0818-333</t>
  </si>
  <si>
    <t>Можайский р-н, с. Борисово, ул. Мурзина, д.1</t>
  </si>
  <si>
    <t>01-1492ПП-0818-335</t>
  </si>
  <si>
    <t>Можайский р-н, с. Борисово, ул. Мурзина, д.16</t>
  </si>
  <si>
    <t>01-1492ПП-0818-337</t>
  </si>
  <si>
    <t>Можайский р-н, с. Борисово, ул. Мурзина, д.17</t>
  </si>
  <si>
    <t>01-1492ПП-0818-339</t>
  </si>
  <si>
    <t>Можайский р-н, с. Борисово, ул. Мурзина, д.2</t>
  </si>
  <si>
    <t>01-1492ПП-0818-341</t>
  </si>
  <si>
    <t>Можайский р-н, с. Борисово, ул. Мурзина, д.22</t>
  </si>
  <si>
    <t>01-1492ПП-0818-343</t>
  </si>
  <si>
    <t>Можайский р-н, с. Борисово, ул. Мурзина, д.29</t>
  </si>
  <si>
    <t>01-1492ПП-0818-345</t>
  </si>
  <si>
    <t>Можайский р-н, с. Борисово, ул. Мурзина, д.3</t>
  </si>
  <si>
    <t>01-1492ПП-0818-347</t>
  </si>
  <si>
    <t>Можайский р-н, с. Борисово, ул. Мурзина, д.34</t>
  </si>
  <si>
    <t>01-1492ПП-0818-349</t>
  </si>
  <si>
    <t>Можайский р-н, с. Борисово, ул. Мурзина, д.39</t>
  </si>
  <si>
    <t>01-1492ПП-0818-351</t>
  </si>
  <si>
    <t>Можайский р-н, с. Борисово, ул. Мурзина, д.5</t>
  </si>
  <si>
    <t>01-1492ПП-0818-353</t>
  </si>
  <si>
    <t>Мытищи г.о.</t>
  </si>
  <si>
    <t>г. Мытищи, п.Пирогово, ул.Труда, д.14</t>
  </si>
  <si>
    <t>01-1492ПП-0818-356</t>
  </si>
  <si>
    <t>г. Мытищи, п.Пироговский, ул.Тимирязева, д.12</t>
  </si>
  <si>
    <t>01-1492ПП-0818-357</t>
  </si>
  <si>
    <t>г. Мытищи, п.Пироговский, ул.Тимирязева, д.6</t>
  </si>
  <si>
    <t>01-1492ПП-0818-358</t>
  </si>
  <si>
    <t>Наро-Фоминский м.р.</t>
  </si>
  <si>
    <t>Наро-Фоминский р-н, г. Апрелевка, ул. Больничная, д.5</t>
  </si>
  <si>
    <t>01-1492ПП-0818-359</t>
  </si>
  <si>
    <t>Наро-Фоминский р-н, г. Апрелевка, ул. Больничная, д.6</t>
  </si>
  <si>
    <t>01-1492ПП-0818-361</t>
  </si>
  <si>
    <t>Наро-Фоминский р-н, г. Апрелевка, ул. Больничная, д.7</t>
  </si>
  <si>
    <t>01-1492ПП-0818-363</t>
  </si>
  <si>
    <t>Наро-Фоминский р-н, г. Апрелевка, ул. Больничная, д.8</t>
  </si>
  <si>
    <t>01-1492ПП-0818-365</t>
  </si>
  <si>
    <t>Наро-Фоминский р-н, г. Апрелевка, ул. Пойденко, д. 21</t>
  </si>
  <si>
    <t>01-1492ПП-0818-367</t>
  </si>
  <si>
    <t>Наро-Фоминский р-н, г. Апрелевка, ул. Пойденко, д. 4</t>
  </si>
  <si>
    <t>01-1492ПП-0818-368</t>
  </si>
  <si>
    <t>Наро-Фоминский р-н, г. Апрелевка, ул.Пойденко, д.21</t>
  </si>
  <si>
    <t>01-1492ПП-0818-370</t>
  </si>
  <si>
    <t>Наро-Фоминский р-н, г. Апрелевка, ул.Пойденко, д.4</t>
  </si>
  <si>
    <t>01-1492ПП-0818-372</t>
  </si>
  <si>
    <t>Наро-Фоминский р-н, с. п. Волченковское, д. Волченки, д. 3</t>
  </si>
  <si>
    <t>01-1492ПП-0818-373</t>
  </si>
  <si>
    <t>Ногинский м.р.</t>
  </si>
  <si>
    <t>Ногинский р-н, г. им Воровского, ул. Рабочая, д. 10</t>
  </si>
  <si>
    <t>01-1492ПП-0818-374</t>
  </si>
  <si>
    <t>Ногинский р-н, г. Ногинск, ул.3 Интернационала, д.34</t>
  </si>
  <si>
    <t>01-1492ПП-0818-375</t>
  </si>
  <si>
    <t>Ногинский р-н, г. Ногинск, ул.Радченко, д.15</t>
  </si>
  <si>
    <t>01-1492ПП-0818-376</t>
  </si>
  <si>
    <t>Ногинский р-н, г. Обухово, ул.Советская, д.10</t>
  </si>
  <si>
    <t>01-1492ПП-0818-377</t>
  </si>
  <si>
    <t>Ногинский р-н, д.Колонтаево, д.1</t>
  </si>
  <si>
    <t>01-1492ПП-0818-378</t>
  </si>
  <si>
    <t>Ногинский р-н, п, Зеленый, д,54</t>
  </si>
  <si>
    <t>01-1492ПП-0818-379</t>
  </si>
  <si>
    <t>Ногинский р-н, п,г,т, Ногинск-5, д,10</t>
  </si>
  <si>
    <t>01-1492ПП-0818-381</t>
  </si>
  <si>
    <t>Ногинский р-н, р,п, Обухово, ул,Ленина, д,81</t>
  </si>
  <si>
    <t>01-1492ПП-0818-382</t>
  </si>
  <si>
    <t>Ногинский р-н, с.Кудиново, ул.Центральная, д.4</t>
  </si>
  <si>
    <t>01-1492ПП-0818-384</t>
  </si>
  <si>
    <t>Ногинский р-он, с.п.Степановское, п.Фрязево, ул.Рабочая, д.2</t>
  </si>
  <si>
    <t>01-1492ПП-0818-385</t>
  </si>
  <si>
    <t>Одинцовский м.р.</t>
  </si>
  <si>
    <t>Одинцовский р-н, г. Кубинка, ш. Можайское, д. 60В</t>
  </si>
  <si>
    <t>01-1492ПП-0818-386</t>
  </si>
  <si>
    <t>01-1492ПП-0818-388</t>
  </si>
  <si>
    <t>Одинцовский р-н, г. Одинцово, ул. Верхне-Пролетарская, д. 33</t>
  </si>
  <si>
    <t>01-1492ПП-0818-389</t>
  </si>
  <si>
    <t>Одинцовский р-н, г. Одинцово, ул.Верхне-Пролетарская, д.27</t>
  </si>
  <si>
    <t>01-1492ПП-0818-390</t>
  </si>
  <si>
    <t>Одинцовский р-н, г. Одинцово, ул.Верхне-Пролетарская, д.33</t>
  </si>
  <si>
    <t>01-1492ПП-0818-391</t>
  </si>
  <si>
    <t>Одинцовский р-н, г. Одинцово, ш. Можайское, д. 15</t>
  </si>
  <si>
    <t>01-1492ПП-0818-393</t>
  </si>
  <si>
    <t>Одинцовский р-н, г. Одинцово, ш.Можайское, д.25</t>
  </si>
  <si>
    <t>01-1492ПП-0818-395</t>
  </si>
  <si>
    <t>Одинцовский р-н, г.п.Новоивановское, р.п.Новоивановское, ул.Калинина, д.2</t>
  </si>
  <si>
    <t>01-1492ПП-0818-396</t>
  </si>
  <si>
    <t>Одинцовский р-н, г.п.Новоивановское, р.п.Новоивановское, ул.Калинина, д.4</t>
  </si>
  <si>
    <t>01-1492ПП-0818-397</t>
  </si>
  <si>
    <t>Одинцовский р-н, г.п.Новоивановское, р.п.Новоивановское, ул.Калинина, д.6</t>
  </si>
  <si>
    <t>01-1492ПП-0818-398</t>
  </si>
  <si>
    <t>01-1492ПП-0818-399</t>
  </si>
  <si>
    <t>Одинцовский р-н, г.п.Новоивановское, р.п.Новоивановское, ул.Мичурина, д.1</t>
  </si>
  <si>
    <t>01-1492ПП-0818-400</t>
  </si>
  <si>
    <t>Одинцовский р-н, г.п.Новоивановское, р.п.Новоивановское, ул.Мичурина, д.11</t>
  </si>
  <si>
    <t>01-1492ПП-0818-401</t>
  </si>
  <si>
    <t>Одинцовский р-н, г.п.Новоивановское, р.п.Новоивановское, ул.Мичурина, д.13</t>
  </si>
  <si>
    <t>01-1492ПП-0818-402</t>
  </si>
  <si>
    <t>Одинцовский р-н, г.п.Новоивановское, р.п.Новоивановское, ул.Мичурина, д.3</t>
  </si>
  <si>
    <t>01-1492ПП-0818-403</t>
  </si>
  <si>
    <t>Одинцовский р-н, г.п.Новоивановское, р.п.Новоивановское, ул.Мичурина, д.5</t>
  </si>
  <si>
    <t>01-1492ПП-0818-404</t>
  </si>
  <si>
    <t>Одинцовский р-н, г.п.Новоивановское, р.п.Новоивановское, ул.Мичурина, д.7</t>
  </si>
  <si>
    <t>01-1492ПП-0818-405</t>
  </si>
  <si>
    <t>Одинцовский р-н, г.п.Новоивановское, р.п.Новоивановское, ул.Мичурина, д.9</t>
  </si>
  <si>
    <t>01-1492ПП-0818-406</t>
  </si>
  <si>
    <t>Одинцовский р-н, д. п. Лесной Городок, ул. Фасадная, д. 4</t>
  </si>
  <si>
    <t>01-1492ПП-0818-407</t>
  </si>
  <si>
    <t>Одинцовский р-н, д. п. Лесной Городок, ул. Фасадная, д. 8, корп. 7</t>
  </si>
  <si>
    <t>01-1492ПП-0818-408</t>
  </si>
  <si>
    <t>Одинцовский р-н, д.п.Лесной Городок, ул.Фасадная, д.4</t>
  </si>
  <si>
    <t>01-1492ПП-0818-409</t>
  </si>
  <si>
    <t>Одинцовский р-н, д.Подушкино, д.1/1</t>
  </si>
  <si>
    <t>01-1492ПП-0818-410</t>
  </si>
  <si>
    <t>Одинцовский р-н, с.п. Барвихинское, д/х Жуковка, д. 12</t>
  </si>
  <si>
    <t>01-1492ПП-0818-411</t>
  </si>
  <si>
    <t>Одинцовский р-н, с.п. Барвихинское, п. Барвиха, д. 10</t>
  </si>
  <si>
    <t>01-1492ПП-0818-412</t>
  </si>
  <si>
    <t>Одинцовский р-н, с.п. Барвихинское, п. Барвиха, д. 15</t>
  </si>
  <si>
    <t>01-1492ПП-0818-413</t>
  </si>
  <si>
    <t>Одинцовский р-н, с.п. Барвихинское, п. Барвиха, д. 28</t>
  </si>
  <si>
    <t>01-1492ПП-0818-414</t>
  </si>
  <si>
    <t>Одинцовский р-н, с.п. Барвихинское, п. Барвиха, д. 6</t>
  </si>
  <si>
    <t>01-1492ПП-0818-415</t>
  </si>
  <si>
    <t>Одинцовский р-н, с.п. Барвихинское, п. Барвиха, д. 8</t>
  </si>
  <si>
    <t>01-1492ПП-0818-416</t>
  </si>
  <si>
    <t>Одинцовский р-н, с.п. Барвихинское, п. Огарево, д. 6</t>
  </si>
  <si>
    <t>01-1492ПП-0818-417</t>
  </si>
  <si>
    <t>Одинцовский р-н, с.Юдино, д.79А</t>
  </si>
  <si>
    <t>01-1492ПП-0818-418</t>
  </si>
  <si>
    <t>Одинцовский р-н, с.Юдино, д.79В</t>
  </si>
  <si>
    <t>01-1492ПП-0818-419</t>
  </si>
  <si>
    <t>Орехово-Зуево г.о.</t>
  </si>
  <si>
    <t>г. Орехово-Зуево, пр-д.1-й Козлова, д.2</t>
  </si>
  <si>
    <t>01-1492ПП-0818-420</t>
  </si>
  <si>
    <t>г. Орехово-Зуево, пр-д.1-й Луговой, д.2</t>
  </si>
  <si>
    <t>01-1492ПП-0818-421</t>
  </si>
  <si>
    <t>г. Орехово-Зуево, пр-д.1-йДзержинского, д.4</t>
  </si>
  <si>
    <t>01-1492ПП-0818-422</t>
  </si>
  <si>
    <t>г. Орехово-Зуево, ул. Бугрова, д. 28</t>
  </si>
  <si>
    <t>01-1492ПП-0818-423</t>
  </si>
  <si>
    <t>г. Орехово-Зуево, ул.2-я Транспортная, д.22</t>
  </si>
  <si>
    <t>01-1492ПП-0818-425</t>
  </si>
  <si>
    <t>г. Орехово-Зуево, ул.2-я Транспортная, д.24</t>
  </si>
  <si>
    <t>01-1492ПП-0818-426</t>
  </si>
  <si>
    <t>г. Орехово-Зуево, ул.Гагарина, д.2</t>
  </si>
  <si>
    <t>01-1492ПП-0818-427</t>
  </si>
  <si>
    <t>г. Орехово-Зуево, ул.Гагарина, д.6</t>
  </si>
  <si>
    <t>01-1492ПП-0818-428</t>
  </si>
  <si>
    <t>Отказ в оказании услуги</t>
  </si>
  <si>
    <t xml:space="preserve"> рассм</t>
  </si>
  <si>
    <t>г. Орехово-Зуево, ул.Карла Либкнехта, д.13</t>
  </si>
  <si>
    <t>01-1492ПП-0818-429</t>
  </si>
  <si>
    <t>г. Орехово-Зуево, ул.Кирова, д.13Б</t>
  </si>
  <si>
    <t>01-1492ПП-0818-430</t>
  </si>
  <si>
    <t>г. Орехово-Зуево, ул.Красноармейская, д.1</t>
  </si>
  <si>
    <t>01-1492ПП-0818-431</t>
  </si>
  <si>
    <t>г. Орехово-Зуево, ул.Красноармейская, д.18</t>
  </si>
  <si>
    <t>01-1492ПП-0818-432</t>
  </si>
  <si>
    <t>г. Орехово-Зуево, ул.Красноармейская, д.7</t>
  </si>
  <si>
    <t>01-1492ПП-0818-433</t>
  </si>
  <si>
    <t>г. Орехово-Зуево, ул.Матросова, д.2</t>
  </si>
  <si>
    <t>01-1492ПП-0818-435</t>
  </si>
  <si>
    <t>г. Орехово-Зуево, ул.Пушкина, д.1</t>
  </si>
  <si>
    <t>01-1492ПП-0818-436</t>
  </si>
  <si>
    <t>г. Орехово-Зуево, ул.Пушкина, д.3</t>
  </si>
  <si>
    <t>01-1492ПП-0818-437</t>
  </si>
  <si>
    <t>Орехово-Зуевский м.р.</t>
  </si>
  <si>
    <t>Орехово-Зуевский р-н, г. Куровское, ул. Железнодорожный поселок, д. 54</t>
  </si>
  <si>
    <t>01-1492ПП-0818-438</t>
  </si>
  <si>
    <t>Орехово-Зуевский р-н, г. Куровское, ул.Совхозная, д.16</t>
  </si>
  <si>
    <t>01-1492ПП-0818-439</t>
  </si>
  <si>
    <t>Орехово-Зуевский р-н, г. Ликино-Дулево, пр-д. Димитровский, д. 1</t>
  </si>
  <si>
    <t>01-1492ПП-0818-440</t>
  </si>
  <si>
    <t>Орехово-Зуевский р-н, г. Ликино-Дулево, ул. Комсомольская, д. 8</t>
  </si>
  <si>
    <t>01-1492ПП-0818-441</t>
  </si>
  <si>
    <t>Орехово-Зуевский р-н, д. Абрамовка, д. 112</t>
  </si>
  <si>
    <t>01-1492ПП-0818-442</t>
  </si>
  <si>
    <t>Орехово-Зуевский р-н, д.Демихово, ул.Заводская, д.14 а</t>
  </si>
  <si>
    <t>01-1492ПП-0818-443</t>
  </si>
  <si>
    <t>Орехово-Зуевский р-н, д.Демихово, ул.Заводская, д.16А</t>
  </si>
  <si>
    <t>01-1492ПП-0818-444</t>
  </si>
  <si>
    <t>Орехово-Зуевский р-н, п. Авсюнино (Дороховское с/п), ул. Ленина, д.6</t>
  </si>
  <si>
    <t>01-1492ПП-0818-445</t>
  </si>
  <si>
    <t>Орехово-Зуевский р-н, п.Авсюнино, ул.Ленина, д.16</t>
  </si>
  <si>
    <t>01-1492ПП-0818-447</t>
  </si>
  <si>
    <t>Павловский Посад г.о.</t>
  </si>
  <si>
    <t>г. Павловский Посад, пер.2-й 1 Мая, д.11</t>
  </si>
  <si>
    <t>01-1492ПП-0818-450</t>
  </si>
  <si>
    <t>с.п.Рахмановское, с.Казанское, д.56</t>
  </si>
  <si>
    <t>01-1492ПП-0818-455</t>
  </si>
  <si>
    <t>с.п.Рахмановское, с.Казанское, д.58</t>
  </si>
  <si>
    <t>01-1492ПП-0818-457</t>
  </si>
  <si>
    <t>с.п.Рахмановское, с.Казанское, д.62</t>
  </si>
  <si>
    <t>01-1492ПП-0818-459</t>
  </si>
  <si>
    <t>с.п.Рахмановское, с.Рахманово, д.144</t>
  </si>
  <si>
    <t>01-1492ПП-0818-461</t>
  </si>
  <si>
    <t>г. Павловский Посад, пер. Герцена, д. 17/4</t>
  </si>
  <si>
    <t>01-1492ПП-0818-463</t>
  </si>
  <si>
    <t>г. Павловский Посад, пер.Игнатьевский, д.1а</t>
  </si>
  <si>
    <t>01-1492ПП-0818-464</t>
  </si>
  <si>
    <t>г. Павловский Посад, пер.Интернациональный, д.22</t>
  </si>
  <si>
    <t>01-1492ПП-0818-465</t>
  </si>
  <si>
    <t>г. Павловский Посад, проезд. Большой железнодорожный, д.4</t>
  </si>
  <si>
    <t>01-1492ПП-0818-466</t>
  </si>
  <si>
    <t>г. Павловский Посад, проезд. Большой железнодорожный, д.4А</t>
  </si>
  <si>
    <t>01-1492ПП-0818-468</t>
  </si>
  <si>
    <t>г. Павловский Посад, ул.Кирова, д.91/20</t>
  </si>
  <si>
    <t>01-1492ПП-0818-471</t>
  </si>
  <si>
    <t>Павловский Посад, ул.Карповская, д.12</t>
  </si>
  <si>
    <t>01-1492ПП-0818-473</t>
  </si>
  <si>
    <t>г. Павловский Посад, ул. Тихонова, д.84</t>
  </si>
  <si>
    <t>01-1492ПП-0818-474</t>
  </si>
  <si>
    <t>1.17</t>
  </si>
  <si>
    <t>Павловский Посад, ул.Павловская, д.32</t>
  </si>
  <si>
    <t>01-1492ПП-0818-475</t>
  </si>
  <si>
    <t>01-1492ПП-0818-476</t>
  </si>
  <si>
    <t>Подольск г.о.</t>
  </si>
  <si>
    <t>г. Подольск, мкр. Климовск,  ул. Заводская, д.11/2</t>
  </si>
  <si>
    <t>01-1492ПП-0818-477</t>
  </si>
  <si>
    <t>г. Подольск, мкр. Климовск,  ул. Заводская, д.15/1</t>
  </si>
  <si>
    <t>01-1492ПП-0818-478</t>
  </si>
  <si>
    <t>г. Подольск, мкр. Климовск,  ул.Д.Холодова, д.10/6</t>
  </si>
  <si>
    <t>01-1492ПП-0818-479</t>
  </si>
  <si>
    <t>г. Подольск, мкр. Климовск,  ул.Д.Холодова, д.12</t>
  </si>
  <si>
    <t>01-1492ПП-0818-480</t>
  </si>
  <si>
    <t>г. Подольск, мкр. Климовск,  ул.Д.Холодова, д.14/7</t>
  </si>
  <si>
    <t>01-1492ПП-0818-481</t>
  </si>
  <si>
    <t>г. Подольск, пр-кт. Юных Ленинцев, д.78</t>
  </si>
  <si>
    <t>01-1492ПП-0818-482</t>
  </si>
  <si>
    <t>г. Подольск, ул.Карла Маркса, д.2/23</t>
  </si>
  <si>
    <t>01-1492ПП-0818-484</t>
  </si>
  <si>
    <t>г.Климовск, пр-кт.50-летия Октября, д.3 (г. Подольск, г. Климовск, пр-т. 50-летия Октября, д. 3)</t>
  </si>
  <si>
    <t>01-1492ПП-0818-485</t>
  </si>
  <si>
    <t>г.Климовск, ул.Дмитрия Холодова, д.8/5 (г. Подольск, г. Климовск, ул. Дмитрия Холодова, д. 8/5)</t>
  </si>
  <si>
    <t>01-1492ПП-0818-486</t>
  </si>
  <si>
    <t>г.Климовск, ул.Заводская, д.1 (г. Подольск, г. Климовск, ул. Заводская, д. 1)</t>
  </si>
  <si>
    <t>01-1492ПП-0818-487</t>
  </si>
  <si>
    <t>г.Климовск, ул.Заводская, д.9/1 ( г. Подольск, г. Климовск, ул. Заводская, д. 9/1)</t>
  </si>
  <si>
    <t>01-1492ПП-0818-488</t>
  </si>
  <si>
    <t>г.Климовск, ул.Ленина, д.16 (г. Подольск, г. Климовск, ул. Ленина, д. 16)</t>
  </si>
  <si>
    <t>01-1492ПП-0818-489</t>
  </si>
  <si>
    <t>Подольский р-н, с.п.Лаговское, д.Романцево, д.1 (г. Подольск, п. радиоцентра "Романцево", д. 1)</t>
  </si>
  <si>
    <t>01-1492ПП-0818-491</t>
  </si>
  <si>
    <t>Подольский р-н, с.п.Лаговское, д.Романцево, д.2 (г. Подольск, п. радиоцентра "Романцево", д. 2)</t>
  </si>
  <si>
    <t>01-1492ПП-0818-493</t>
  </si>
  <si>
    <t>Пушкинский м.р.</t>
  </si>
  <si>
    <t xml:space="preserve">Пушкинский р-н, г. Пушкино, мкр. Заветы Ильича, ул. Железнодорожная, д. 15 </t>
  </si>
  <si>
    <t>01-1492ПП-0818-495</t>
  </si>
  <si>
    <t>Пушкинский р-н, г. Пушкино, мкр. Заветы Ильича, ул. Железнодорожная, д. 15А</t>
  </si>
  <si>
    <t>01-1492ПП-0818-496</t>
  </si>
  <si>
    <t>Пушкинский р-н, г. Пушкино, мкр. Заветы Ильича, ул. Железнодорожная, д. 17</t>
  </si>
  <si>
    <t>01-1492ПП-0818-497</t>
  </si>
  <si>
    <t xml:space="preserve">Пушкинский р-н, г. Пушкино, мкр. Заветы Ильича, ул. Железнодорожная, д. 19 </t>
  </si>
  <si>
    <t>01-1492ПП-0818-498</t>
  </si>
  <si>
    <t>Пушкинский р-н, г. Пушкино, мкр. Заветы Ильича, ул. Железнодорожная, д. 19А</t>
  </si>
  <si>
    <t>01-1492ПП-0818-499</t>
  </si>
  <si>
    <t xml:space="preserve">Пушкинский р-н, г. Пушкино, мкр. Заветы Ильича, ул. Железнодорожная, д. 21 </t>
  </si>
  <si>
    <t>01-1492ПП-0818-500</t>
  </si>
  <si>
    <t xml:space="preserve">Пушкинский р-н, г. Пушкино, мкр. Заветы Ильича, ул. Железнодорожная, д. 3 </t>
  </si>
  <si>
    <t>01-1492ПП-0818-501</t>
  </si>
  <si>
    <t xml:space="preserve">Пушкинский р-н, г. Пушкино, мкр. Заветы Ильича, ул. Железнодорожная, д. 5 </t>
  </si>
  <si>
    <t>01-1492ПП-0818-502</t>
  </si>
  <si>
    <t xml:space="preserve">Пушкинский р-н, г. Пушкино, мкр. Заветы Ильича, ул. Железнодорожная, д. 6 </t>
  </si>
  <si>
    <t>01-1492ПП-0818-503</t>
  </si>
  <si>
    <t xml:space="preserve">Пушкинский р-н, г. Пушкино, мкр. Заветы Ильича, ул. Маяковского, д. 6 </t>
  </si>
  <si>
    <t>01-1492ПП-0818-504</t>
  </si>
  <si>
    <t xml:space="preserve">Пушкинский р-н, г. Пушкино, мкр. Заветы Ильича, ул. Строительная, д. 4 </t>
  </si>
  <si>
    <t>01-1492ПП-0818-505</t>
  </si>
  <si>
    <t xml:space="preserve">Пушкинский р-н, г. Пушкино, мкр. Заветы Ильича, ул. Строительная, д. 6 </t>
  </si>
  <si>
    <t>01-1492ПП-0818-506</t>
  </si>
  <si>
    <t xml:space="preserve">Пушкинский р-н, г. Пушкино, мкр.Заветы Ильича, ул.Маяковского, д.6 </t>
  </si>
  <si>
    <t>01-1492ПП-0818-507</t>
  </si>
  <si>
    <t>Пушкинский р-н, г. Пушкино, пр-т. 2-й Некрасовский, д. 5А</t>
  </si>
  <si>
    <t>01-1492ПП-0818-508</t>
  </si>
  <si>
    <t>Пушкинский р-н, д. Мураново, д. 8</t>
  </si>
  <si>
    <t>01-1492ПП-0818-509</t>
  </si>
  <si>
    <t>Пушкинский р-н, д. Мураново, д. 8А</t>
  </si>
  <si>
    <t>01-1492ПП-0818-510</t>
  </si>
  <si>
    <t>Пушкинский р-н, п. Лесной, ул. Пушкина, д. 6</t>
  </si>
  <si>
    <t>01-1492ПП-0818-511</t>
  </si>
  <si>
    <t>Пушкинский р-н, п. Лесной, ул. Советская, д. 3</t>
  </si>
  <si>
    <t>01-1492ПП-0818-512</t>
  </si>
  <si>
    <t>Пушкинский р-н, п. Софрино, ул.Сетевая, д.4</t>
  </si>
  <si>
    <t>01-1492ПП-0818-513</t>
  </si>
  <si>
    <t>Пушкинский р-н, рп. Правдинский, ул. 2-я Проектная, д.12</t>
  </si>
  <si>
    <t>01-1492ПП-0818-514</t>
  </si>
  <si>
    <t>Пушкинский р-н, рп. Правдинский, ул. 2-я Проектная, д.14</t>
  </si>
  <si>
    <t>01-1492ПП-0818-516</t>
  </si>
  <si>
    <t>Раменский м.р.</t>
  </si>
  <si>
    <t>Раменский р-н, г. п.Родники, п.Родники, ул.Учительская Б., д.5</t>
  </si>
  <si>
    <t>01-1492ПП-0818-518</t>
  </si>
  <si>
    <t>Раменский р-н, г. п.Родники, п.Родники, ул.Учительская Б., д.6</t>
  </si>
  <si>
    <t>01-1492ПП-0818-520</t>
  </si>
  <si>
    <t xml:space="preserve">Раменский р-н, г. Раменское, п. Красный Октябрь, д. 39 </t>
  </si>
  <si>
    <t>01-1492ПП-0818-522</t>
  </si>
  <si>
    <t xml:space="preserve">Раменский р-н, г. Раменское, п. Красный Октябрь, д. 40 </t>
  </si>
  <si>
    <t>01-1492ПП-0818-523</t>
  </si>
  <si>
    <t>Раменский р-н, г. Раменское, ул. Воровского, д.12</t>
  </si>
  <si>
    <t>01-1492ПП-0818-524</t>
  </si>
  <si>
    <t>Раменский р-н, г.п.Ильинский, п.Ильинский, ул.Московская, д.2</t>
  </si>
  <si>
    <t>01-1492ПП-0818-525</t>
  </si>
  <si>
    <t>Раменский р-н, г.п.Ильинский, п.Ильинский, ул.Московская, д.3</t>
  </si>
  <si>
    <t>01-1492ПП-0818-527</t>
  </si>
  <si>
    <t>Раменский р-н, д. Нижнее Мячково, д. 3</t>
  </si>
  <si>
    <t>01-1492ПП-0818-529</t>
  </si>
  <si>
    <t>Раменский р-н, д. Островцы, ул. Подмосковная, д. 20</t>
  </si>
  <si>
    <t>01-1492ПП-0818-530</t>
  </si>
  <si>
    <t>Раменский р-н, д. Софьино, д. 19, корп. 1</t>
  </si>
  <si>
    <t>01-1492ПП-0818-531</t>
  </si>
  <si>
    <t>Раменский р-н, п. Быково, пер. Прудовый, д. 1</t>
  </si>
  <si>
    <t>01-1492ПП-0818-532</t>
  </si>
  <si>
    <t>Раменский р-н, п. им.Тельмана, д. 22</t>
  </si>
  <si>
    <t>01-1492ПП-0818-533</t>
  </si>
  <si>
    <t>Раменский р-н, п. им.Тельмана, д. 3</t>
  </si>
  <si>
    <t>01-1492ПП-0818-534</t>
  </si>
  <si>
    <t>Раменский р-н, п. РАОС, д. 6</t>
  </si>
  <si>
    <t>01-1492ПП-0818-535</t>
  </si>
  <si>
    <t>Раменский р-н, п. Спартак, д. 9</t>
  </si>
  <si>
    <t>01-1492ПП-0818-536</t>
  </si>
  <si>
    <t>Раменский р-н, п. Электроизолятор, д. 16</t>
  </si>
  <si>
    <t>01-1492ПП-0818-537</t>
  </si>
  <si>
    <t>Раменский р-н, п. Электроизолятор, д. 5</t>
  </si>
  <si>
    <t>01-1492ПП-0818-538</t>
  </si>
  <si>
    <t>Раменский р-н, с.п.Гжельское, п.Комбината стройматериалов-1, д.4</t>
  </si>
  <si>
    <t>01-1492ПП-0818-539</t>
  </si>
  <si>
    <t>Рошаль г.о.</t>
  </si>
  <si>
    <t>г. Рошаль, ул. 3-го Интернационала, д. 2</t>
  </si>
  <si>
    <t>01-1492ПП-0818-541</t>
  </si>
  <si>
    <t>г. Рошаль, ул. 3-го Интернационала, д. 22</t>
  </si>
  <si>
    <t>01-1492ПП-0818-542</t>
  </si>
  <si>
    <t>г. Рошаль, ул. 3-го Интернационала, д. 4</t>
  </si>
  <si>
    <t>01-1492ПП-0818-543</t>
  </si>
  <si>
    <t>г. Рошаль, ул. Мира, д. 5</t>
  </si>
  <si>
    <t>01-1492ПП-0818-544</t>
  </si>
  <si>
    <t>г. Рошаль, ул. Спортивная, д.11</t>
  </si>
  <si>
    <t>01-1492ПП-0818-545</t>
  </si>
  <si>
    <t>Рузский г.о.</t>
  </si>
  <si>
    <t>г. Руза, тер. Микрорайон, д.11</t>
  </si>
  <si>
    <t>01-1492ПП-0818-547</t>
  </si>
  <si>
    <t>г. Руза, ул. Ульяновская, д.6/14</t>
  </si>
  <si>
    <t>01-1492ПП-0818-549</t>
  </si>
  <si>
    <t>д. Нестерово, д. 43</t>
  </si>
  <si>
    <t>01-1492ПП-0818-551</t>
  </si>
  <si>
    <t>д. Сытьково, д. 15</t>
  </si>
  <si>
    <t>01-1492ПП-0818-552</t>
  </si>
  <si>
    <t>д. Сытьково, д.7</t>
  </si>
  <si>
    <t>01-1492ПП-0818-553</t>
  </si>
  <si>
    <t>п. Беляная Гора, д. 11</t>
  </si>
  <si>
    <t>01-1492ПП-0818-557</t>
  </si>
  <si>
    <t>п. Кожино, д. 16</t>
  </si>
  <si>
    <t>01-1492ПП-0818-558</t>
  </si>
  <si>
    <t>с. Покровское, ул. ДОХБ, д.19</t>
  </si>
  <si>
    <t>01-1492ПП-0818-560</t>
  </si>
  <si>
    <t>Сергиево-Посадский м.р.</t>
  </si>
  <si>
    <t>Сергиево-Посадский р-н, г. Сергиев Посад, ул. Валовая, д.27</t>
  </si>
  <si>
    <t>01-1492ПП-0818-562</t>
  </si>
  <si>
    <t>Сергиево-Посадский р-н, г. Сергиев Посад, ул. Пионерская, д.16</t>
  </si>
  <si>
    <t>01-1492ПП-0818-564</t>
  </si>
  <si>
    <t>Сергиево-Посадский р-н, г. Сергиев Посад, ул. Стахановская, д. 13/19</t>
  </si>
  <si>
    <t>01-1492ПП-0818-566</t>
  </si>
  <si>
    <t>Сергиево-Посадский р-н, г. Сергиев Посад, ул. Стахановская, двлд.9/42</t>
  </si>
  <si>
    <t>01-1492ПП-0818-567</t>
  </si>
  <si>
    <t>Сергиево-Посадский р-н, г. Скоропусковский, д. 11</t>
  </si>
  <si>
    <t>01-1492ПП-0818-570</t>
  </si>
  <si>
    <t>Серпухов г.о.</t>
  </si>
  <si>
    <t>г. Серпухов, пер.2-й Северный, д.14</t>
  </si>
  <si>
    <t>01-1492ПП-0818-571</t>
  </si>
  <si>
    <t>г. Серпухов, пер.2-й Северный, д.16</t>
  </si>
  <si>
    <t>01-1492ПП-0818-572</t>
  </si>
  <si>
    <t>г. Серпухов, пл.49 Армии, д.1</t>
  </si>
  <si>
    <t>01-1492ПП-0818-574</t>
  </si>
  <si>
    <t>г. Серпухов, пл.49 Армии, д.11</t>
  </si>
  <si>
    <t>01-1492ПП-0818-576</t>
  </si>
  <si>
    <t>г. Серпухов, пл.49 Армии, д.5</t>
  </si>
  <si>
    <t>01-1492ПП-0818-578</t>
  </si>
  <si>
    <t>г. Серпухов, пл.49 Армии, д.7/31</t>
  </si>
  <si>
    <t>01-1492ПП-0818-580</t>
  </si>
  <si>
    <t xml:space="preserve">г. Серпухов, пл.49 Армии, д.9 </t>
  </si>
  <si>
    <t>01-1492ПП-0818-582</t>
  </si>
  <si>
    <t>г. Серпухов, пл.Ленина, д.12/20</t>
  </si>
  <si>
    <t>01-1492ПП-0818-583</t>
  </si>
  <si>
    <t>г. Серпухов, пл.Ленина, д.2/20</t>
  </si>
  <si>
    <t>01-1492ПП-0818-584</t>
  </si>
  <si>
    <t xml:space="preserve">г. Серпухов, пл.Северная, д.7 </t>
  </si>
  <si>
    <t>01-1492ПП-0818-585</t>
  </si>
  <si>
    <t>г. Серпухов, ул.  Береговая, д. 36</t>
  </si>
  <si>
    <t>01-1492ПП-0818-586</t>
  </si>
  <si>
    <t>г. Серпухов, ул. 1905 года, д. 17</t>
  </si>
  <si>
    <t>01-1492ПП-0818-587</t>
  </si>
  <si>
    <t>г. Серпухов, ул. 1905 года, д. 17А</t>
  </si>
  <si>
    <t>01-1492ПП-0818-588</t>
  </si>
  <si>
    <t>г. Серпухов, ул. 1905 года, д. 17Б</t>
  </si>
  <si>
    <t>01-1492ПП-0818-589</t>
  </si>
  <si>
    <t>г. Серпухов, ул. 1905 года, д. 17В</t>
  </si>
  <si>
    <t>01-1492ПП-0818-590</t>
  </si>
  <si>
    <t>г. Серпухов, ул. Захаркина, д. 22</t>
  </si>
  <si>
    <t>01-1492ПП-0818-591</t>
  </si>
  <si>
    <t>г. Серпухов, ул. Советская, д. 29/22</t>
  </si>
  <si>
    <t>01-1492ПП-0818-592</t>
  </si>
  <si>
    <t>г. Серпухов, ул. Советская, д.73</t>
  </si>
  <si>
    <t>01-1492ПП-0818-593</t>
  </si>
  <si>
    <t>г. Серпухов, ул.1905 года, д.17А</t>
  </si>
  <si>
    <t>01-1492ПП-0818-597</t>
  </si>
  <si>
    <t>г. Серпухов, ул.1905 года, д.17Б</t>
  </si>
  <si>
    <t>01-1492ПП-0818-598</t>
  </si>
  <si>
    <t>г. Серпухов, ул.1905 года, д.17В</t>
  </si>
  <si>
    <t>01-1492ПП-0818-599</t>
  </si>
  <si>
    <t>г. Серпухов, ул.1-я Московская, д.36/20</t>
  </si>
  <si>
    <t>01-1492ПП-0818-600</t>
  </si>
  <si>
    <t>г. Серпухов, ул.Береговая, д.32</t>
  </si>
  <si>
    <t>01-1492ПП-0818-601</t>
  </si>
  <si>
    <t>г. Серпухов, ул.Береговая, д.34</t>
  </si>
  <si>
    <t>01-1492ПП-0818-602</t>
  </si>
  <si>
    <t xml:space="preserve">г. Серпухов, ул.Ворошилова, д.149 </t>
  </si>
  <si>
    <t>01-1492ПП-0818-603</t>
  </si>
  <si>
    <t>г. Серпухов, ул.Ворошилова, д.18</t>
  </si>
  <si>
    <t>01-1492ПП-0818-604</t>
  </si>
  <si>
    <t>г. Серпухов, ул.Ворошилова, д.241</t>
  </si>
  <si>
    <t>01-1492ПП-0818-605</t>
  </si>
  <si>
    <t>г. Серпухов, ул.Крупской, д.5</t>
  </si>
  <si>
    <t>01-1492ПП-0818-606</t>
  </si>
  <si>
    <t>г. Серпухов, ул.Подольская, д.95/12</t>
  </si>
  <si>
    <t>01-1492ПП-0818-607</t>
  </si>
  <si>
    <t>г. Серпухов, ул.Подольская, д.96</t>
  </si>
  <si>
    <t>01-1492ПП-0818-608</t>
  </si>
  <si>
    <t>г. Серпухов, ул.Подольская, д.97</t>
  </si>
  <si>
    <t>01-1492ПП-0818-609</t>
  </si>
  <si>
    <t>г. Серпухов, ул.Подольская, д.99/15</t>
  </si>
  <si>
    <t>01-1492ПП-0818-610</t>
  </si>
  <si>
    <t>г. Серпухов, ул.Ракова, д.3</t>
  </si>
  <si>
    <t>01-1492ПП-0818-611</t>
  </si>
  <si>
    <t>г. Серпухов, ул.Советская д.43</t>
  </si>
  <si>
    <t>01-1492ПП-0818-612</t>
  </si>
  <si>
    <t>г. Серпухов, ул.Советская, д.116</t>
  </si>
  <si>
    <t>01-1492ПП-0818-613</t>
  </si>
  <si>
    <t>г. Серпухов, ул.Советская, д.122</t>
  </si>
  <si>
    <t>01-1492ПП-0818-614</t>
  </si>
  <si>
    <t>г. Серпухов, ул.Советская, д.37</t>
  </si>
  <si>
    <t>01-1492ПП-0818-615</t>
  </si>
  <si>
    <t>г. Серпухов, ул.Советская, д.41/12</t>
  </si>
  <si>
    <t>01-1492ПП-0818-616</t>
  </si>
  <si>
    <t>г. Серпухов, ул.Советская, д.51</t>
  </si>
  <si>
    <t>01-1492ПП-0818-617</t>
  </si>
  <si>
    <t>г. Серпухов, ул.Советская, д.53</t>
  </si>
  <si>
    <t>01-1492ПП-0818-618</t>
  </si>
  <si>
    <t>г. Серпухов, ул.Советская, д.55</t>
  </si>
  <si>
    <t>01-1492ПП-0818-619</t>
  </si>
  <si>
    <t xml:space="preserve">г. Серпухов, ул.Советская, д.59/9 </t>
  </si>
  <si>
    <t>01-1492ПП-0818-620</t>
  </si>
  <si>
    <t>г. Серпухов, ул.Советская, д.64</t>
  </si>
  <si>
    <t>01-1492ПП-0818-621</t>
  </si>
  <si>
    <t>г. Серпухов, ул.Советская, д.67/11</t>
  </si>
  <si>
    <t>01-1492ПП-0818-622</t>
  </si>
  <si>
    <t>г. Серпухов, ул.Советская, д.74</t>
  </si>
  <si>
    <t>01-1492ПП-0818-623</t>
  </si>
  <si>
    <t>г. Серпухов, ул.Советская, д.78</t>
  </si>
  <si>
    <t>01-1492ПП-0818-624</t>
  </si>
  <si>
    <t xml:space="preserve">г. Серпухов, ул.Советская, д.82 </t>
  </si>
  <si>
    <t>01-1492ПП-0818-625</t>
  </si>
  <si>
    <t>г. Серпухов, ул.Тяговая, д.10</t>
  </si>
  <si>
    <t>01-1492ПП-0818-626</t>
  </si>
  <si>
    <t>г. Серпухов, ул.Тяговая, д.10А</t>
  </si>
  <si>
    <t>01-1492ПП-0818-627</t>
  </si>
  <si>
    <t>г. Серпухов, ул.Тяговая, д.12</t>
  </si>
  <si>
    <t>01-1492ПП-0818-628</t>
  </si>
  <si>
    <t>г. Серпухов, ул.Тяговая, д.14</t>
  </si>
  <si>
    <t>01-1492ПП-0818-629</t>
  </si>
  <si>
    <t>г. Серпухов, ул.Тяговая, д.16А</t>
  </si>
  <si>
    <t>01-1492ПП-0818-630</t>
  </si>
  <si>
    <t>Солнечногорский м.р.</t>
  </si>
  <si>
    <t>Солнечногорский р-н, г, Солнечногорск-7, ул,Подмосковная, д,12</t>
  </si>
  <si>
    <t>01-1492ПП-0818-632</t>
  </si>
  <si>
    <t>Солнечногорский р-н, г, Солнечногорск-7, ул,Подмосковная, д,4</t>
  </si>
  <si>
    <t>01-1492ПП-0818-633</t>
  </si>
  <si>
    <t>Солнечногорский р-н, г. Андреевка, р.п.Андреевка, д.4</t>
  </si>
  <si>
    <t>01-1492ПП-0818-634</t>
  </si>
  <si>
    <t>Солнечногорский р-н, г. Менделеево, п.Менделеево, ул.Институтская, д.1</t>
  </si>
  <si>
    <t>01-1492ПП-0818-635</t>
  </si>
  <si>
    <t>Солнечногорский р-н, г. Солнечногорск-7, ул.Подмосковная, д. 1</t>
  </si>
  <si>
    <t>01-1492ПП-0818-636</t>
  </si>
  <si>
    <t>Солнечногорский р-н, г. Солнечногорск-7, ул.Подмосковная, д. 2</t>
  </si>
  <si>
    <t>01-1492ПП-0818-637</t>
  </si>
  <si>
    <t>Солнечногорский р-н, г. Солнечногорск-7, ул.Подмосковная, д. 5</t>
  </si>
  <si>
    <t>01-1492ПП-0818-638</t>
  </si>
  <si>
    <t>Солнечногорский р-н, г. Солнечногорск-7, ул.Подмосковная, д. 6</t>
  </si>
  <si>
    <t>01-1492ПП-0818-639</t>
  </si>
  <si>
    <t>Солнечногорский р-н, д. Хоругвино, мкр. Военный городок, д. 101</t>
  </si>
  <si>
    <t>01-1492ПП-0818-640</t>
  </si>
  <si>
    <t>Солнечногорский р-н, д. Хоругвино, мкр. Военный городок, д. 102</t>
  </si>
  <si>
    <t>01-1492ПП-0818-641</t>
  </si>
  <si>
    <t>Солнечногорский р-н, д. Хоругвино, мкр. Военный городок, д. 70</t>
  </si>
  <si>
    <t>01-1492ПП-0818-642</t>
  </si>
  <si>
    <t>Солнечногорский р-н, д. Хоругвино, мкр. Военный городок, д. 71</t>
  </si>
  <si>
    <t>01-1492ПП-0818-643</t>
  </si>
  <si>
    <t>Солнечногорский р-н, д. Хоругвино, мкр. Военный городок, д. 72</t>
  </si>
  <si>
    <t>01-1492ПП-0818-644</t>
  </si>
  <si>
    <t xml:space="preserve">Солнечногорский р-н, с. Алабушево, ул.Калинина, д.1 </t>
  </si>
  <si>
    <t>01-1492ПП-0818-645</t>
  </si>
  <si>
    <t>Солнечногорский р-н, с. Алабушево, ул.Калинина, д.1А</t>
  </si>
  <si>
    <t>01-1492ПП-0818-646</t>
  </si>
  <si>
    <t>Солнечногорский р-н, сан. Мцыри, д. 1</t>
  </si>
  <si>
    <t>01-1492ПП-0818-647</t>
  </si>
  <si>
    <t>Солнечногорский р-н, сан. Мцыри, д. 1А</t>
  </si>
  <si>
    <t>01-1492ПП-0818-648</t>
  </si>
  <si>
    <t>Солнечногорский р-н, сан. Мцыри, д. 2</t>
  </si>
  <si>
    <t>01-1492ПП-0818-649</t>
  </si>
  <si>
    <t>Ступино г.о.</t>
  </si>
  <si>
    <t>г. Ступино, ул.Андропова, д.31</t>
  </si>
  <si>
    <t>01-1492ПП-0818-650</t>
  </si>
  <si>
    <t>п. Михнево, туп.Больничный, д.4</t>
  </si>
  <si>
    <t>01-1492ПП-0818-651</t>
  </si>
  <si>
    <t>п. Михнево, ул.Сельхозтехники, д.1</t>
  </si>
  <si>
    <t>01-1492ПП-0818-652</t>
  </si>
  <si>
    <t>Талдомский м.р.</t>
  </si>
  <si>
    <t>Талдомский р-н, г.п.Запрудня, р.п.Запрудня, пер.Пролетарский, д.29</t>
  </si>
  <si>
    <t>01-1492ПП-0818-653</t>
  </si>
  <si>
    <t>Талдомский р-н, р.п. Северный, ул.Зеленая, д.1</t>
  </si>
  <si>
    <t>01-1492ПП-0818-654</t>
  </si>
  <si>
    <t>Талдомский р-н, р.п. Северный, ул.Зеленая, д.3</t>
  </si>
  <si>
    <t>01-1492ПП-0818-655</t>
  </si>
  <si>
    <t>Талдомский р-н, р.п. Северный, ул.Зеленая, д.4</t>
  </si>
  <si>
    <t>01-1492ПП-0818-656</t>
  </si>
  <si>
    <t>Фрязино г.о.</t>
  </si>
  <si>
    <t>г. Фрязино, ул. Нахимова, д. 25</t>
  </si>
  <si>
    <t>01-1492ПП-0818-657</t>
  </si>
  <si>
    <t>г. Фрязино, ул.Вокзальная, д.19</t>
  </si>
  <si>
    <t>01-1492ПП-0818-658</t>
  </si>
  <si>
    <t>Чехов г.о.</t>
  </si>
  <si>
    <t>г. Чехов, ул. Полиграфистов, д. 13</t>
  </si>
  <si>
    <t>01-1492ПП-0818-659</t>
  </si>
  <si>
    <t>Чеховский м.р.</t>
  </si>
  <si>
    <t>Чеховский р-н, с. Стремилово, д. 3</t>
  </si>
  <si>
    <t>01-1492ПП-0818-661</t>
  </si>
  <si>
    <t>Шатурский м.р.</t>
  </si>
  <si>
    <t>Шатурский р-н, п. Туголесский Бор, ул. Горького, д. 20А</t>
  </si>
  <si>
    <t>01-1492ПП-0818-662</t>
  </si>
  <si>
    <t>Шатурский р-н, п. Центральной Усадьбы, свх.Мир, д. 6</t>
  </si>
  <si>
    <t>01-1492ПП-0818-663</t>
  </si>
  <si>
    <t>Шатурский р-н, пгт. Мишеронский, ул. Новая, д. 8</t>
  </si>
  <si>
    <t>01-1492ПП-0818-664</t>
  </si>
  <si>
    <t>Шатурский р-н, пгт. Мишеронский, ул. Советская, д. 33</t>
  </si>
  <si>
    <t>01-1492ПП-0818-665</t>
  </si>
  <si>
    <t>Шатурский р-н, пгт. Мишеронский, ул. Советская, д. 40</t>
  </si>
  <si>
    <t>01-1492ПП-0818-666</t>
  </si>
  <si>
    <t>Шатурский р-н, с. Дмитровский Погост, ул. Новая, д. 6</t>
  </si>
  <si>
    <t>01-1492ПП-0818-667</t>
  </si>
  <si>
    <t>Шатурский р-н, с. Дмитровский Погост, ул. Футбольная, д.16</t>
  </si>
  <si>
    <t>01-1492ПП-0818-668</t>
  </si>
  <si>
    <t>Шаховская г.о.</t>
  </si>
  <si>
    <t>г. Шаховская, р.п.Шаховская, ул.1-я Советская д.45</t>
  </si>
  <si>
    <t>01-1492ПП-0818-670</t>
  </si>
  <si>
    <t>г. Шаховская, ул. Базаева д. 20</t>
  </si>
  <si>
    <t>01-1492ПП-0818-671</t>
  </si>
  <si>
    <t>Щёлковский м.р.</t>
  </si>
  <si>
    <t>Щелковский р-н, г. Монино, ул. Авиационная, д. 5</t>
  </si>
  <si>
    <t>01-1492ПП-0818-672</t>
  </si>
  <si>
    <t>Щелковский р-н, г. Монино, ул. Генерала Белякова, д. 2</t>
  </si>
  <si>
    <t>01-1492ПП-0818-673</t>
  </si>
  <si>
    <t>01-1492ПП-0818-674</t>
  </si>
  <si>
    <t>Щелковский р-н, г. Щелково, ул. Парковая, д. 16</t>
  </si>
  <si>
    <t>01-1492ПП-0818-675</t>
  </si>
  <si>
    <t>Щелковский р-н, г. Щелково, ул. Парковая, д. 23</t>
  </si>
  <si>
    <t>01-1492ПП-0818-676</t>
  </si>
  <si>
    <t>Щелковский р-н, г. Щелково, ул. Парковая, д. 33</t>
  </si>
  <si>
    <t>01-1492ПП-0818-677</t>
  </si>
  <si>
    <t>Щёлковский р-н, г. Щёлково, ул.Гагарина д.1</t>
  </si>
  <si>
    <t>01-1492ПП-0818-678</t>
  </si>
  <si>
    <t>Щёлковский р-н, г. Щёлково, ул.Гагарина д.2</t>
  </si>
  <si>
    <t>01-1492ПП-0818-679</t>
  </si>
  <si>
    <t>Щёлковский р-н, г. Щёлково, ул.Гагарина д.3</t>
  </si>
  <si>
    <t>01-1492ПП-0818-680</t>
  </si>
  <si>
    <t>Щёлковский р-н, г.Щелково, ул.Ленина, д.1</t>
  </si>
  <si>
    <t>01-1492ПП-0818-681</t>
  </si>
  <si>
    <t>Щёлковский р-н, г.Щелково, ул.Ленина, д.4</t>
  </si>
  <si>
    <t>01-1492ПП-0818-682</t>
  </si>
  <si>
    <t>Щелковский р-н, д. Медвежьи Озера, ул, Сосновая, д. 7</t>
  </si>
  <si>
    <t>01-1492ПП-0818-683</t>
  </si>
  <si>
    <t>Щелковский р-н, п. Фряново, ул.Победы, д.1</t>
  </si>
  <si>
    <t>01-1492ПП-0818-684</t>
  </si>
  <si>
    <t>345шт</t>
  </si>
  <si>
    <t>15.07-21.07.2019</t>
  </si>
  <si>
    <t>Итого в АСУ за период с 15.07-21.07.2019</t>
  </si>
  <si>
    <t>на 01.10.2019г</t>
  </si>
  <si>
    <t>http://portal.gzhi.mosreg.ru/dom/common.php?id_dom=168610</t>
  </si>
  <si>
    <t>http://portal.gzhi.mosreg.ru/dom/common.php?id_dom=169406</t>
  </si>
  <si>
    <t>http://portal.gzhi.mosreg.ru/dom/common.php?id_dom=169075</t>
  </si>
  <si>
    <t>http://portal.gzhi.mosreg.ru/dom/common.php?id_dom=168647</t>
  </si>
  <si>
    <t>http://portal.gzhi.mosreg.ru/dom/common.php?id_dom=168648</t>
  </si>
  <si>
    <t>http://portal.gzhi.mosreg.ru/dom/common.php?id_dom=175240</t>
  </si>
  <si>
    <t>http://portal.gzhi.mosreg.ru/dom/common.php?id_dom=175078</t>
  </si>
  <si>
    <t>http://portal.gzhi.mosreg.ru/dom/common.php?id_dom=175091</t>
  </si>
  <si>
    <t>http://portal.gzhi.mosreg.ru/dom/common.php?id_dom=168368</t>
  </si>
  <si>
    <t>http://portal.gzhi.mosreg.ru/dom/common.php?id_dom=168550</t>
  </si>
  <si>
    <t>http://portal.gzhi.mosreg.ru/dom/common.php?id_dom=123225</t>
  </si>
  <si>
    <t>http://portal.gzhi.mosreg.ru/dom/common.php?id_dom=169388</t>
  </si>
  <si>
    <t>http://portal.gzhi.mosreg.ru/dom/common.php?id_dom=150602</t>
  </si>
  <si>
    <t>http://portal.gzhi.mosreg.ru/dom/common.php?id_dom=122665</t>
  </si>
  <si>
    <t>http://portal.gzhi.mosreg.ru/dom/common.php?id_dom=123486</t>
  </si>
  <si>
    <t>http://portal.gzhi.mosreg.ru/dom/common.php?id_dom=123224</t>
  </si>
  <si>
    <t>http://portal.gzhi.mosreg.ru/dom/common.php?id_dom=150906</t>
  </si>
  <si>
    <t>http://portal.gzhi.mosreg.ru/dom/common.php?id_dom=152632</t>
  </si>
  <si>
    <t>http://portal.gzhi.mosreg.ru/dom/common.php?id_dom=152680</t>
  </si>
  <si>
    <t>http://portal.gzhi.mosreg.ru/dom/common.php?id_dom=152636</t>
  </si>
  <si>
    <t>http://portal.gzhi.mosreg.ru/dom/common.php?id_dom=152642</t>
  </si>
  <si>
    <t>http://portal.gzhi.mosreg.ru/dom/common.php?id_dom=152646</t>
  </si>
  <si>
    <t>http://portal.gzhi.mosreg.ru/dom/common.php?id_dom=152761</t>
  </si>
  <si>
    <t>http://portal.gzhi.mosreg.ru/dom/common.php?id_dom=152678</t>
  </si>
  <si>
    <t>http://portal.gzhi.mosreg.ru/dom/common.php?id_dom=152682</t>
  </si>
  <si>
    <t>http://portal.gzhi.mosreg.ru/dom/common.php?id_dom=152684</t>
  </si>
  <si>
    <t>http://portal.gzhi.mosreg.ru/dom/common.php?id_dom=153035</t>
  </si>
  <si>
    <t>http://portal.gzhi.mosreg.ru/dom/common.php?id_dom=153056</t>
  </si>
  <si>
    <t>http://portal.gzhi.mosreg.ru/dom/common.php?id_dom=153058</t>
  </si>
  <si>
    <t>http://portal.gzhi.mosreg.ru/dom/common.php?id_dom=153060</t>
  </si>
  <si>
    <t>http://portal.gzhi.mosreg.ru/dom/common.php?id_dom=152877</t>
  </si>
  <si>
    <t>http://portal.gzhi.mosreg.ru/dom/common.php?id_dom=152870</t>
  </si>
  <si>
    <t>http://portal.gzhi.mosreg.ru/dom/common.php?id_dom=152875</t>
  </si>
  <si>
    <t>http://portal.gzhi.mosreg.ru/dom/common.php?id_dom=152872</t>
  </si>
  <si>
    <t>http://portal.gzhi.mosreg.ru/dom/common.php?id_dom=153022</t>
  </si>
  <si>
    <t>http://portal.gzhi.mosreg.ru/dom/common.php?id_dom=153024</t>
  </si>
  <si>
    <t>http://portal.gzhi.mosreg.ru/dom/common.php?id_dom=153016</t>
  </si>
  <si>
    <t>http://portal.gzhi.mosreg.ru/dom/common.php?id_dom=153039</t>
  </si>
  <si>
    <t>http://portal.gzhi.mosreg.ru/dom/common.php?id_dom=153353</t>
  </si>
  <si>
    <t>http://portal.gzhi.mosreg.ru/dom/common.php?id_dom=153382</t>
  </si>
  <si>
    <t>http://portal.gzhi.mosreg.ru/dom/common.php?id_dom=153661</t>
  </si>
  <si>
    <t>http://portal.gzhi.mosreg.ru/dom/common.php?id_dom=152883</t>
  </si>
  <si>
    <t>http://portal.gzhi.mosreg.ru/dom/common.php?id_dom=152885</t>
  </si>
  <si>
    <t>http://portal.gzhi.mosreg.ru/dom/common.php?id_dom=153012</t>
  </si>
  <si>
    <t>http://portal.gzhi.mosreg.ru/dom/common.php?id_dom=153018</t>
  </si>
  <si>
    <t>http://portal.gzhi.mosreg.ru/dom/common.php?id_dom=153174</t>
  </si>
  <si>
    <t>http://portal.gzhi.mosreg.ru/dom/common.php?id_dom=153176</t>
  </si>
  <si>
    <t>http://portal.gzhi.mosreg.ru/dom/common.php?id_dom=153178</t>
  </si>
  <si>
    <t>http://portal.gzhi.mosreg.ru/dom/common.php?id_dom=153180</t>
  </si>
  <si>
    <t>http://portal.gzhi.mosreg.ru/dom/common.php?id_dom=153182</t>
  </si>
  <si>
    <t>http://portal.gzhi.mosreg.ru/dom/common.php?id_dom=153184</t>
  </si>
  <si>
    <t>http://portal.gzhi.mosreg.ru/dom/common.php?id_dom=153341</t>
  </si>
  <si>
    <t>http://portal.gzhi.mosreg.ru/dom/common.php?id_dom=153351</t>
  </si>
  <si>
    <t>http://portal.gzhi.mosreg.ru/dom/common.php?id_dom=153384</t>
  </si>
  <si>
    <t>http://portal.gzhi.mosreg.ru/dom/common.php?id_dom=153463</t>
  </si>
  <si>
    <t>http://portal.gzhi.mosreg.ru/dom/common.php?id_dom=153467</t>
  </si>
  <si>
    <t>http://portal.gzhi.mosreg.ru/dom/common.php?id_dom=153471</t>
  </si>
  <si>
    <t>http://portal.gzhi.mosreg.ru/dom/common.php?id_dom=153473</t>
  </si>
  <si>
    <t>http://portal.gzhi.mosreg.ru/dom/common.php?id_dom=153475</t>
  </si>
  <si>
    <t>http://portal.gzhi.mosreg.ru/dom/common.php?id_dom=153477</t>
  </si>
  <si>
    <t>http://portal.gzhi.mosreg.ru/dom/common.php?id_dom=153511</t>
  </si>
  <si>
    <t>http://portal.gzhi.mosreg.ru/dom/common.php?id_dom=153543</t>
  </si>
  <si>
    <t>http://portal.gzhi.mosreg.ru/dom/common.php?id_dom=153541</t>
  </si>
  <si>
    <t>http://portal.gzhi.mosreg.ru/dom/common.php?id_dom=153547</t>
  </si>
  <si>
    <t>http://portal.gzhi.mosreg.ru/dom/common.php?id_dom=153657</t>
  </si>
  <si>
    <t>http://portal.gzhi.mosreg.ru/dom/common.php?id_dom=153098</t>
  </si>
  <si>
    <t>http://portal.gzhi.mosreg.ru/dom/common.php?id_dom=153215</t>
  </si>
  <si>
    <t>http://portal.gzhi.mosreg.ru/dom/common.php?id_dom=153217</t>
  </si>
  <si>
    <t>http://portal.gzhi.mosreg.ru/dom/common.php?id_dom=125978</t>
  </si>
  <si>
    <t>http://portal.gzhi.mosreg.ru/dom/common.php?id_dom=125987</t>
  </si>
  <si>
    <t>http://portal.gzhi.mosreg.ru/dom/common.php?id_dom=125995</t>
  </si>
  <si>
    <t>http://portal.gzhi.mosreg.ru/dom/common.php?id_dom=125988</t>
  </si>
  <si>
    <t>http://portal.gzhi.mosreg.ru/dom/common.php?id_dom=125989</t>
  </si>
  <si>
    <t>http://portal.gzhi.mosreg.ru/dom/common.php?id_dom=125979</t>
  </si>
  <si>
    <t>http://portal.gzhi.mosreg.ru/dom/common.php?id_dom=125991</t>
  </si>
  <si>
    <t>http://portal.gzhi.mosreg.ru/dom/common.php?id_dom=125986</t>
  </si>
  <si>
    <t>http://portal.gzhi.mosreg.ru/dom/common.php?id_dom=125992</t>
  </si>
  <si>
    <t>http://portal.gzhi.mosreg.ru/dom/common.php?id_dom=125994</t>
  </si>
  <si>
    <t>http://portal.gzhi.mosreg.ru/dom/common.php?id_dom=126431</t>
  </si>
  <si>
    <t>http://portal.gzhi.mosreg.ru/dom/common.php?id_dom=126137</t>
  </si>
  <si>
    <t>http://portal.gzhi.mosreg.ru/dom/common.php?id_dom=182739</t>
  </si>
  <si>
    <t>http://portal.gzhi.mosreg.ru/dom/common.php?id_dom=127748</t>
  </si>
  <si>
    <t>http://portal.gzhi.mosreg.ru/dom/common.php?id_dom=127749</t>
  </si>
  <si>
    <t>http://portal.gzhi.mosreg.ru/dom/common.php?id_dom=128501</t>
  </si>
  <si>
    <t>http://portal.gzhi.mosreg.ru/dom/common.php?id_dom=127611</t>
  </si>
  <si>
    <t>http://portal.gzhi.mosreg.ru/dom/common.php?id_dom=127840</t>
  </si>
  <si>
    <t>http://portal.gzhi.mosreg.ru/dom/common.php?id_dom=127841</t>
  </si>
  <si>
    <t>http://portal.gzhi.mosreg.ru/dom/common.php?id_dom=170857</t>
  </si>
  <si>
    <t>http://portal.gzhi.mosreg.ru/dom/common.php?id_dom=170765</t>
  </si>
  <si>
    <t>http://portal.gzhi.mosreg.ru/dom/common.php?id_dom=170767</t>
  </si>
  <si>
    <t>http://portal.gzhi.mosreg.ru/dom/common.php?id_dom=170762</t>
  </si>
  <si>
    <t>http://portal.gzhi.mosreg.ru/dom/common.php?id_dom=170763</t>
  </si>
  <si>
    <t>http://portal.gzhi.mosreg.ru/dom/common.php?id_dom=117289</t>
  </si>
  <si>
    <t>http://portal.gzhi.mosreg.ru/dom/common.php?id_dom=117281</t>
  </si>
  <si>
    <t>http://portal.gzhi.mosreg.ru/dom/common.php?id_dom=150913</t>
  </si>
  <si>
    <t>http://portal.gzhi.mosreg.ru/dom/common.php?id_dom=150966</t>
  </si>
  <si>
    <t>http://portal.gzhi.mosreg.ru/dom/common.php?id_dom=150978</t>
  </si>
  <si>
    <t>http://portal.gzhi.mosreg.ru/dom/common.php?id_dom=156708</t>
  </si>
  <si>
    <t>http://portal.gzhi.mosreg.ru/dom/common.php?id_dom=156830</t>
  </si>
  <si>
    <t>http://portal.gzhi.mosreg.ru/dom/common.php?id_dom=156688</t>
  </si>
  <si>
    <t>http://portal.gzhi.mosreg.ru/dom/common.php?id_dom=151213</t>
  </si>
  <si>
    <t>http://portal.gzhi.mosreg.ru/dom/common.php?id_dom=151214</t>
  </si>
  <si>
    <t>http://portal.gzhi.mosreg.ru/dom/common.php?id_dom=151235</t>
  </si>
  <si>
    <t>http://portal.gzhi.mosreg.ru/dom/common.php?id_dom=151654</t>
  </si>
  <si>
    <t>http://portal.gzhi.mosreg.ru/dom/common.php?id_dom=151678</t>
  </si>
  <si>
    <t>http://portal.gzhi.mosreg.ru/dom/common.php?id_dom=151475</t>
  </si>
  <si>
    <t>http://portal.gzhi.mosreg.ru/dom/common.php?id_dom=130403</t>
  </si>
  <si>
    <t>http://portal.gzhi.mosreg.ru/dom/common.php?id_dom=129674</t>
  </si>
  <si>
    <t>http://portal.gzhi.mosreg.ru/dom/common.php?id_dom=130426</t>
  </si>
  <si>
    <t>http://portal.gzhi.mosreg.ru/dom/common.php?id_dom=130429</t>
  </si>
  <si>
    <t>http://portal.gzhi.mosreg.ru/dom/common.php?id_dom=130413</t>
  </si>
  <si>
    <t>http://portal.gzhi.mosreg.ru/dom/common.php?id_dom=130446</t>
  </si>
  <si>
    <t>http://portal.gzhi.mosreg.ru/dom/common.php?id_dom=157876</t>
  </si>
  <si>
    <t>http://portal.gzhi.mosreg.ru/dom/common.php?id_dom=157816</t>
  </si>
  <si>
    <t>http://portal.gzhi.mosreg.ru/dom/common.php?id_dom=157297</t>
  </si>
  <si>
    <t>http://portal.gzhi.mosreg.ru/dom/common.php?id_dom=158864</t>
  </si>
  <si>
    <t>http://portal.gzhi.mosreg.ru/dom/common.php?id_dom=158108</t>
  </si>
  <si>
    <t>http://portal.gzhi.mosreg.ru/dom/common.php?id_dom=157382</t>
  </si>
  <si>
    <t>http://portal.gzhi.mosreg.ru/dom/common.php?id_dom=132758</t>
  </si>
  <si>
    <t>http://portal.gzhi.mosreg.ru/dom/common.php?id_dom=133013</t>
  </si>
  <si>
    <t>http://portal.gzhi.mosreg.ru/dom/common.php?id_dom=133161</t>
  </si>
  <si>
    <t>http://portal.gzhi.mosreg.ru/dom/common.php?id_dom=133364</t>
  </si>
  <si>
    <t>http://portal.gzhi.mosreg.ru/dom/common.php?id_dom=132360</t>
  </si>
  <si>
    <t>http://portal.gzhi.mosreg.ru/dom/common.php?id_dom=161000</t>
  </si>
  <si>
    <t>http://portal.gzhi.mosreg.ru/dom/common.php?id_dom=161002</t>
  </si>
  <si>
    <t>http://portal.gzhi.mosreg.ru/dom/common.php?id_dom=161098</t>
  </si>
  <si>
    <t>http://portal.gzhi.mosreg.ru/dom/common.php?id_dom=160972</t>
  </si>
  <si>
    <t>http://portal.gzhi.mosreg.ru/dom/common.php?id_dom=160974</t>
  </si>
  <si>
    <t>http://portal.gzhi.mosreg.ru/dom/common.php?id_dom=161046</t>
  </si>
  <si>
    <t>http://portal.gzhi.mosreg.ru/dom/common.php?id_dom=171214</t>
  </si>
  <si>
    <t>http://portal.gzhi.mosreg.ru/dom/common.php?id_dom=162573</t>
  </si>
  <si>
    <t>http://portal.gzhi.mosreg.ru/dom/common.php?id_dom=153173</t>
  </si>
  <si>
    <t>http://portal.gzhi.mosreg.ru/dom/common.php?id_dom=153260</t>
  </si>
  <si>
    <t>http://portal.gzhi.mosreg.ru/dom/common.php?id_dom=152802</t>
  </si>
  <si>
    <t>http://portal.gzhi.mosreg.ru/dom/common.php?id_dom=152806</t>
  </si>
  <si>
    <t>http://portal.gzhi.mosreg.ru/dom/common.php?id_dom=152808</t>
  </si>
  <si>
    <t>http://portal.gzhi.mosreg.ru/dom/common.php?id_dom=152839</t>
  </si>
  <si>
    <t>http://portal.gzhi.mosreg.ru/dom/common.php?id_dom=152845</t>
  </si>
  <si>
    <t>http://portal.gzhi.mosreg.ru/dom/common.php?id_dom=152853</t>
  </si>
  <si>
    <t>http://portal.gzhi.mosreg.ru/dom/common.php?id_dom=153540</t>
  </si>
  <si>
    <t>http://portal.gzhi.mosreg.ru/dom/common.php?id_dom=153322</t>
  </si>
  <si>
    <t>http://portal.gzhi.mosreg.ru/dom/common.php?id_dom=152804</t>
  </si>
  <si>
    <t>http://portal.gzhi.mosreg.ru/dom/common.php?id_dom=152762</t>
  </si>
  <si>
    <t>http://portal.gzhi.mosreg.ru/dom/common.php?id_dom=152857</t>
  </si>
  <si>
    <t>http://portal.gzhi.mosreg.ru/dom/common.php?id_dom=152841</t>
  </si>
  <si>
    <t>http://portal.gzhi.mosreg.ru/dom/common.php?id_dom=152849</t>
  </si>
  <si>
    <t>http://portal.gzhi.mosreg.ru/dom/common.php?id_dom=152867</t>
  </si>
  <si>
    <t>http://portal.gzhi.mosreg.ru/dom/common.php?id_dom=152869</t>
  </si>
  <si>
    <t>http://portal.gzhi.mosreg.ru/dom/common.php?id_dom=152783</t>
  </si>
  <si>
    <t>http://portal.gzhi.mosreg.ru/dom/common.php?id_dom=168134</t>
  </si>
  <si>
    <t>http://portal.gzhi.mosreg.ru/dom/common.php?id_dom=168135</t>
  </si>
  <si>
    <t>http://portal.gzhi.mosreg.ru/dom/common.php?id_dom=168136</t>
  </si>
  <si>
    <t>http://portal.gzhi.mosreg.ru/dom/common.php?id_dom=168137</t>
  </si>
  <si>
    <t>http://portal.gzhi.mosreg.ru/dom/common.php?id_dom=168130</t>
  </si>
  <si>
    <t>http://portal.gzhi.mosreg.ru/dom/common.php?id_dom=162858</t>
  </si>
  <si>
    <t>http://portal.gzhi.mosreg.ru/dom/common.php?id_dom=163010</t>
  </si>
  <si>
    <t>http://portal.gzhi.mosreg.ru/dom/common.php?id_dom=163076</t>
  </si>
  <si>
    <t>http://portal.gzhi.mosreg.ru/dom/common.php?id_dom=163077</t>
  </si>
  <si>
    <t>http://portal.gzhi.mosreg.ru/dom/common.php?id_dom=163078</t>
  </si>
  <si>
    <t>http://portal.gzhi.mosreg.ru/dom/common.php?id_dom=163090</t>
  </si>
  <si>
    <t>http://portal.gzhi.mosreg.ru/dom/common.php?id_dom=163126</t>
  </si>
  <si>
    <t>http://portal.gzhi.mosreg.ru/dom/common.php?id_dom=163127</t>
  </si>
  <si>
    <t>http://portal.gzhi.mosreg.ru/dom/common.php?id_dom=163123</t>
  </si>
  <si>
    <t>http://portal.gzhi.mosreg.ru/dom/common.php?id_dom=163124</t>
  </si>
  <si>
    <t>http://portal.gzhi.mosreg.ru/dom/common.php?id_dom=163125</t>
  </si>
  <si>
    <t>http://portal.gzhi.mosreg.ru/dom/common.php?id_dom=162776</t>
  </si>
  <si>
    <t>http://portal.gzhi.mosreg.ru/dom/common.php?id_dom=171425</t>
  </si>
  <si>
    <t>http://portal.gzhi.mosreg.ru/dom/common.php?id_dom=154625</t>
  </si>
  <si>
    <t>http://portal.gzhi.mosreg.ru/dom/common.php?id_dom=137156</t>
  </si>
  <si>
    <t>http://portal.gzhi.mosreg.ru/dom/common.php?id_dom=137094</t>
  </si>
  <si>
    <t>http://portal.gzhi.mosreg.ru/dom/common.php?id_dom=121075</t>
  </si>
  <si>
    <t>http://portal.gzhi.mosreg.ru/dom/common.php?id_dom=122224</t>
  </si>
  <si>
    <t>http://portal.gzhi.mosreg.ru/dom/common.php?id_dom=125200</t>
  </si>
  <si>
    <t>http://portal.gzhi.mosreg.ru/dom/common.php?id_dom=131431</t>
  </si>
  <si>
    <t>http://portal.gzhi.mosreg.ru/dom/common.php?id_dom=131351</t>
  </si>
  <si>
    <t>http://portal.gzhi.mosreg.ru/dom/common.php?id_dom=131352</t>
  </si>
  <si>
    <t>http://portal.gzhi.mosreg.ru/dom/common.php?id_dom=131404</t>
  </si>
  <si>
    <t>http://portal.gzhi.mosreg.ru/dom/common.php?id_dom=131403</t>
  </si>
  <si>
    <t>http://portal.gzhi.mosreg.ru/dom/common.php?id_dom=131413</t>
  </si>
  <si>
    <t>http://portal.gzhi.mosreg.ru/dom/common.php?id_dom=131414</t>
  </si>
  <si>
    <t>http://portal.gzhi.mosreg.ru/dom/common.php?id_dom=131415</t>
  </si>
  <si>
    <t>http://portal.gzhi.mosreg.ru/dom/common.php?id_dom=131416</t>
  </si>
  <si>
    <t>http://portal.gzhi.mosreg.ru/dom/common.php?id_dom=130801</t>
  </si>
  <si>
    <t>http://portal.gzhi.mosreg.ru/dom/common.php?id_dom=131479</t>
  </si>
  <si>
    <t>http://portal.gzhi.mosreg.ru/dom/common.php?id_dom=130717</t>
  </si>
  <si>
    <t>http://portal.gzhi.mosreg.ru/dom/common.php?id_dom=130721</t>
  </si>
  <si>
    <t>http://portal.gzhi.mosreg.ru/dom/common.php?id_dom=130722</t>
  </si>
  <si>
    <t>http://portal.gzhi.mosreg.ru/dom/common.php?id_dom=130718</t>
  </si>
  <si>
    <t>http://portal.gzhi.mosreg.ru/dom/common.php?id_dom=130724</t>
  </si>
  <si>
    <t>http://portal.gzhi.mosreg.ru/dom/common.php?id_dom=130726</t>
  </si>
  <si>
    <t>http://portal.gzhi.mosreg.ru/dom/common.php?id_dom=130719</t>
  </si>
  <si>
    <t>http://portal.gzhi.mosreg.ru/dom/common.php?id_dom=130727</t>
  </si>
  <si>
    <t>http://portal.gzhi.mosreg.ru/dom/common.php?id_dom=130728</t>
  </si>
  <si>
    <t>http://portal.gzhi.mosreg.ru/dom/common.php?id_dom=130720</t>
  </si>
  <si>
    <t>http://portal.gzhi.mosreg.ru/dom/common.php?id_dom=165272</t>
  </si>
  <si>
    <t>http://portal.gzhi.mosreg.ru/dom/common.php?id_dom=165301</t>
  </si>
  <si>
    <t>http://portal.gzhi.mosreg.ru/dom/common.php?id_dom=165299</t>
  </si>
  <si>
    <t>http://portal.gzhi.mosreg.ru/dom/common.php?id_dom=133892</t>
  </si>
  <si>
    <t>http://portal.gzhi.mosreg.ru/dom/common.php?id_dom=133893</t>
  </si>
  <si>
    <t>http://portal.gzhi.mosreg.ru/dom/common.php?id_dom=133894</t>
  </si>
  <si>
    <t>http://portal.gzhi.mosreg.ru/dom/common.php?id_dom=133895</t>
  </si>
  <si>
    <t>http://portal.gzhi.mosreg.ru/dom/common.php?id_dom=133914</t>
  </si>
  <si>
    <t>http://portal.gzhi.mosreg.ru/dom/common.php?id_dom=133912</t>
  </si>
  <si>
    <t>http://portal.gzhi.mosreg.ru/dom/common.php?id_dom=134769</t>
  </si>
  <si>
    <t>http://portal.gzhi.mosreg.ru/dom/common.php?id_dom=172767</t>
  </si>
  <si>
    <t>http://portal.gzhi.mosreg.ru/dom/common.php?id_dom=173096</t>
  </si>
  <si>
    <t>http://portal.gzhi.mosreg.ru/dom/common.php?id_dom=174354</t>
  </si>
  <si>
    <t>http://portal.gzhi.mosreg.ru/dom/common.php?id_dom=173968</t>
  </si>
  <si>
    <t>http://portal.gzhi.mosreg.ru/dom/common.php?id_dom=172577</t>
  </si>
  <si>
    <t>http://portal.gzhi.mosreg.ru/dom/common.php?id_dom=174041</t>
  </si>
  <si>
    <t>http://portal.gzhi.mosreg.ru/dom/common.php?id_dom=166889</t>
  </si>
  <si>
    <t>http://portal.gzhi.mosreg.ru/dom/common.php?id_dom=166890</t>
  </si>
  <si>
    <t>http://portal.gzhi.mosreg.ru/dom/common.php?id_dom=166164</t>
  </si>
  <si>
    <t>http://portal.gzhi.mosreg.ru/dom/common.php?id_dom=166161</t>
  </si>
  <si>
    <t>http://portal.gzhi.mosreg.ru/dom/common.php?id_dom=166251</t>
  </si>
  <si>
    <t>http://portal.gzhi.mosreg.ru/dom/common.php?id_dom=166253</t>
  </si>
  <si>
    <t>http://portal.gzhi.mosreg.ru/dom/common.php?id_dom=167040</t>
  </si>
  <si>
    <t>http://portal.gzhi.mosreg.ru/dom/common.php?id_dom=167041</t>
  </si>
  <si>
    <t>http://portal.gzhi.mosreg.ru/dom/common.php?id_dom=167042</t>
  </si>
  <si>
    <t>http://portal.gzhi.mosreg.ru/dom/common.php?id_dom=167053</t>
  </si>
  <si>
    <t>http://portal.gzhi.mosreg.ru/dom/common.php?id_dom=167058</t>
  </si>
  <si>
    <t>http://portal.gzhi.mosreg.ru/dom/common.php?id_dom=167059</t>
  </si>
  <si>
    <t>http://portal.gzhi.mosreg.ru/dom/common.php?id_dom=167054</t>
  </si>
  <si>
    <t>http://portal.gzhi.mosreg.ru/dom/common.php?id_dom=167055</t>
  </si>
  <si>
    <t>http://portal.gzhi.mosreg.ru/dom/common.php?id_dom=167056</t>
  </si>
  <si>
    <t>http://portal.gzhi.mosreg.ru/dom/common.php?id_dom=167057</t>
  </si>
  <si>
    <t>http://portal.gzhi.mosreg.ru/dom/common.php?id_dom=166796</t>
  </si>
  <si>
    <t>http://portal.gzhi.mosreg.ru/dom/common.php?id_dom=166802</t>
  </si>
  <si>
    <t>http://portal.gzhi.mosreg.ru/dom/common.php?id_dom=167597</t>
  </si>
  <si>
    <t>http://portal.gzhi.mosreg.ru/dom/common.php?id_dom=167626</t>
  </si>
  <si>
    <t>http://portal.gzhi.mosreg.ru/dom/common.php?id_dom=167598</t>
  </si>
  <si>
    <t>http://portal.gzhi.mosreg.ru/dom/common.php?id_dom=167602</t>
  </si>
  <si>
    <t>http://portal.gzhi.mosreg.ru/dom/common.php?id_dom=167612</t>
  </si>
  <si>
    <t>http://portal.gzhi.mosreg.ru/dom/common.php?id_dom=167619</t>
  </si>
  <si>
    <t>http://portal.gzhi.mosreg.ru/dom/common.php?id_dom=167621</t>
  </si>
  <si>
    <t>http://portal.gzhi.mosreg.ru/dom/common.php?id_dom=166770</t>
  </si>
  <si>
    <t>http://portal.gzhi.mosreg.ru/dom/common.php?id_dom=166772</t>
  </si>
  <si>
    <t>http://portal.gzhi.mosreg.ru/dom/common.php?id_dom=171509</t>
  </si>
  <si>
    <t>http://portal.gzhi.mosreg.ru/dom/common.php?id_dom=171517</t>
  </si>
  <si>
    <t>http://portal.gzhi.mosreg.ru/dom/common.php?id_dom=171502</t>
  </si>
  <si>
    <t>http://portal.gzhi.mosreg.ru/dom/common.php?id_dom=171657</t>
  </si>
  <si>
    <t>http://portal.gzhi.mosreg.ru/dom/common.php?id_dom=171697</t>
  </si>
  <si>
    <t>http://portal.gzhi.mosreg.ru/dom/common.php?id_dom=171714</t>
  </si>
  <si>
    <t>http://portal.gzhi.mosreg.ru/dom/common.php?id_dom=171781</t>
  </si>
  <si>
    <t>http://portal.gzhi.mosreg.ru/dom/common.php?id_dom=171795</t>
  </si>
  <si>
    <t>http://portal.gzhi.mosreg.ru/dom/common.php?id_dom=171894</t>
  </si>
  <si>
    <t>http://portal.gzhi.mosreg.ru/dom/common.php?id_dom=171887</t>
  </si>
  <si>
    <t>http://portal.gzhi.mosreg.ru/dom/common.php?id_dom=171993</t>
  </si>
  <si>
    <t>http://portal.gzhi.mosreg.ru/dom/common.php?id_dom=115420</t>
  </si>
  <si>
    <t>http://portal.gzhi.mosreg.ru/dom/common.php?id_dom=176754</t>
  </si>
  <si>
    <t>http://portal.gzhi.mosreg.ru/dom/common.php?id_dom=118222</t>
  </si>
  <si>
    <t>http://portal.gzhi.mosreg.ru/dom/common.php?id_dom=115294</t>
  </si>
  <si>
    <t>http://portal.gzhi.mosreg.ru/dom/common.php?id_dom=115003</t>
  </si>
  <si>
    <t>http://portal.gzhi.mosreg.ru/dom/common.php?id_dom=114519</t>
  </si>
  <si>
    <t>http://portal.gzhi.mosreg.ru/dom/common.php?id_dom=115222</t>
  </si>
  <si>
    <t>http://portal.gzhi.mosreg.ru/dom/common.php?id_dom=115223</t>
  </si>
  <si>
    <t>http://portal.gzhi.mosreg.ru/dom/common.php?id_dom=115225</t>
  </si>
  <si>
    <t>http://portal.gzhi.mosreg.ru/dom/common.php?id_dom=115207</t>
  </si>
  <si>
    <t>http://portal.gzhi.mosreg.ru/dom/common.php?id_dom=114206</t>
  </si>
  <si>
    <t>http://portal.gzhi.mosreg.ru/dom/common.php?id_dom=114357</t>
  </si>
  <si>
    <t>http://portal.gzhi.mosreg.ru/dom/common.php?id_dom=114241</t>
  </si>
  <si>
    <t>http://portal.gzhi.mosreg.ru/dom/common.php?id_dom=114045</t>
  </si>
  <si>
    <t>http://portal.gzhi.mosreg.ru/dom/common.php?id_dom=114049</t>
  </si>
  <si>
    <t>http://portal.gzhi.mosreg.ru/dom/common.php?id_dom=114193</t>
  </si>
  <si>
    <t>http://portal.gzhi.mosreg.ru/dom/common.php?id_dom=114182</t>
  </si>
  <si>
    <t>http://portal.gzhi.mosreg.ru/dom/common.php?id_dom=114069</t>
  </si>
  <si>
    <t>http://portal.gzhi.mosreg.ru/dom/common.php?id_dom=114156</t>
  </si>
  <si>
    <t>http://portal.gzhi.mosreg.ru/dom/common.php?id_dom=139797</t>
  </si>
  <si>
    <t>http://portal.gzhi.mosreg.ru/dom/common.php?id_dom=174599</t>
  </si>
  <si>
    <t>http://portal.gzhi.mosreg.ru/dom/common.php?id_dom=131972</t>
  </si>
  <si>
    <t>http://portal.gzhi.mosreg.ru/dom/common.php?id_dom=131854</t>
  </si>
  <si>
    <t>http://portal.gzhi.mosreg.ru/dom/common.php?id_dom=131857</t>
  </si>
  <si>
    <t>http://portal.gzhi.mosreg.ru/dom/common.php?id_dom=131883</t>
  </si>
  <si>
    <t>http://portal.gzhi.mosreg.ru/dom/common.php?id_dom=143176</t>
  </si>
  <si>
    <t>http://portal.gzhi.mosreg.ru/dom/common.php?id_dom=143177</t>
  </si>
  <si>
    <t>http://portal.gzhi.mosreg.ru/dom/common.php?id_dom=160628</t>
  </si>
  <si>
    <t>http://portal.gzhi.mosreg.ru/dom/common.php?id_dom=160630</t>
  </si>
  <si>
    <t>http://portal.gzhi.mosreg.ru/dom/common.php?id_dom=160633</t>
  </si>
  <si>
    <t>http://portal.gzhi.mosreg.ru/dom/common.php?id_dom=160635</t>
  </si>
  <si>
    <t>http://portal.gzhi.mosreg.ru/dom/common.php?id_dom=160637</t>
  </si>
  <si>
    <t>http://portal.gzhi.mosreg.ru/dom/common.php?id_dom=160641</t>
  </si>
  <si>
    <t>http://portal.gzhi.mosreg.ru/dom/common.php?id_dom=160644</t>
  </si>
  <si>
    <t>http://portal.gzhi.mosreg.ru/dom/common.php?id_dom=160646</t>
  </si>
  <si>
    <t>http://portal.gzhi.mosreg.ru/dom/common.php?id_dom=160678</t>
  </si>
  <si>
    <t>http://portal.gzhi.mosreg.ru/dom/common.php?id_dom=160698</t>
  </si>
  <si>
    <t>http://portal.gzhi.mosreg.ru/dom/common.php?id_dom=160700</t>
  </si>
  <si>
    <t>http://portal.gzhi.mosreg.ru/dom/common.php?id_dom=161121</t>
  </si>
  <si>
    <t>http://portal.gzhi.mosreg.ru/dom/common.php?id_dom=160438</t>
  </si>
  <si>
    <t>http://portal.gzhi.mosreg.ru/dom/common.php?id_dom=160439</t>
  </si>
  <si>
    <t>http://portal.gzhi.mosreg.ru/dom/common.php?id_dom=160377</t>
  </si>
  <si>
    <t>http://portal.gzhi.mosreg.ru/dom/common.php?id_dom=160400</t>
  </si>
  <si>
    <t>http://portal.gzhi.mosreg.ru/dom/common.php?id_dom=162479</t>
  </si>
  <si>
    <t>http://portal.gzhi.mosreg.ru/dom/common.php?id_dom=176307</t>
  </si>
  <si>
    <t>http://portal.gzhi.mosreg.ru/dom/common.php?id_dom=176309</t>
  </si>
  <si>
    <t>http://portal.gzhi.mosreg.ru/dom/common.php?id_dom=143970</t>
  </si>
  <si>
    <t>http://portal.gzhi.mosreg.ru/dom/common.php?id_dom=143971</t>
  </si>
  <si>
    <t>http://portal.gzhi.mosreg.ru/dom/common.php?id_dom=165765</t>
  </si>
  <si>
    <t>http://portal.gzhi.mosreg.ru/dom/common.php?id_dom=165766</t>
  </si>
  <si>
    <t>http://portal.gzhi.mosreg.ru/dom/common.php?id_dom=165940</t>
  </si>
  <si>
    <t>http://portal.gzhi.mosreg.ru/dom/common.php?id_dom=145117</t>
  </si>
  <si>
    <t>http://portal.gzhi.mosreg.ru/dom/common.php?id_dom=145118</t>
  </si>
  <si>
    <t>http://portal.gzhi.mosreg.ru/dom/common.php?id_dom=144165</t>
  </si>
  <si>
    <t>http://portal.gzhi.mosreg.ru/dom/common.php?id_dom=144102</t>
  </si>
  <si>
    <t>http://portal.gzhi.mosreg.ru/dom/common.php?id_dom=144120</t>
  </si>
  <si>
    <t>http://portal.gzhi.mosreg.ru/dom/common.php?id_dom=143777</t>
  </si>
  <si>
    <t>http://portal.gzhi.mosreg.ru/dom/common.php?id_dom=144157</t>
  </si>
  <si>
    <t>http://portal.gzhi.mosreg.ru/dom/common.php?id_dom=144138</t>
  </si>
  <si>
    <t>http://portal.gzhi.mosreg.ru/dom/common.php?id_dom=143826</t>
  </si>
  <si>
    <t>http://portal.gzhi.mosreg.ru/dom/common.php?id_dom=143661</t>
  </si>
  <si>
    <t>http://portal.gzhi.mosreg.ru/dom/common.php?id_dom=143650</t>
  </si>
  <si>
    <t>http://portal.gzhi.mosreg.ru/dom/common.php?id_dom=143612</t>
  </si>
  <si>
    <t>http://portal.gzhi.mosreg.ru/dom/common.php?id_dom=120255</t>
  </si>
  <si>
    <t>http://portal.gzhi.mosreg.ru/dom/common.php?id_dom=120273</t>
  </si>
  <si>
    <t>http://portal.gzhi.mosreg.ru/dom/common.php?id_dom=120257</t>
  </si>
  <si>
    <t>http://portal.gzhi.mosreg.ru/dom/common.php?id_dom=120243</t>
  </si>
  <si>
    <t>http://portal.gzhi.mosreg.ru/dom/common.php?id_dom=120308</t>
  </si>
  <si>
    <t>http://portal.gzhi.mosreg.ru/dom/common.php?id_dom=142703</t>
  </si>
  <si>
    <t>http://portal.gzhi.mosreg.ru/dom/common.php?id_dom=142767</t>
  </si>
  <si>
    <t>http://portal.gzhi.mosreg.ru/dom/common.php?id_dom=142804</t>
  </si>
  <si>
    <t>http://portal.gzhi.mosreg.ru/dom/common.php?id_dom=142892</t>
  </si>
  <si>
    <t>http://portal.gzhi.mosreg.ru/dom/common.php?id_dom=142890</t>
  </si>
  <si>
    <t>http://portal.gzhi.mosreg.ru/dom/common.php?id_dom=142573</t>
  </si>
  <si>
    <t>http://portal.gzhi.mosreg.ru/dom/common.php?id_dom=142520</t>
  </si>
  <si>
    <t>http://portal.gzhi.mosreg.ru/dom/common.php?id_dom=142462</t>
  </si>
  <si>
    <t>http://portal.gzhi.mosreg.ru/dom/common.php?id_dom=157729</t>
  </si>
  <si>
    <t>http://portal.gzhi.mosreg.ru/dom/common.php?id_dom=158503</t>
  </si>
  <si>
    <t>http://portal.gzhi.mosreg.ru/dom/common.php?id_dom=177400</t>
  </si>
  <si>
    <t>http://portal.gzhi.mosreg.ru/dom/common.php?id_dom=157967</t>
  </si>
  <si>
    <t>http://portal.gzhi.mosreg.ru/dom/common.php?id_dom=159359</t>
  </si>
  <si>
    <t>http://portal.gzhi.mosreg.ru/dom/common.php?id_dom=146309</t>
  </si>
  <si>
    <t>http://portal.gzhi.mosreg.ru/dom/common.php?id_dom=146314</t>
  </si>
  <si>
    <t>http://portal.gzhi.mosreg.ru/dom/common.php?id_dom=146310</t>
  </si>
  <si>
    <t>http://portal.gzhi.mosreg.ru/dom/common.php?id_dom=146312</t>
  </si>
  <si>
    <t>http://portal.gzhi.mosreg.ru/dom/common.php?id_dom=146313</t>
  </si>
  <si>
    <t>http://portal.gzhi.mosreg.ru/dom/common.php?id_dom=146718</t>
  </si>
  <si>
    <t>http://portal.gzhi.mosreg.ru/dom/common.php?id_dom=146719</t>
  </si>
  <si>
    <t>http://portal.gzhi.mosreg.ru/dom/common.php?id_dom=146165</t>
  </si>
  <si>
    <t>http://portal.gzhi.mosreg.ru/dom/common.php?id_dom=146303</t>
  </si>
  <si>
    <t>http://portal.gzhi.mosreg.ru/dom/common.php?id_dom=146304</t>
  </si>
  <si>
    <t>http://portal.gzhi.mosreg.ru/dom/common.php?id_dom=146305</t>
  </si>
  <si>
    <t>http://portal.gzhi.mosreg.ru/dom/common.php?id_dom=146306</t>
  </si>
  <si>
    <t>http://portal.gzhi.mosreg.ru/dom/common.php?id_dom=146363</t>
  </si>
  <si>
    <t>http://portal.gzhi.mosreg.ru/dom/common.php?id_dom=146257</t>
  </si>
  <si>
    <t>http://portal.gzhi.mosreg.ru/dom/common.php?id_dom=145804</t>
  </si>
  <si>
    <t>http://portal.gzhi.mosreg.ru/dom/common.php?id_dom=146274</t>
  </si>
  <si>
    <t>http://portal.gzhi.mosreg.ru/dom/common.php?id_dom=146164</t>
  </si>
  <si>
    <t>http://portal.gzhi.mosreg.ru/dom/common.php?id_dom=146637</t>
  </si>
  <si>
    <t>http://portal.gzhi.mosreg.ru/dom/common.php?id_dom=145874</t>
  </si>
  <si>
    <t>http://portal.gzhi.mosreg.ru/dom/common.php?id_dom=146650</t>
  </si>
  <si>
    <t>http://portal.gzhi.mosreg.ru/dom/common.php?id_dom=146045</t>
  </si>
  <si>
    <t>http://portal.gzhi.mosreg.ru/dom/common.php?id_dom=145787</t>
  </si>
  <si>
    <t>http://portal.gzhi.mosreg.ru/dom/common.php?id_dom=146892</t>
  </si>
  <si>
    <t>http://portal.gzhi.mosreg.ru/dom/common.php?id_dom=146929</t>
  </si>
  <si>
    <t>http://portal.gzhi.mosreg.ru/dom/common.php?id_dom=146097</t>
  </si>
  <si>
    <t>http://portal.gzhi.mosreg.ru/dom/common.php?id_dom=146099</t>
  </si>
  <si>
    <t>http://portal.gzhi.mosreg.ru/dom/common.php?id_dom=146251</t>
  </si>
  <si>
    <t>http://portal.gzhi.mosreg.ru/dom/common.php?id_dom=146103</t>
  </si>
  <si>
    <t>http://portal.gzhi.mosreg.ru/dom/common.php?id_dom=146263</t>
  </si>
  <si>
    <t>http://portal.gzhi.mosreg.ru/dom/common.php?id_dom=146772</t>
  </si>
  <si>
    <t>http://portal.gzhi.mosreg.ru/dom/common.php?id_dom=156087</t>
  </si>
  <si>
    <t>http://portal.gzhi.mosreg.ru/dom/common.php?id_dom=156082</t>
  </si>
  <si>
    <t>http://portal.gzhi.mosreg.ru/dom/common.php?id_dom=155689</t>
  </si>
  <si>
    <t>http://portal.gzhi.mosreg.ru/dom/common.php?id_dom=156079</t>
  </si>
  <si>
    <t>http://portal.gzhi.mosreg.ru/dom/common.php?id_dom=156080</t>
  </si>
  <si>
    <t>http://portal.gzhi.mosreg.ru/dom/common.php?id_dom=156584</t>
  </si>
  <si>
    <t>http://portal.gzhi.mosreg.ru/dom/common.php?id_dom=156586</t>
  </si>
  <si>
    <t>http://portal.gzhi.mosreg.ru/dom/common.php?id_dom=156572</t>
  </si>
  <si>
    <t>http://portal.gzhi.mosreg.ru/dom/common.php?id_dom=156573</t>
  </si>
  <si>
    <t>http://portal.gzhi.mosreg.ru/dom/common.php?id_dom=156574</t>
  </si>
  <si>
    <t>http://portal.gzhi.mosreg.ru/dom/common.php?id_dom=155710</t>
  </si>
  <si>
    <t>http://portal.gzhi.mosreg.ru/dom/common.php?id_dom=155709</t>
  </si>
  <si>
    <t>http://portal.gzhi.mosreg.ru/dom/common.php?id_dom=147612</t>
  </si>
  <si>
    <t>http://portal.gzhi.mosreg.ru/dom/common.php?id_dom=147425</t>
  </si>
  <si>
    <t>http://portal.gzhi.mosreg.ru/dom/common.php?id_dom=147482</t>
  </si>
  <si>
    <t>http://portal.gzhi.mosreg.ru/dom/common.php?id_dom=155504</t>
  </si>
  <si>
    <t>http://portal.gzhi.mosreg.ru/dom/common.php?id_dom=172237</t>
  </si>
  <si>
    <t>http://portal.gzhi.mosreg.ru/dom/common.php?id_dom=172371</t>
  </si>
  <si>
    <t>http://portal.gzhi.mosreg.ru/dom/common.php?id_dom=148310</t>
  </si>
  <si>
    <t>http://portal.gzhi.mosreg.ru/dom/common.php?id_dom=126847</t>
  </si>
  <si>
    <t>http://portal.gzhi.mosreg.ru/dom/common.php?id_dom=125560</t>
  </si>
  <si>
    <t>http://portal.gzhi.mosreg.ru/dom/common.php?id_dom=125571</t>
  </si>
  <si>
    <t>http://portal.gzhi.mosreg.ru/dom/common.php?id_dom=131706</t>
  </si>
  <si>
    <t>http://portal.gzhi.mosreg.ru/dom/common.php?id_dom=131738</t>
  </si>
  <si>
    <t>http://portal.gzhi.mosreg.ru/dom/common.php?id_dom=135514</t>
  </si>
  <si>
    <t>http://portal.gzhi.mosreg.ru/dom/common.php?id_dom=135517</t>
  </si>
  <si>
    <t>http://portal.gzhi.mosreg.ru/dom/common.php?id_dom=135330</t>
  </si>
  <si>
    <t>http://portal.gzhi.mosreg.ru/dom/common.php?id_dom=135634</t>
  </si>
  <si>
    <t>http://portal.gzhi.mosreg.ru/dom/common.php?id_dom=135635</t>
  </si>
  <si>
    <t>http://portal.gzhi.mosreg.ru/dom/common.php?id_dom=135636</t>
  </si>
  <si>
    <t>http://portal.gzhi.mosreg.ru/dom/common.php?id_dom=135581</t>
  </si>
  <si>
    <t>http://portal.gzhi.mosreg.ru/dom/common.php?id_dom=135584</t>
  </si>
  <si>
    <t>http://portal.gzhi.mosreg.ru/dom/common.php?id_dom=131662</t>
  </si>
  <si>
    <t>http://portal.gzhi.mosreg.ru/dom/common.php?id_dom=134169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</si>
</sst>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70C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0"/>
      <name val="Times New Roman"/>
      <family val="1"/>
      <charset val="204"/>
    </font>
    <font>
      <b/>
      <sz val="12"/>
      <color rgb="FF0070C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3" fillId="2" borderId="2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4" fillId="2" borderId="1" xfId="2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2" borderId="0" xfId="3" applyFill="1"/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2" applyNumberFormat="1" applyFont="1" applyFill="1" applyBorder="1" applyAlignment="1">
      <alignment horizontal="center" vertical="center" wrapText="1"/>
    </xf>
    <xf numFmtId="0" fontId="6" fillId="0" borderId="0" xfId="3"/>
    <xf numFmtId="1" fontId="5" fillId="2" borderId="0" xfId="0" applyNumberFormat="1" applyFont="1" applyFill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0" fontId="4" fillId="3" borderId="1" xfId="3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9" fontId="4" fillId="3" borderId="1" xfId="2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4" fontId="4" fillId="4" borderId="1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4" fontId="4" fillId="2" borderId="4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/>
    <xf numFmtId="4" fontId="5" fillId="2" borderId="0" xfId="0" applyNumberFormat="1" applyFont="1" applyFill="1"/>
    <xf numFmtId="49" fontId="4" fillId="2" borderId="0" xfId="0" applyNumberFormat="1" applyFont="1" applyFill="1" applyBorder="1" applyAlignment="1">
      <alignment horizontal="center" vertical="center"/>
    </xf>
    <xf numFmtId="4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4" fontId="11" fillId="2" borderId="0" xfId="0" applyNumberFormat="1" applyFont="1" applyFill="1"/>
    <xf numFmtId="0" fontId="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">
    <cellStyle name="Гиперссылка" xfId="3" builtinId="8"/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kd.gzhi.oviont.com/dom/common.php?id_dom=129674" TargetMode="External"/><Relationship Id="rId299" Type="http://schemas.openxmlformats.org/officeDocument/2006/relationships/hyperlink" Target="http://mkd.gzhi.oviont.com/dom/common.php?id_dom=160644" TargetMode="External"/><Relationship Id="rId21" Type="http://schemas.openxmlformats.org/officeDocument/2006/relationships/hyperlink" Target="http://mkd.gzhi.oviont.com/dom/common.php?id_dom=152642" TargetMode="External"/><Relationship Id="rId63" Type="http://schemas.openxmlformats.org/officeDocument/2006/relationships/hyperlink" Target="http://mkd.gzhi.oviont.com/dom/common.php?id_dom=153467" TargetMode="External"/><Relationship Id="rId159" Type="http://schemas.openxmlformats.org/officeDocument/2006/relationships/hyperlink" Target="http://mkd.gzhi.oviont.com/dom/common.php?id_dom=152869" TargetMode="External"/><Relationship Id="rId324" Type="http://schemas.openxmlformats.org/officeDocument/2006/relationships/hyperlink" Target="http://mkd.gzhi.oviont.com/dom/common.php?id_dom=144138" TargetMode="External"/><Relationship Id="rId366" Type="http://schemas.openxmlformats.org/officeDocument/2006/relationships/hyperlink" Target="http://mkd.gzhi.oviont.com/dom/common.php?id_dom=146650" TargetMode="External"/><Relationship Id="rId170" Type="http://schemas.openxmlformats.org/officeDocument/2006/relationships/hyperlink" Target="http://mkd.gzhi.oviont.com/dom/common.php?id_dom=163078" TargetMode="External"/><Relationship Id="rId226" Type="http://schemas.openxmlformats.org/officeDocument/2006/relationships/hyperlink" Target="http://mkd.gzhi.oviont.com/dom/common.php?id_dom=166164" TargetMode="External"/><Relationship Id="rId268" Type="http://schemas.openxmlformats.org/officeDocument/2006/relationships/hyperlink" Target="http://mkd.gzhi.oviont.com/dom/common.php?id_dom=118222" TargetMode="External"/><Relationship Id="rId32" Type="http://schemas.openxmlformats.org/officeDocument/2006/relationships/hyperlink" Target="http://mkd.gzhi.oviont.com/dom/common.php?id_dom=152870" TargetMode="External"/><Relationship Id="rId74" Type="http://schemas.openxmlformats.org/officeDocument/2006/relationships/hyperlink" Target="http://mkd.gzhi.oviont.com/dom/common.php?id_dom=153098" TargetMode="External"/><Relationship Id="rId128" Type="http://schemas.openxmlformats.org/officeDocument/2006/relationships/hyperlink" Target="http://mkd.gzhi.oviont.com/dom/common.php?id_dom=132758" TargetMode="External"/><Relationship Id="rId335" Type="http://schemas.openxmlformats.org/officeDocument/2006/relationships/hyperlink" Target="http://mkd.gzhi.oviont.com/dom/common.php?id_dom=142767" TargetMode="External"/><Relationship Id="rId377" Type="http://schemas.openxmlformats.org/officeDocument/2006/relationships/hyperlink" Target="http://mkd.gzhi.oviont.com/dom/common.php?id_dom=156087" TargetMode="External"/><Relationship Id="rId5" Type="http://schemas.openxmlformats.org/officeDocument/2006/relationships/hyperlink" Target="http://mkd.gzhi.oviont.com/dom/common.php?id_dom=168648" TargetMode="External"/><Relationship Id="rId181" Type="http://schemas.openxmlformats.org/officeDocument/2006/relationships/hyperlink" Target="http://mkd.gzhi.oviont.com/dom/common.php?id_dom=137094" TargetMode="External"/><Relationship Id="rId237" Type="http://schemas.openxmlformats.org/officeDocument/2006/relationships/hyperlink" Target="http://mkd.gzhi.oviont.com/dom/common.php?id_dom=167059" TargetMode="External"/><Relationship Id="rId402" Type="http://schemas.openxmlformats.org/officeDocument/2006/relationships/hyperlink" Target="http://mkd.gzhi.oviont.com/dom/common.php?id_dom=135514" TargetMode="External"/><Relationship Id="rId279" Type="http://schemas.openxmlformats.org/officeDocument/2006/relationships/hyperlink" Target="http://mkd.gzhi.oviont.com/dom/common.php?id_dom=114045" TargetMode="External"/><Relationship Id="rId43" Type="http://schemas.openxmlformats.org/officeDocument/2006/relationships/hyperlink" Target="http://mkd.gzhi.oviont.com/dom/common.php?id_dom=152883" TargetMode="External"/><Relationship Id="rId139" Type="http://schemas.openxmlformats.org/officeDocument/2006/relationships/hyperlink" Target="http://mkd.gzhi.oviont.com/dom/common.php?id_dom=171214" TargetMode="External"/><Relationship Id="rId290" Type="http://schemas.openxmlformats.org/officeDocument/2006/relationships/hyperlink" Target="http://mkd.gzhi.oviont.com/dom/common.php?id_dom=131883" TargetMode="External"/><Relationship Id="rId304" Type="http://schemas.openxmlformats.org/officeDocument/2006/relationships/hyperlink" Target="http://mkd.gzhi.oviont.com/dom/common.php?id_dom=161121" TargetMode="External"/><Relationship Id="rId346" Type="http://schemas.openxmlformats.org/officeDocument/2006/relationships/hyperlink" Target="http://mkd.gzhi.oviont.com/dom/common.php?id_dom=159359" TargetMode="External"/><Relationship Id="rId388" Type="http://schemas.openxmlformats.org/officeDocument/2006/relationships/hyperlink" Target="http://mkd.gzhi.oviont.com/dom/common.php?id_dom=155709" TargetMode="External"/><Relationship Id="rId85" Type="http://schemas.openxmlformats.org/officeDocument/2006/relationships/hyperlink" Target="http://mkd.gzhi.oviont.com/dom/common.php?id_dom=125986" TargetMode="External"/><Relationship Id="rId150" Type="http://schemas.openxmlformats.org/officeDocument/2006/relationships/hyperlink" Target="http://mkd.gzhi.oviont.com/dom/common.php?id_dom=153540" TargetMode="External"/><Relationship Id="rId192" Type="http://schemas.openxmlformats.org/officeDocument/2006/relationships/hyperlink" Target="http://mkd.gzhi.oviont.com/dom/common.php?id_dom=131415" TargetMode="External"/><Relationship Id="rId206" Type="http://schemas.openxmlformats.org/officeDocument/2006/relationships/hyperlink" Target="http://mkd.gzhi.oviont.com/dom/common.php?id_dom=165272" TargetMode="External"/><Relationship Id="rId413" Type="http://schemas.openxmlformats.org/officeDocument/2006/relationships/vmlDrawing" Target="../drawings/vmlDrawing1.vml"/><Relationship Id="rId248" Type="http://schemas.openxmlformats.org/officeDocument/2006/relationships/hyperlink" Target="http://mkd.gzhi.oviont.com/dom/common.php?id_dom=167602" TargetMode="External"/><Relationship Id="rId12" Type="http://schemas.openxmlformats.org/officeDocument/2006/relationships/hyperlink" Target="http://mkd.gzhi.oviont.com/dom/common.php?id_dom=169388" TargetMode="External"/><Relationship Id="rId108" Type="http://schemas.openxmlformats.org/officeDocument/2006/relationships/hyperlink" Target="http://mkd.gzhi.oviont.com/dom/common.php?id_dom=156830" TargetMode="External"/><Relationship Id="rId315" Type="http://schemas.openxmlformats.org/officeDocument/2006/relationships/hyperlink" Target="http://mkd.gzhi.oviont.com/dom/common.php?id_dom=165766" TargetMode="External"/><Relationship Id="rId357" Type="http://schemas.openxmlformats.org/officeDocument/2006/relationships/hyperlink" Target="http://mkd.gzhi.oviont.com/dom/common.php?id_dom=146305" TargetMode="External"/><Relationship Id="rId54" Type="http://schemas.openxmlformats.org/officeDocument/2006/relationships/hyperlink" Target="http://mkd.gzhi.oviont.com/dom/common.php?id_dom=153182" TargetMode="External"/><Relationship Id="rId96" Type="http://schemas.openxmlformats.org/officeDocument/2006/relationships/hyperlink" Target="http://mkd.gzhi.oviont.com/dom/common.php?id_dom=127840" TargetMode="External"/><Relationship Id="rId161" Type="http://schemas.openxmlformats.org/officeDocument/2006/relationships/hyperlink" Target="http://mkd.gzhi.oviont.com/dom/common.php?id_dom=168134" TargetMode="External"/><Relationship Id="rId217" Type="http://schemas.openxmlformats.org/officeDocument/2006/relationships/hyperlink" Target="http://mkd.gzhi.oviont.com/dom/common.php?id_dom=134769" TargetMode="External"/><Relationship Id="rId399" Type="http://schemas.openxmlformats.org/officeDocument/2006/relationships/hyperlink" Target="http://mkd.gzhi.oviont.com/dom/common.php?id_dom=131738" TargetMode="External"/><Relationship Id="rId259" Type="http://schemas.openxmlformats.org/officeDocument/2006/relationships/hyperlink" Target="http://mkd.gzhi.oviont.com/dom/common.php?id_dom=171697" TargetMode="External"/><Relationship Id="rId23" Type="http://schemas.openxmlformats.org/officeDocument/2006/relationships/hyperlink" Target="http://mkd.gzhi.oviont.com/dom/common.php?id_dom=152761" TargetMode="External"/><Relationship Id="rId119" Type="http://schemas.openxmlformats.org/officeDocument/2006/relationships/hyperlink" Target="http://mkd.gzhi.oviont.com/dom/common.php?id_dom=130429" TargetMode="External"/><Relationship Id="rId270" Type="http://schemas.openxmlformats.org/officeDocument/2006/relationships/hyperlink" Target="http://mkd.gzhi.oviont.com/dom/common.php?id_dom=115003" TargetMode="External"/><Relationship Id="rId326" Type="http://schemas.openxmlformats.org/officeDocument/2006/relationships/hyperlink" Target="http://mkd.gzhi.oviont.com/dom/common.php?id_dom=143650" TargetMode="External"/><Relationship Id="rId65" Type="http://schemas.openxmlformats.org/officeDocument/2006/relationships/hyperlink" Target="http://mkd.gzhi.oviont.com/dom/common.php?id_dom=153471" TargetMode="External"/><Relationship Id="rId130" Type="http://schemas.openxmlformats.org/officeDocument/2006/relationships/hyperlink" Target="http://mkd.gzhi.oviont.com/dom/common.php?id_dom=133161" TargetMode="External"/><Relationship Id="rId368" Type="http://schemas.openxmlformats.org/officeDocument/2006/relationships/hyperlink" Target="http://mkd.gzhi.oviont.com/dom/common.php?id_dom=145787" TargetMode="External"/><Relationship Id="rId172" Type="http://schemas.openxmlformats.org/officeDocument/2006/relationships/hyperlink" Target="http://mkd.gzhi.oviont.com/dom/common.php?id_dom=163126" TargetMode="External"/><Relationship Id="rId228" Type="http://schemas.openxmlformats.org/officeDocument/2006/relationships/hyperlink" Target="http://mkd.gzhi.oviont.com/dom/common.php?id_dom=166164" TargetMode="External"/><Relationship Id="rId281" Type="http://schemas.openxmlformats.org/officeDocument/2006/relationships/hyperlink" Target="http://mkd.gzhi.oviont.com/dom/common.php?id_dom=114193" TargetMode="External"/><Relationship Id="rId337" Type="http://schemas.openxmlformats.org/officeDocument/2006/relationships/hyperlink" Target="http://mkd.gzhi.oviont.com/dom/common.php?id_dom=142892" TargetMode="External"/><Relationship Id="rId34" Type="http://schemas.openxmlformats.org/officeDocument/2006/relationships/hyperlink" Target="http://mkd.gzhi.oviont.com/dom/common.php?id_dom=152872" TargetMode="External"/><Relationship Id="rId76" Type="http://schemas.openxmlformats.org/officeDocument/2006/relationships/hyperlink" Target="http://mkd.gzhi.oviont.com/dom/common.php?id_dom=153215" TargetMode="External"/><Relationship Id="rId141" Type="http://schemas.openxmlformats.org/officeDocument/2006/relationships/hyperlink" Target="http://mkd.gzhi.oviont.com/dom/common.php?id_dom=153173" TargetMode="External"/><Relationship Id="rId379" Type="http://schemas.openxmlformats.org/officeDocument/2006/relationships/hyperlink" Target="http://mkd.gzhi.oviont.com/dom/common.php?id_dom=156079" TargetMode="External"/><Relationship Id="rId7" Type="http://schemas.openxmlformats.org/officeDocument/2006/relationships/hyperlink" Target="http://mkd.gzhi.oviont.com/dom/common.php?id_dom=175078" TargetMode="External"/><Relationship Id="rId183" Type="http://schemas.openxmlformats.org/officeDocument/2006/relationships/hyperlink" Target="http://mkd.gzhi.oviont.com/dom/common.php?id_dom=122224" TargetMode="External"/><Relationship Id="rId239" Type="http://schemas.openxmlformats.org/officeDocument/2006/relationships/hyperlink" Target="http://mkd.gzhi.oviont.com/dom/common.php?id_dom=167055" TargetMode="External"/><Relationship Id="rId390" Type="http://schemas.openxmlformats.org/officeDocument/2006/relationships/hyperlink" Target="http://mkd.gzhi.oviont.com/dom/common.php?id_dom=147425" TargetMode="External"/><Relationship Id="rId404" Type="http://schemas.openxmlformats.org/officeDocument/2006/relationships/hyperlink" Target="http://mkd.gzhi.oviont.com/dom/common.php?id_dom=135330" TargetMode="External"/><Relationship Id="rId250" Type="http://schemas.openxmlformats.org/officeDocument/2006/relationships/hyperlink" Target="http://mkd.gzhi.oviont.com/dom/common.php?id_dom=167619" TargetMode="External"/><Relationship Id="rId292" Type="http://schemas.openxmlformats.org/officeDocument/2006/relationships/hyperlink" Target="http://mkd.gzhi.oviont.com/dom/common.php?id_dom=143176" TargetMode="External"/><Relationship Id="rId306" Type="http://schemas.openxmlformats.org/officeDocument/2006/relationships/hyperlink" Target="http://mkd.gzhi.oviont.com/dom/common.php?id_dom=160439" TargetMode="External"/><Relationship Id="rId45" Type="http://schemas.openxmlformats.org/officeDocument/2006/relationships/hyperlink" Target="http://mkd.gzhi.oviont.com/dom/common.php?id_dom=152885" TargetMode="External"/><Relationship Id="rId87" Type="http://schemas.openxmlformats.org/officeDocument/2006/relationships/hyperlink" Target="http://mkd.gzhi.oviont.com/dom/common.php?id_dom=125994" TargetMode="External"/><Relationship Id="rId110" Type="http://schemas.openxmlformats.org/officeDocument/2006/relationships/hyperlink" Target="http://mkd.gzhi.oviont.com/dom/common.php?id_dom=151213" TargetMode="External"/><Relationship Id="rId348" Type="http://schemas.openxmlformats.org/officeDocument/2006/relationships/hyperlink" Target="http://mkd.gzhi.oviont.com/dom/common.php?id_dom=146314" TargetMode="External"/><Relationship Id="rId152" Type="http://schemas.openxmlformats.org/officeDocument/2006/relationships/hyperlink" Target="http://mkd.gzhi.oviont.com/dom/common.php?id_dom=152804" TargetMode="External"/><Relationship Id="rId194" Type="http://schemas.openxmlformats.org/officeDocument/2006/relationships/hyperlink" Target="http://mkd.gzhi.oviont.com/dom/common.php?id_dom=130801" TargetMode="External"/><Relationship Id="rId208" Type="http://schemas.openxmlformats.org/officeDocument/2006/relationships/hyperlink" Target="http://mkd.gzhi.oviont.com/dom/common.php?id_dom=165299" TargetMode="External"/><Relationship Id="rId261" Type="http://schemas.openxmlformats.org/officeDocument/2006/relationships/hyperlink" Target="http://mkd.gzhi.oviont.com/dom/common.php?id_dom=171781" TargetMode="External"/><Relationship Id="rId14" Type="http://schemas.openxmlformats.org/officeDocument/2006/relationships/hyperlink" Target="http://mkd.gzhi.oviont.com/dom/common.php?id_dom=122665" TargetMode="External"/><Relationship Id="rId56" Type="http://schemas.openxmlformats.org/officeDocument/2006/relationships/hyperlink" Target="http://mkd.gzhi.oviont.com/dom/common.php?id_dom=153341" TargetMode="External"/><Relationship Id="rId317" Type="http://schemas.openxmlformats.org/officeDocument/2006/relationships/hyperlink" Target="http://mkd.gzhi.oviont.com/dom/common.php?id_dom=145117" TargetMode="External"/><Relationship Id="rId359" Type="http://schemas.openxmlformats.org/officeDocument/2006/relationships/hyperlink" Target="http://mkd.gzhi.oviont.com/dom/common.php?id_dom=146363" TargetMode="External"/><Relationship Id="rId98" Type="http://schemas.openxmlformats.org/officeDocument/2006/relationships/hyperlink" Target="http://mkd.gzhi.oviont.com/dom/common.php?id_dom=170765" TargetMode="External"/><Relationship Id="rId121" Type="http://schemas.openxmlformats.org/officeDocument/2006/relationships/hyperlink" Target="http://mkd.gzhi.oviont.com/dom/common.php?id_dom=130446" TargetMode="External"/><Relationship Id="rId163" Type="http://schemas.openxmlformats.org/officeDocument/2006/relationships/hyperlink" Target="http://mkd.gzhi.oviont.com/dom/common.php?id_dom=168136" TargetMode="External"/><Relationship Id="rId219" Type="http://schemas.openxmlformats.org/officeDocument/2006/relationships/hyperlink" Target="http://mkd.gzhi.oviont.com/dom/common.php?id_dom=173096" TargetMode="External"/><Relationship Id="rId370" Type="http://schemas.openxmlformats.org/officeDocument/2006/relationships/hyperlink" Target="http://mkd.gzhi.oviont.com/dom/common.php?id_dom=146929" TargetMode="External"/><Relationship Id="rId230" Type="http://schemas.openxmlformats.org/officeDocument/2006/relationships/hyperlink" Target="http://mkd.gzhi.oviont.com/dom/common.php?id_dom=166253" TargetMode="External"/><Relationship Id="rId25" Type="http://schemas.openxmlformats.org/officeDocument/2006/relationships/hyperlink" Target="http://mkd.gzhi.oviont.com/dom/common.php?id_dom=152682" TargetMode="External"/><Relationship Id="rId67" Type="http://schemas.openxmlformats.org/officeDocument/2006/relationships/hyperlink" Target="http://mkd.gzhi.oviont.com/dom/common.php?id_dom=153475" TargetMode="External"/><Relationship Id="rId272" Type="http://schemas.openxmlformats.org/officeDocument/2006/relationships/hyperlink" Target="http://mkd.gzhi.oviont.com/dom/common.php?id_dom=115222" TargetMode="External"/><Relationship Id="rId328" Type="http://schemas.openxmlformats.org/officeDocument/2006/relationships/hyperlink" Target="http://mkd.gzhi.oviont.com/dom/common.php?id_dom=143612" TargetMode="External"/><Relationship Id="rId132" Type="http://schemas.openxmlformats.org/officeDocument/2006/relationships/hyperlink" Target="http://mkd.gzhi.oviont.com/dom/common.php?id_dom=132360" TargetMode="External"/><Relationship Id="rId174" Type="http://schemas.openxmlformats.org/officeDocument/2006/relationships/hyperlink" Target="http://mkd.gzhi.oviont.com/dom/common.php?id_dom=163123" TargetMode="External"/><Relationship Id="rId381" Type="http://schemas.openxmlformats.org/officeDocument/2006/relationships/hyperlink" Target="http://mkd.gzhi.oviont.com/dom/common.php?id_dom=155689" TargetMode="External"/><Relationship Id="rId241" Type="http://schemas.openxmlformats.org/officeDocument/2006/relationships/hyperlink" Target="http://mkd.gzhi.oviont.com/dom/common.php?id_dom=167057" TargetMode="External"/><Relationship Id="rId36" Type="http://schemas.openxmlformats.org/officeDocument/2006/relationships/hyperlink" Target="http://mkd.gzhi.oviont.com/dom/common.php?id_dom=153024" TargetMode="External"/><Relationship Id="rId283" Type="http://schemas.openxmlformats.org/officeDocument/2006/relationships/hyperlink" Target="http://mkd.gzhi.oviont.com/dom/common.php?id_dom=114069" TargetMode="External"/><Relationship Id="rId339" Type="http://schemas.openxmlformats.org/officeDocument/2006/relationships/hyperlink" Target="http://mkd.gzhi.oviont.com/dom/common.php?id_dom=142573" TargetMode="External"/><Relationship Id="rId78" Type="http://schemas.openxmlformats.org/officeDocument/2006/relationships/hyperlink" Target="http://mkd.gzhi.oviont.com/dom/common.php?id_dom=125978" TargetMode="External"/><Relationship Id="rId101" Type="http://schemas.openxmlformats.org/officeDocument/2006/relationships/hyperlink" Target="http://mkd.gzhi.oviont.com/dom/common.php?id_dom=170763" TargetMode="External"/><Relationship Id="rId143" Type="http://schemas.openxmlformats.org/officeDocument/2006/relationships/hyperlink" Target="http://mkd.gzhi.oviont.com/dom/common.php?id_dom=153260" TargetMode="External"/><Relationship Id="rId185" Type="http://schemas.openxmlformats.org/officeDocument/2006/relationships/hyperlink" Target="http://mkd.gzhi.oviont.com/dom/common.php?id_dom=131431" TargetMode="External"/><Relationship Id="rId350" Type="http://schemas.openxmlformats.org/officeDocument/2006/relationships/hyperlink" Target="http://mkd.gzhi.oviont.com/dom/common.php?id_dom=146312" TargetMode="External"/><Relationship Id="rId406" Type="http://schemas.openxmlformats.org/officeDocument/2006/relationships/hyperlink" Target="http://mkd.gzhi.oviont.com/dom/common.php?id_dom=135635" TargetMode="External"/><Relationship Id="rId9" Type="http://schemas.openxmlformats.org/officeDocument/2006/relationships/hyperlink" Target="http://mkd.gzhi.oviont.com/dom/common.php?id_dom=168368" TargetMode="External"/><Relationship Id="rId210" Type="http://schemas.openxmlformats.org/officeDocument/2006/relationships/hyperlink" Target="http://mkd.gzhi.oviont.com/dom/common.php?id_dom=133893" TargetMode="External"/><Relationship Id="rId392" Type="http://schemas.openxmlformats.org/officeDocument/2006/relationships/hyperlink" Target="http://mkd.gzhi.oviont.com/dom/common.php?id_dom=155504" TargetMode="External"/><Relationship Id="rId252" Type="http://schemas.openxmlformats.org/officeDocument/2006/relationships/hyperlink" Target="http://mkd.gzhi.oviont.com/dom/common.php?id_dom=167621" TargetMode="External"/><Relationship Id="rId294" Type="http://schemas.openxmlformats.org/officeDocument/2006/relationships/hyperlink" Target="http://mkd.gzhi.oviont.com/dom/common.php?id_dom=160630" TargetMode="External"/><Relationship Id="rId308" Type="http://schemas.openxmlformats.org/officeDocument/2006/relationships/hyperlink" Target="http://mkd.gzhi.oviont.com/dom/common.php?id_dom=160400" TargetMode="External"/><Relationship Id="rId47" Type="http://schemas.openxmlformats.org/officeDocument/2006/relationships/hyperlink" Target="http://mkd.gzhi.oviont.com/dom/common.php?id_dom=153016" TargetMode="External"/><Relationship Id="rId89" Type="http://schemas.openxmlformats.org/officeDocument/2006/relationships/hyperlink" Target="http://mkd.gzhi.oviont.com/dom/common.php?id_dom=126137" TargetMode="External"/><Relationship Id="rId112" Type="http://schemas.openxmlformats.org/officeDocument/2006/relationships/hyperlink" Target="http://mkd.gzhi.oviont.com/dom/common.php?id_dom=151235" TargetMode="External"/><Relationship Id="rId154" Type="http://schemas.openxmlformats.org/officeDocument/2006/relationships/hyperlink" Target="http://mkd.gzhi.oviont.com/dom/common.php?id_dom=152857" TargetMode="External"/><Relationship Id="rId361" Type="http://schemas.openxmlformats.org/officeDocument/2006/relationships/hyperlink" Target="http://mkd.gzhi.oviont.com/dom/common.php?id_dom=145804" TargetMode="External"/><Relationship Id="rId196" Type="http://schemas.openxmlformats.org/officeDocument/2006/relationships/hyperlink" Target="http://mkd.gzhi.oviont.com/dom/common.php?id_dom=130717" TargetMode="External"/><Relationship Id="rId16" Type="http://schemas.openxmlformats.org/officeDocument/2006/relationships/hyperlink" Target="http://mkd.gzhi.oviont.com/dom/common.php?id_dom=123224" TargetMode="External"/><Relationship Id="rId221" Type="http://schemas.openxmlformats.org/officeDocument/2006/relationships/hyperlink" Target="http://mkd.gzhi.oviont.com/dom/common.php?id_dom=173968" TargetMode="External"/><Relationship Id="rId263" Type="http://schemas.openxmlformats.org/officeDocument/2006/relationships/hyperlink" Target="http://mkd.gzhi.oviont.com/dom/common.php?id_dom=171894" TargetMode="External"/><Relationship Id="rId319" Type="http://schemas.openxmlformats.org/officeDocument/2006/relationships/hyperlink" Target="http://mkd.gzhi.oviont.com/dom/common.php?id_dom=144165" TargetMode="External"/><Relationship Id="rId58" Type="http://schemas.openxmlformats.org/officeDocument/2006/relationships/hyperlink" Target="http://mkd.gzhi.oviont.com/dom/common.php?id_dom=153351" TargetMode="External"/><Relationship Id="rId123" Type="http://schemas.openxmlformats.org/officeDocument/2006/relationships/hyperlink" Target="http://mkd.gzhi.oviont.com/dom/common.php?id_dom=157816" TargetMode="External"/><Relationship Id="rId330" Type="http://schemas.openxmlformats.org/officeDocument/2006/relationships/hyperlink" Target="http://mkd.gzhi.oviont.com/dom/common.php?id_dom=120273" TargetMode="External"/><Relationship Id="rId165" Type="http://schemas.openxmlformats.org/officeDocument/2006/relationships/hyperlink" Target="http://mkd.gzhi.oviont.com/dom/common.php?id_dom=168130" TargetMode="External"/><Relationship Id="rId372" Type="http://schemas.openxmlformats.org/officeDocument/2006/relationships/hyperlink" Target="http://mkd.gzhi.oviont.com/dom/common.php?id_dom=146099" TargetMode="External"/><Relationship Id="rId232" Type="http://schemas.openxmlformats.org/officeDocument/2006/relationships/hyperlink" Target="http://mkd.gzhi.oviont.com/dom/common.php?id_dom=167041" TargetMode="External"/><Relationship Id="rId274" Type="http://schemas.openxmlformats.org/officeDocument/2006/relationships/hyperlink" Target="http://mkd.gzhi.oviont.com/dom/common.php?id_dom=115225" TargetMode="External"/><Relationship Id="rId27" Type="http://schemas.openxmlformats.org/officeDocument/2006/relationships/hyperlink" Target="http://mkd.gzhi.oviont.com/dom/common.php?id_dom=153035" TargetMode="External"/><Relationship Id="rId69" Type="http://schemas.openxmlformats.org/officeDocument/2006/relationships/hyperlink" Target="http://mkd.gzhi.oviont.com/dom/common.php?id_dom=153511" TargetMode="External"/><Relationship Id="rId134" Type="http://schemas.openxmlformats.org/officeDocument/2006/relationships/hyperlink" Target="http://mkd.gzhi.oviont.com/dom/common.php?id_dom=161002" TargetMode="External"/><Relationship Id="rId80" Type="http://schemas.openxmlformats.org/officeDocument/2006/relationships/hyperlink" Target="http://mkd.gzhi.oviont.com/dom/common.php?id_dom=125995" TargetMode="External"/><Relationship Id="rId155" Type="http://schemas.openxmlformats.org/officeDocument/2006/relationships/hyperlink" Target="http://mkd.gzhi.oviont.com/dom/common.php?id_dom=152841" TargetMode="External"/><Relationship Id="rId176" Type="http://schemas.openxmlformats.org/officeDocument/2006/relationships/hyperlink" Target="http://mkd.gzhi.oviont.com/dom/common.php?id_dom=163125" TargetMode="External"/><Relationship Id="rId197" Type="http://schemas.openxmlformats.org/officeDocument/2006/relationships/hyperlink" Target="http://mkd.gzhi.oviont.com/dom/common.php?id_dom=130721" TargetMode="External"/><Relationship Id="rId341" Type="http://schemas.openxmlformats.org/officeDocument/2006/relationships/hyperlink" Target="http://mkd.gzhi.oviont.com/dom/common.php?id_dom=142462" TargetMode="External"/><Relationship Id="rId362" Type="http://schemas.openxmlformats.org/officeDocument/2006/relationships/hyperlink" Target="http://mkd.gzhi.oviont.com/dom/common.php?id_dom=146274" TargetMode="External"/><Relationship Id="rId383" Type="http://schemas.openxmlformats.org/officeDocument/2006/relationships/hyperlink" Target="http://mkd.gzhi.oviont.com/dom/common.php?id_dom=156586" TargetMode="External"/><Relationship Id="rId201" Type="http://schemas.openxmlformats.org/officeDocument/2006/relationships/hyperlink" Target="http://mkd.gzhi.oviont.com/dom/common.php?id_dom=130726" TargetMode="External"/><Relationship Id="rId222" Type="http://schemas.openxmlformats.org/officeDocument/2006/relationships/hyperlink" Target="http://mkd.gzhi.oviont.com/dom/common.php?id_dom=172577" TargetMode="External"/><Relationship Id="rId243" Type="http://schemas.openxmlformats.org/officeDocument/2006/relationships/hyperlink" Target="http://mkd.gzhi.oviont.com/dom/common.php?id_dom=166802" TargetMode="External"/><Relationship Id="rId264" Type="http://schemas.openxmlformats.org/officeDocument/2006/relationships/hyperlink" Target="http://mkd.gzhi.oviont.com/dom/common.php?id_dom=171887" TargetMode="External"/><Relationship Id="rId285" Type="http://schemas.openxmlformats.org/officeDocument/2006/relationships/hyperlink" Target="http://mkd.gzhi.oviont.com/dom/common.php?id_dom=139797" TargetMode="External"/><Relationship Id="rId17" Type="http://schemas.openxmlformats.org/officeDocument/2006/relationships/hyperlink" Target="http://mkd.gzhi.oviont.com/dom/common.php?id_dom=150906" TargetMode="External"/><Relationship Id="rId38" Type="http://schemas.openxmlformats.org/officeDocument/2006/relationships/hyperlink" Target="http://mkd.gzhi.oviont.com/dom/common.php?id_dom=153039" TargetMode="External"/><Relationship Id="rId59" Type="http://schemas.openxmlformats.org/officeDocument/2006/relationships/hyperlink" Target="http://mkd.gzhi.oviont.com/dom/common.php?id_dom=153351" TargetMode="External"/><Relationship Id="rId103" Type="http://schemas.openxmlformats.org/officeDocument/2006/relationships/hyperlink" Target="http://mkd.gzhi.oviont.com/dom/common.php?id_dom=117281" TargetMode="External"/><Relationship Id="rId124" Type="http://schemas.openxmlformats.org/officeDocument/2006/relationships/hyperlink" Target="http://mkd.gzhi.oviont.com/dom/common.php?id_dom=157297" TargetMode="External"/><Relationship Id="rId310" Type="http://schemas.openxmlformats.org/officeDocument/2006/relationships/hyperlink" Target="http://mkd.gzhi.oviont.com/dom/common.php?id_dom=176307" TargetMode="External"/><Relationship Id="rId70" Type="http://schemas.openxmlformats.org/officeDocument/2006/relationships/hyperlink" Target="http://mkd.gzhi.oviont.com/dom/common.php?id_dom=153543" TargetMode="External"/><Relationship Id="rId91" Type="http://schemas.openxmlformats.org/officeDocument/2006/relationships/hyperlink" Target="http://mkd.gzhi.oviont.com/dom/common.php?id_dom=127748" TargetMode="External"/><Relationship Id="rId145" Type="http://schemas.openxmlformats.org/officeDocument/2006/relationships/hyperlink" Target="http://mkd.gzhi.oviont.com/dom/common.php?id_dom=152806" TargetMode="External"/><Relationship Id="rId166" Type="http://schemas.openxmlformats.org/officeDocument/2006/relationships/hyperlink" Target="http://mkd.gzhi.oviont.com/dom/common.php?id_dom=162858" TargetMode="External"/><Relationship Id="rId187" Type="http://schemas.openxmlformats.org/officeDocument/2006/relationships/hyperlink" Target="http://mkd.gzhi.oviont.com/dom/common.php?id_dom=131352" TargetMode="External"/><Relationship Id="rId331" Type="http://schemas.openxmlformats.org/officeDocument/2006/relationships/hyperlink" Target="http://mkd.gzhi.oviont.com/dom/common.php?id_dom=120257" TargetMode="External"/><Relationship Id="rId352" Type="http://schemas.openxmlformats.org/officeDocument/2006/relationships/hyperlink" Target="http://mkd.gzhi.oviont.com/dom/common.php?id_dom=146718" TargetMode="External"/><Relationship Id="rId373" Type="http://schemas.openxmlformats.org/officeDocument/2006/relationships/hyperlink" Target="http://mkd.gzhi.oviont.com/dom/common.php?id_dom=146251" TargetMode="External"/><Relationship Id="rId394" Type="http://schemas.openxmlformats.org/officeDocument/2006/relationships/hyperlink" Target="http://mkd.gzhi.oviont.com/dom/common.php?id_dom=172371" TargetMode="External"/><Relationship Id="rId408" Type="http://schemas.openxmlformats.org/officeDocument/2006/relationships/hyperlink" Target="http://mkd.gzhi.oviont.com/dom/common.php?id_dom=135581" TargetMode="External"/><Relationship Id="rId1" Type="http://schemas.openxmlformats.org/officeDocument/2006/relationships/hyperlink" Target="http://mkd.gzhi.oviont.com/dom/common.php?id_dom=168610" TargetMode="External"/><Relationship Id="rId212" Type="http://schemas.openxmlformats.org/officeDocument/2006/relationships/hyperlink" Target="http://mkd.gzhi.oviont.com/dom/common.php?id_dom=133895" TargetMode="External"/><Relationship Id="rId233" Type="http://schemas.openxmlformats.org/officeDocument/2006/relationships/hyperlink" Target="http://mkd.gzhi.oviont.com/dom/common.php?id_dom=167042" TargetMode="External"/><Relationship Id="rId254" Type="http://schemas.openxmlformats.org/officeDocument/2006/relationships/hyperlink" Target="http://mkd.gzhi.oviont.com/dom/common.php?id_dom=166772" TargetMode="External"/><Relationship Id="rId28" Type="http://schemas.openxmlformats.org/officeDocument/2006/relationships/hyperlink" Target="http://mkd.gzhi.oviont.com/dom/common.php?id_dom=153056" TargetMode="External"/><Relationship Id="rId49" Type="http://schemas.openxmlformats.org/officeDocument/2006/relationships/hyperlink" Target="http://mkd.gzhi.oviont.com/dom/common.php?id_dom=153174" TargetMode="External"/><Relationship Id="rId114" Type="http://schemas.openxmlformats.org/officeDocument/2006/relationships/hyperlink" Target="http://mkd.gzhi.oviont.com/dom/common.php?id_dom=151678" TargetMode="External"/><Relationship Id="rId275" Type="http://schemas.openxmlformats.org/officeDocument/2006/relationships/hyperlink" Target="http://mkd.gzhi.oviont.com/dom/common.php?id_dom=115207" TargetMode="External"/><Relationship Id="rId296" Type="http://schemas.openxmlformats.org/officeDocument/2006/relationships/hyperlink" Target="http://mkd.gzhi.oviont.com/dom/common.php?id_dom=160635" TargetMode="External"/><Relationship Id="rId300" Type="http://schemas.openxmlformats.org/officeDocument/2006/relationships/hyperlink" Target="http://mkd.gzhi.oviont.com/dom/common.php?id_dom=160646" TargetMode="External"/><Relationship Id="rId60" Type="http://schemas.openxmlformats.org/officeDocument/2006/relationships/hyperlink" Target="http://mkd.gzhi.oviont.com/dom/common.php?id_dom=153384" TargetMode="External"/><Relationship Id="rId81" Type="http://schemas.openxmlformats.org/officeDocument/2006/relationships/hyperlink" Target="http://mkd.gzhi.oviont.com/dom/common.php?id_dom=125988" TargetMode="External"/><Relationship Id="rId135" Type="http://schemas.openxmlformats.org/officeDocument/2006/relationships/hyperlink" Target="http://mkd.gzhi.oviont.com/dom/common.php?id_dom=161098" TargetMode="External"/><Relationship Id="rId156" Type="http://schemas.openxmlformats.org/officeDocument/2006/relationships/hyperlink" Target="http://mkd.gzhi.oviont.com/dom/common.php?id_dom=152845" TargetMode="External"/><Relationship Id="rId177" Type="http://schemas.openxmlformats.org/officeDocument/2006/relationships/hyperlink" Target="http://mkd.gzhi.oviont.com/dom/common.php?id_dom=162776" TargetMode="External"/><Relationship Id="rId198" Type="http://schemas.openxmlformats.org/officeDocument/2006/relationships/hyperlink" Target="http://mkd.gzhi.oviont.com/dom/common.php?id_dom=130722" TargetMode="External"/><Relationship Id="rId321" Type="http://schemas.openxmlformats.org/officeDocument/2006/relationships/hyperlink" Target="http://mkd.gzhi.oviont.com/dom/common.php?id_dom=144120" TargetMode="External"/><Relationship Id="rId342" Type="http://schemas.openxmlformats.org/officeDocument/2006/relationships/hyperlink" Target="http://mkd.gzhi.oviont.com/dom/common.php?id_dom=157729" TargetMode="External"/><Relationship Id="rId363" Type="http://schemas.openxmlformats.org/officeDocument/2006/relationships/hyperlink" Target="http://mkd.gzhi.oviont.com/dom/common.php?id_dom=146164" TargetMode="External"/><Relationship Id="rId384" Type="http://schemas.openxmlformats.org/officeDocument/2006/relationships/hyperlink" Target="http://mkd.gzhi.oviont.com/dom/common.php?id_dom=156572" TargetMode="External"/><Relationship Id="rId202" Type="http://schemas.openxmlformats.org/officeDocument/2006/relationships/hyperlink" Target="http://mkd.gzhi.oviont.com/dom/common.php?id_dom=130719" TargetMode="External"/><Relationship Id="rId223" Type="http://schemas.openxmlformats.org/officeDocument/2006/relationships/hyperlink" Target="http://mkd.gzhi.oviont.com/dom/common.php?id_dom=174041" TargetMode="External"/><Relationship Id="rId244" Type="http://schemas.openxmlformats.org/officeDocument/2006/relationships/hyperlink" Target="http://mkd.gzhi.oviont.com/dom/common.php?id_dom=166796" TargetMode="External"/><Relationship Id="rId18" Type="http://schemas.openxmlformats.org/officeDocument/2006/relationships/hyperlink" Target="http://mkd.gzhi.oviont.com/dom/common.php?id_dom=152632" TargetMode="External"/><Relationship Id="rId39" Type="http://schemas.openxmlformats.org/officeDocument/2006/relationships/hyperlink" Target="http://mkd.gzhi.oviont.com/dom/common.php?id_dom=153353" TargetMode="External"/><Relationship Id="rId265" Type="http://schemas.openxmlformats.org/officeDocument/2006/relationships/hyperlink" Target="http://mkd.gzhi.oviont.com/dom/common.php?id_dom=171993" TargetMode="External"/><Relationship Id="rId286" Type="http://schemas.openxmlformats.org/officeDocument/2006/relationships/hyperlink" Target="http://mkd.gzhi.oviont.com/dom/common.php?id_dom=174599" TargetMode="External"/><Relationship Id="rId50" Type="http://schemas.openxmlformats.org/officeDocument/2006/relationships/hyperlink" Target="http://mkd.gzhi.oviont.com/dom/common.php?id_dom=153176" TargetMode="External"/><Relationship Id="rId104" Type="http://schemas.openxmlformats.org/officeDocument/2006/relationships/hyperlink" Target="http://mkd.gzhi.oviont.com/dom/common.php?id_dom=150913" TargetMode="External"/><Relationship Id="rId125" Type="http://schemas.openxmlformats.org/officeDocument/2006/relationships/hyperlink" Target="http://mkd.gzhi.oviont.com/dom/common.php?id_dom=158864" TargetMode="External"/><Relationship Id="rId146" Type="http://schemas.openxmlformats.org/officeDocument/2006/relationships/hyperlink" Target="http://mkd.gzhi.oviont.com/dom/common.php?id_dom=152808" TargetMode="External"/><Relationship Id="rId167" Type="http://schemas.openxmlformats.org/officeDocument/2006/relationships/hyperlink" Target="http://mkd.gzhi.oviont.com/dom/common.php?id_dom=163010" TargetMode="External"/><Relationship Id="rId188" Type="http://schemas.openxmlformats.org/officeDocument/2006/relationships/hyperlink" Target="http://mkd.gzhi.oviont.com/dom/common.php?id_dom=131404" TargetMode="External"/><Relationship Id="rId311" Type="http://schemas.openxmlformats.org/officeDocument/2006/relationships/hyperlink" Target="http://mkd.gzhi.oviont.com/dom/common.php?id_dom=176309" TargetMode="External"/><Relationship Id="rId332" Type="http://schemas.openxmlformats.org/officeDocument/2006/relationships/hyperlink" Target="http://mkd.gzhi.oviont.com/dom/common.php?id_dom=120243" TargetMode="External"/><Relationship Id="rId353" Type="http://schemas.openxmlformats.org/officeDocument/2006/relationships/hyperlink" Target="http://mkd.gzhi.oviont.com/dom/common.php?id_dom=146719" TargetMode="External"/><Relationship Id="rId374" Type="http://schemas.openxmlformats.org/officeDocument/2006/relationships/hyperlink" Target="http://mkd.gzhi.oviont.com/dom/common.php?id_dom=146103" TargetMode="External"/><Relationship Id="rId395" Type="http://schemas.openxmlformats.org/officeDocument/2006/relationships/hyperlink" Target="http://mkd.gzhi.oviont.com/dom/common.php?id_dom=148310" TargetMode="External"/><Relationship Id="rId409" Type="http://schemas.openxmlformats.org/officeDocument/2006/relationships/hyperlink" Target="http://mkd.gzhi.oviont.com/dom/common.php?id_dom=135584" TargetMode="External"/><Relationship Id="rId71" Type="http://schemas.openxmlformats.org/officeDocument/2006/relationships/hyperlink" Target="http://mkd.gzhi.oviont.com/dom/common.php?id_dom=153541" TargetMode="External"/><Relationship Id="rId92" Type="http://schemas.openxmlformats.org/officeDocument/2006/relationships/hyperlink" Target="http://mkd.gzhi.oviont.com/dom/common.php?id_dom=127749" TargetMode="External"/><Relationship Id="rId213" Type="http://schemas.openxmlformats.org/officeDocument/2006/relationships/hyperlink" Target="http://mkd.gzhi.oviont.com/dom/common.php?id_dom=133914" TargetMode="External"/><Relationship Id="rId234" Type="http://schemas.openxmlformats.org/officeDocument/2006/relationships/hyperlink" Target="http://mkd.gzhi.oviont.com/dom/common.php?id_dom=167042" TargetMode="External"/><Relationship Id="rId2" Type="http://schemas.openxmlformats.org/officeDocument/2006/relationships/hyperlink" Target="http://mkd.gzhi.oviont.com/dom/common.php?id_dom=169406" TargetMode="External"/><Relationship Id="rId29" Type="http://schemas.openxmlformats.org/officeDocument/2006/relationships/hyperlink" Target="http://mkd.gzhi.oviont.com/dom/common.php?id_dom=153058" TargetMode="External"/><Relationship Id="rId255" Type="http://schemas.openxmlformats.org/officeDocument/2006/relationships/hyperlink" Target="http://mkd.gzhi.oviont.com/dom/common.php?id_dom=171509" TargetMode="External"/><Relationship Id="rId276" Type="http://schemas.openxmlformats.org/officeDocument/2006/relationships/hyperlink" Target="http://mkd.gzhi.oviont.com/dom/common.php?id_dom=114206" TargetMode="External"/><Relationship Id="rId297" Type="http://schemas.openxmlformats.org/officeDocument/2006/relationships/hyperlink" Target="http://mkd.gzhi.oviont.com/dom/common.php?id_dom=160637" TargetMode="External"/><Relationship Id="rId40" Type="http://schemas.openxmlformats.org/officeDocument/2006/relationships/hyperlink" Target="http://mkd.gzhi.oviont.com/dom/common.php?id_dom=153382" TargetMode="External"/><Relationship Id="rId115" Type="http://schemas.openxmlformats.org/officeDocument/2006/relationships/hyperlink" Target="http://mkd.gzhi.oviont.com/dom/common.php?id_dom=151475" TargetMode="External"/><Relationship Id="rId136" Type="http://schemas.openxmlformats.org/officeDocument/2006/relationships/hyperlink" Target="http://mkd.gzhi.oviont.com/dom/common.php?id_dom=160972" TargetMode="External"/><Relationship Id="rId157" Type="http://schemas.openxmlformats.org/officeDocument/2006/relationships/hyperlink" Target="http://mkd.gzhi.oviont.com/dom/common.php?id_dom=152849" TargetMode="External"/><Relationship Id="rId178" Type="http://schemas.openxmlformats.org/officeDocument/2006/relationships/hyperlink" Target="http://mkd.gzhi.oviont.com/dom/common.php?id_dom=171425" TargetMode="External"/><Relationship Id="rId301" Type="http://schemas.openxmlformats.org/officeDocument/2006/relationships/hyperlink" Target="http://mkd.gzhi.oviont.com/dom/common.php?id_dom=160678" TargetMode="External"/><Relationship Id="rId322" Type="http://schemas.openxmlformats.org/officeDocument/2006/relationships/hyperlink" Target="http://mkd.gzhi.oviont.com/dom/common.php?id_dom=143777" TargetMode="External"/><Relationship Id="rId343" Type="http://schemas.openxmlformats.org/officeDocument/2006/relationships/hyperlink" Target="http://mkd.gzhi.oviont.com/dom/common.php?id_dom=158503" TargetMode="External"/><Relationship Id="rId364" Type="http://schemas.openxmlformats.org/officeDocument/2006/relationships/hyperlink" Target="http://mkd.gzhi.oviont.com/dom/common.php?id_dom=146637" TargetMode="External"/><Relationship Id="rId61" Type="http://schemas.openxmlformats.org/officeDocument/2006/relationships/hyperlink" Target="http://mkd.gzhi.oviont.com/dom/common.php?id_dom=153463" TargetMode="External"/><Relationship Id="rId82" Type="http://schemas.openxmlformats.org/officeDocument/2006/relationships/hyperlink" Target="http://mkd.gzhi.oviont.com/dom/common.php?id_dom=125989" TargetMode="External"/><Relationship Id="rId199" Type="http://schemas.openxmlformats.org/officeDocument/2006/relationships/hyperlink" Target="http://mkd.gzhi.oviont.com/dom/common.php?id_dom=130718" TargetMode="External"/><Relationship Id="rId203" Type="http://schemas.openxmlformats.org/officeDocument/2006/relationships/hyperlink" Target="http://mkd.gzhi.oviont.com/dom/common.php?id_dom=130727" TargetMode="External"/><Relationship Id="rId385" Type="http://schemas.openxmlformats.org/officeDocument/2006/relationships/hyperlink" Target="http://mkd.gzhi.oviont.com/dom/common.php?id_dom=156573" TargetMode="External"/><Relationship Id="rId19" Type="http://schemas.openxmlformats.org/officeDocument/2006/relationships/hyperlink" Target="http://mkd.gzhi.oviont.com/dom/common.php?id_dom=152680" TargetMode="External"/><Relationship Id="rId224" Type="http://schemas.openxmlformats.org/officeDocument/2006/relationships/hyperlink" Target="http://mkd.gzhi.oviont.com/dom/common.php?id_dom=166889" TargetMode="External"/><Relationship Id="rId245" Type="http://schemas.openxmlformats.org/officeDocument/2006/relationships/hyperlink" Target="http://mkd.gzhi.oviont.com/dom/common.php?id_dom=167597" TargetMode="External"/><Relationship Id="rId266" Type="http://schemas.openxmlformats.org/officeDocument/2006/relationships/hyperlink" Target="http://mkd.gzhi.oviont.com/dom/common.php?id_dom=115420" TargetMode="External"/><Relationship Id="rId287" Type="http://schemas.openxmlformats.org/officeDocument/2006/relationships/hyperlink" Target="http://mkd.gzhi.oviont.com/dom/common.php?id_dom=131972" TargetMode="External"/><Relationship Id="rId410" Type="http://schemas.openxmlformats.org/officeDocument/2006/relationships/hyperlink" Target="http://mkd.gzhi.oviont.com/dom/common.php?id_dom=131662" TargetMode="External"/><Relationship Id="rId30" Type="http://schemas.openxmlformats.org/officeDocument/2006/relationships/hyperlink" Target="http://mkd.gzhi.oviont.com/dom/common.php?id_dom=153060" TargetMode="External"/><Relationship Id="rId105" Type="http://schemas.openxmlformats.org/officeDocument/2006/relationships/hyperlink" Target="http://mkd.gzhi.oviont.com/dom/common.php?id_dom=150966" TargetMode="External"/><Relationship Id="rId126" Type="http://schemas.openxmlformats.org/officeDocument/2006/relationships/hyperlink" Target="http://mkd.gzhi.oviont.com/dom/common.php?id_dom=158108" TargetMode="External"/><Relationship Id="rId147" Type="http://schemas.openxmlformats.org/officeDocument/2006/relationships/hyperlink" Target="http://mkd.gzhi.oviont.com/dom/common.php?id_dom=152839" TargetMode="External"/><Relationship Id="rId168" Type="http://schemas.openxmlformats.org/officeDocument/2006/relationships/hyperlink" Target="http://mkd.gzhi.oviont.com/dom/common.php?id_dom=163076" TargetMode="External"/><Relationship Id="rId312" Type="http://schemas.openxmlformats.org/officeDocument/2006/relationships/hyperlink" Target="http://mkd.gzhi.oviont.com/dom/common.php?id_dom=143970" TargetMode="External"/><Relationship Id="rId333" Type="http://schemas.openxmlformats.org/officeDocument/2006/relationships/hyperlink" Target="http://mkd.gzhi.oviont.com/dom/common.php?id_dom=120308" TargetMode="External"/><Relationship Id="rId354" Type="http://schemas.openxmlformats.org/officeDocument/2006/relationships/hyperlink" Target="http://mkd.gzhi.oviont.com/dom/common.php?id_dom=146165" TargetMode="External"/><Relationship Id="rId51" Type="http://schemas.openxmlformats.org/officeDocument/2006/relationships/hyperlink" Target="http://mkd.gzhi.oviont.com/dom/common.php?id_dom=153178" TargetMode="External"/><Relationship Id="rId72" Type="http://schemas.openxmlformats.org/officeDocument/2006/relationships/hyperlink" Target="http://mkd.gzhi.oviont.com/dom/common.php?id_dom=153547" TargetMode="External"/><Relationship Id="rId93" Type="http://schemas.openxmlformats.org/officeDocument/2006/relationships/hyperlink" Target="http://mkd.gzhi.oviont.com/dom/common.php?id_dom=128501" TargetMode="External"/><Relationship Id="rId189" Type="http://schemas.openxmlformats.org/officeDocument/2006/relationships/hyperlink" Target="http://mkd.gzhi.oviont.com/dom/common.php?id_dom=131403" TargetMode="External"/><Relationship Id="rId375" Type="http://schemas.openxmlformats.org/officeDocument/2006/relationships/hyperlink" Target="http://mkd.gzhi.oviont.com/dom/common.php?id_dom=146263" TargetMode="External"/><Relationship Id="rId396" Type="http://schemas.openxmlformats.org/officeDocument/2006/relationships/hyperlink" Target="http://mkd.gzhi.oviont.com/dom/common.php?id_dom=126847" TargetMode="External"/><Relationship Id="rId3" Type="http://schemas.openxmlformats.org/officeDocument/2006/relationships/hyperlink" Target="http://mkd.gzhi.oviont.com/dom/common.php?id_dom=169075" TargetMode="External"/><Relationship Id="rId214" Type="http://schemas.openxmlformats.org/officeDocument/2006/relationships/hyperlink" Target="http://mkd.gzhi.oviont.com/dom/common.php?id_dom=133914" TargetMode="External"/><Relationship Id="rId235" Type="http://schemas.openxmlformats.org/officeDocument/2006/relationships/hyperlink" Target="http://mkd.gzhi.oviont.com/dom/common.php?id_dom=167053" TargetMode="External"/><Relationship Id="rId256" Type="http://schemas.openxmlformats.org/officeDocument/2006/relationships/hyperlink" Target="http://mkd.gzhi.oviont.com/dom/common.php?id_dom=171517" TargetMode="External"/><Relationship Id="rId277" Type="http://schemas.openxmlformats.org/officeDocument/2006/relationships/hyperlink" Target="http://mkd.gzhi.oviont.com/dom/common.php?id_dom=114357" TargetMode="External"/><Relationship Id="rId298" Type="http://schemas.openxmlformats.org/officeDocument/2006/relationships/hyperlink" Target="http://mkd.gzhi.oviont.com/dom/common.php?id_dom=160641" TargetMode="External"/><Relationship Id="rId400" Type="http://schemas.openxmlformats.org/officeDocument/2006/relationships/hyperlink" Target="http://mkd.gzhi.oviont.com/dom/common.php?id_dom=131738" TargetMode="External"/><Relationship Id="rId116" Type="http://schemas.openxmlformats.org/officeDocument/2006/relationships/hyperlink" Target="http://mkd.gzhi.oviont.com/dom/common.php?id_dom=130403" TargetMode="External"/><Relationship Id="rId137" Type="http://schemas.openxmlformats.org/officeDocument/2006/relationships/hyperlink" Target="http://mkd.gzhi.oviont.com/dom/common.php?id_dom=160974" TargetMode="External"/><Relationship Id="rId158" Type="http://schemas.openxmlformats.org/officeDocument/2006/relationships/hyperlink" Target="http://mkd.gzhi.oviont.com/dom/common.php?id_dom=152867" TargetMode="External"/><Relationship Id="rId302" Type="http://schemas.openxmlformats.org/officeDocument/2006/relationships/hyperlink" Target="http://mkd.gzhi.oviont.com/dom/common.php?id_dom=160698" TargetMode="External"/><Relationship Id="rId323" Type="http://schemas.openxmlformats.org/officeDocument/2006/relationships/hyperlink" Target="http://mkd.gzhi.oviont.com/dom/common.php?id_dom=144157" TargetMode="External"/><Relationship Id="rId344" Type="http://schemas.openxmlformats.org/officeDocument/2006/relationships/hyperlink" Target="http://mkd.gzhi.oviont.com/dom/common.php?id_dom=177400" TargetMode="External"/><Relationship Id="rId20" Type="http://schemas.openxmlformats.org/officeDocument/2006/relationships/hyperlink" Target="http://mkd.gzhi.oviont.com/dom/common.php?id_dom=152636" TargetMode="External"/><Relationship Id="rId41" Type="http://schemas.openxmlformats.org/officeDocument/2006/relationships/hyperlink" Target="http://mkd.gzhi.oviont.com/dom/common.php?id_dom=153661" TargetMode="External"/><Relationship Id="rId62" Type="http://schemas.openxmlformats.org/officeDocument/2006/relationships/hyperlink" Target="http://mkd.gzhi.oviont.com/dom/common.php?id_dom=153467" TargetMode="External"/><Relationship Id="rId83" Type="http://schemas.openxmlformats.org/officeDocument/2006/relationships/hyperlink" Target="http://mkd.gzhi.oviont.com/dom/common.php?id_dom=125979" TargetMode="External"/><Relationship Id="rId179" Type="http://schemas.openxmlformats.org/officeDocument/2006/relationships/hyperlink" Target="http://mkd.gzhi.oviont.com/dom/common.php?id_dom=154625" TargetMode="External"/><Relationship Id="rId365" Type="http://schemas.openxmlformats.org/officeDocument/2006/relationships/hyperlink" Target="http://mkd.gzhi.oviont.com/dom/common.php?id_dom=145874" TargetMode="External"/><Relationship Id="rId386" Type="http://schemas.openxmlformats.org/officeDocument/2006/relationships/hyperlink" Target="http://mkd.gzhi.oviont.com/dom/common.php?id_dom=156574" TargetMode="External"/><Relationship Id="rId190" Type="http://schemas.openxmlformats.org/officeDocument/2006/relationships/hyperlink" Target="http://mkd.gzhi.oviont.com/dom/common.php?id_dom=131413" TargetMode="External"/><Relationship Id="rId204" Type="http://schemas.openxmlformats.org/officeDocument/2006/relationships/hyperlink" Target="http://mkd.gzhi.oviont.com/dom/common.php?id_dom=130728" TargetMode="External"/><Relationship Id="rId225" Type="http://schemas.openxmlformats.org/officeDocument/2006/relationships/hyperlink" Target="http://mkd.gzhi.oviont.com/dom/common.php?id_dom=166889" TargetMode="External"/><Relationship Id="rId246" Type="http://schemas.openxmlformats.org/officeDocument/2006/relationships/hyperlink" Target="http://mkd.gzhi.oviont.com/dom/common.php?id_dom=167626" TargetMode="External"/><Relationship Id="rId267" Type="http://schemas.openxmlformats.org/officeDocument/2006/relationships/hyperlink" Target="http://mkd.gzhi.oviont.com/dom/common.php?id_dom=176754" TargetMode="External"/><Relationship Id="rId288" Type="http://schemas.openxmlformats.org/officeDocument/2006/relationships/hyperlink" Target="http://mkd.gzhi.oviont.com/dom/common.php?id_dom=131854" TargetMode="External"/><Relationship Id="rId411" Type="http://schemas.openxmlformats.org/officeDocument/2006/relationships/hyperlink" Target="http://mkd.gzhi.oviont.com/dom/common.php?id_dom=134169" TargetMode="External"/><Relationship Id="rId106" Type="http://schemas.openxmlformats.org/officeDocument/2006/relationships/hyperlink" Target="http://mkd.gzhi.oviont.com/dom/common.php?id_dom=150978" TargetMode="External"/><Relationship Id="rId127" Type="http://schemas.openxmlformats.org/officeDocument/2006/relationships/hyperlink" Target="http://mkd.gzhi.oviont.com/dom/common.php?id_dom=157382" TargetMode="External"/><Relationship Id="rId313" Type="http://schemas.openxmlformats.org/officeDocument/2006/relationships/hyperlink" Target="http://mkd.gzhi.oviont.com/dom/common.php?id_dom=143971" TargetMode="External"/><Relationship Id="rId10" Type="http://schemas.openxmlformats.org/officeDocument/2006/relationships/hyperlink" Target="http://mkd.gzhi.oviont.com/dom/common.php?id_dom=168550" TargetMode="External"/><Relationship Id="rId31" Type="http://schemas.openxmlformats.org/officeDocument/2006/relationships/hyperlink" Target="http://mkd.gzhi.oviont.com/dom/common.php?id_dom=152877" TargetMode="External"/><Relationship Id="rId52" Type="http://schemas.openxmlformats.org/officeDocument/2006/relationships/hyperlink" Target="http://mkd.gzhi.oviont.com/dom/common.php?id_dom=153178" TargetMode="External"/><Relationship Id="rId73" Type="http://schemas.openxmlformats.org/officeDocument/2006/relationships/hyperlink" Target="http://mkd.gzhi.oviont.com/dom/common.php?id_dom=153657" TargetMode="External"/><Relationship Id="rId94" Type="http://schemas.openxmlformats.org/officeDocument/2006/relationships/hyperlink" Target="http://mkd.gzhi.oviont.com/dom/common.php?id_dom=127611" TargetMode="External"/><Relationship Id="rId148" Type="http://schemas.openxmlformats.org/officeDocument/2006/relationships/hyperlink" Target="http://mkd.gzhi.oviont.com/dom/common.php?id_dom=152845" TargetMode="External"/><Relationship Id="rId169" Type="http://schemas.openxmlformats.org/officeDocument/2006/relationships/hyperlink" Target="http://mkd.gzhi.oviont.com/dom/common.php?id_dom=163077" TargetMode="External"/><Relationship Id="rId334" Type="http://schemas.openxmlformats.org/officeDocument/2006/relationships/hyperlink" Target="http://mkd.gzhi.oviont.com/dom/common.php?id_dom=142703" TargetMode="External"/><Relationship Id="rId355" Type="http://schemas.openxmlformats.org/officeDocument/2006/relationships/hyperlink" Target="http://mkd.gzhi.oviont.com/dom/common.php?id_dom=146303" TargetMode="External"/><Relationship Id="rId376" Type="http://schemas.openxmlformats.org/officeDocument/2006/relationships/hyperlink" Target="http://mkd.gzhi.oviont.com/dom/common.php?id_dom=146772" TargetMode="External"/><Relationship Id="rId397" Type="http://schemas.openxmlformats.org/officeDocument/2006/relationships/hyperlink" Target="http://mkd.gzhi.oviont.com/dom/common.php?id_dom=125560" TargetMode="External"/><Relationship Id="rId4" Type="http://schemas.openxmlformats.org/officeDocument/2006/relationships/hyperlink" Target="http://mkd.gzhi.oviont.com/dom/common.php?id_dom=168647" TargetMode="External"/><Relationship Id="rId180" Type="http://schemas.openxmlformats.org/officeDocument/2006/relationships/hyperlink" Target="http://mkd.gzhi.oviont.com/dom/common.php?id_dom=137156" TargetMode="External"/><Relationship Id="rId215" Type="http://schemas.openxmlformats.org/officeDocument/2006/relationships/hyperlink" Target="http://mkd.gzhi.oviont.com/dom/common.php?id_dom=133912" TargetMode="External"/><Relationship Id="rId236" Type="http://schemas.openxmlformats.org/officeDocument/2006/relationships/hyperlink" Target="http://mkd.gzhi.oviont.com/dom/common.php?id_dom=167058" TargetMode="External"/><Relationship Id="rId257" Type="http://schemas.openxmlformats.org/officeDocument/2006/relationships/hyperlink" Target="http://mkd.gzhi.oviont.com/dom/common.php?id_dom=171502" TargetMode="External"/><Relationship Id="rId278" Type="http://schemas.openxmlformats.org/officeDocument/2006/relationships/hyperlink" Target="http://mkd.gzhi.oviont.com/dom/common.php?id_dom=114241" TargetMode="External"/><Relationship Id="rId401" Type="http://schemas.openxmlformats.org/officeDocument/2006/relationships/hyperlink" Target="http://mkd.gzhi.oviont.com/dom/common.php?id_dom=131706" TargetMode="External"/><Relationship Id="rId303" Type="http://schemas.openxmlformats.org/officeDocument/2006/relationships/hyperlink" Target="http://mkd.gzhi.oviont.com/dom/common.php?id_dom=160700" TargetMode="External"/><Relationship Id="rId42" Type="http://schemas.openxmlformats.org/officeDocument/2006/relationships/hyperlink" Target="http://mkd.gzhi.oviont.com/dom/common.php?id_dom=152883" TargetMode="External"/><Relationship Id="rId84" Type="http://schemas.openxmlformats.org/officeDocument/2006/relationships/hyperlink" Target="http://mkd.gzhi.oviont.com/dom/common.php?id_dom=125991" TargetMode="External"/><Relationship Id="rId138" Type="http://schemas.openxmlformats.org/officeDocument/2006/relationships/hyperlink" Target="http://mkd.gzhi.oviont.com/dom/common.php?id_dom=161046" TargetMode="External"/><Relationship Id="rId345" Type="http://schemas.openxmlformats.org/officeDocument/2006/relationships/hyperlink" Target="http://mkd.gzhi.oviont.com/dom/common.php?id_dom=157967" TargetMode="External"/><Relationship Id="rId387" Type="http://schemas.openxmlformats.org/officeDocument/2006/relationships/hyperlink" Target="http://mkd.gzhi.oviont.com/dom/common.php?id_dom=155710" TargetMode="External"/><Relationship Id="rId191" Type="http://schemas.openxmlformats.org/officeDocument/2006/relationships/hyperlink" Target="http://mkd.gzhi.oviont.com/dom/common.php?id_dom=131414" TargetMode="External"/><Relationship Id="rId205" Type="http://schemas.openxmlformats.org/officeDocument/2006/relationships/hyperlink" Target="http://mkd.gzhi.oviont.com/dom/common.php?id_dom=130720" TargetMode="External"/><Relationship Id="rId247" Type="http://schemas.openxmlformats.org/officeDocument/2006/relationships/hyperlink" Target="http://mkd.gzhi.oviont.com/dom/common.php?id_dom=167598" TargetMode="External"/><Relationship Id="rId412" Type="http://schemas.openxmlformats.org/officeDocument/2006/relationships/printerSettings" Target="../printerSettings/printerSettings1.bin"/><Relationship Id="rId107" Type="http://schemas.openxmlformats.org/officeDocument/2006/relationships/hyperlink" Target="http://mkd.gzhi.oviont.com/dom/common.php?id_dom=156708" TargetMode="External"/><Relationship Id="rId289" Type="http://schemas.openxmlformats.org/officeDocument/2006/relationships/hyperlink" Target="http://mkd.gzhi.oviont.com/dom/common.php?id_dom=131857" TargetMode="External"/><Relationship Id="rId11" Type="http://schemas.openxmlformats.org/officeDocument/2006/relationships/hyperlink" Target="http://mkd.gzhi.oviont.com/dom/common.php?id_dom=123225" TargetMode="External"/><Relationship Id="rId53" Type="http://schemas.openxmlformats.org/officeDocument/2006/relationships/hyperlink" Target="http://mkd.gzhi.oviont.com/dom/common.php?id_dom=153180" TargetMode="External"/><Relationship Id="rId149" Type="http://schemas.openxmlformats.org/officeDocument/2006/relationships/hyperlink" Target="http://mkd.gzhi.oviont.com/dom/common.php?id_dom=152853" TargetMode="External"/><Relationship Id="rId314" Type="http://schemas.openxmlformats.org/officeDocument/2006/relationships/hyperlink" Target="http://mkd.gzhi.oviont.com/dom/common.php?id_dom=165765" TargetMode="External"/><Relationship Id="rId356" Type="http://schemas.openxmlformats.org/officeDocument/2006/relationships/hyperlink" Target="http://mkd.gzhi.oviont.com/dom/common.php?id_dom=146304" TargetMode="External"/><Relationship Id="rId398" Type="http://schemas.openxmlformats.org/officeDocument/2006/relationships/hyperlink" Target="http://mkd.gzhi.oviont.com/dom/common.php?id_dom=125571" TargetMode="External"/><Relationship Id="rId95" Type="http://schemas.openxmlformats.org/officeDocument/2006/relationships/hyperlink" Target="http://mkd.gzhi.oviont.com/dom/common.php?id_dom=127840" TargetMode="External"/><Relationship Id="rId160" Type="http://schemas.openxmlformats.org/officeDocument/2006/relationships/hyperlink" Target="http://mkd.gzhi.oviont.com/dom/common.php?id_dom=152783" TargetMode="External"/><Relationship Id="rId216" Type="http://schemas.openxmlformats.org/officeDocument/2006/relationships/hyperlink" Target="http://mkd.gzhi.oviont.com/dom/common.php?id_dom=133912" TargetMode="External"/><Relationship Id="rId258" Type="http://schemas.openxmlformats.org/officeDocument/2006/relationships/hyperlink" Target="http://mkd.gzhi.oviont.com/dom/common.php?id_dom=171657" TargetMode="External"/><Relationship Id="rId22" Type="http://schemas.openxmlformats.org/officeDocument/2006/relationships/hyperlink" Target="http://mkd.gzhi.oviont.com/dom/common.php?id_dom=152646" TargetMode="External"/><Relationship Id="rId64" Type="http://schemas.openxmlformats.org/officeDocument/2006/relationships/hyperlink" Target="http://mkd.gzhi.oviont.com/dom/common.php?id_dom=153471" TargetMode="External"/><Relationship Id="rId118" Type="http://schemas.openxmlformats.org/officeDocument/2006/relationships/hyperlink" Target="http://mkd.gzhi.oviont.com/dom/common.php?id_dom=130426" TargetMode="External"/><Relationship Id="rId325" Type="http://schemas.openxmlformats.org/officeDocument/2006/relationships/hyperlink" Target="http://mkd.gzhi.oviont.com/dom/common.php?id_dom=143661" TargetMode="External"/><Relationship Id="rId367" Type="http://schemas.openxmlformats.org/officeDocument/2006/relationships/hyperlink" Target="http://mkd.gzhi.oviont.com/dom/common.php?id_dom=146045" TargetMode="External"/><Relationship Id="rId171" Type="http://schemas.openxmlformats.org/officeDocument/2006/relationships/hyperlink" Target="http://mkd.gzhi.oviont.com/dom/common.php?id_dom=163090" TargetMode="External"/><Relationship Id="rId227" Type="http://schemas.openxmlformats.org/officeDocument/2006/relationships/hyperlink" Target="http://mkd.gzhi.oviont.com/dom/common.php?id_dom=166161" TargetMode="External"/><Relationship Id="rId269" Type="http://schemas.openxmlformats.org/officeDocument/2006/relationships/hyperlink" Target="http://mkd.gzhi.oviont.com/dom/common.php?id_dom=115294" TargetMode="External"/><Relationship Id="rId33" Type="http://schemas.openxmlformats.org/officeDocument/2006/relationships/hyperlink" Target="http://mkd.gzhi.oviont.com/dom/common.php?id_dom=152875" TargetMode="External"/><Relationship Id="rId129" Type="http://schemas.openxmlformats.org/officeDocument/2006/relationships/hyperlink" Target="http://mkd.gzhi.oviont.com/dom/common.php?id_dom=133013" TargetMode="External"/><Relationship Id="rId280" Type="http://schemas.openxmlformats.org/officeDocument/2006/relationships/hyperlink" Target="http://mkd.gzhi.oviont.com/dom/common.php?id_dom=114049" TargetMode="External"/><Relationship Id="rId336" Type="http://schemas.openxmlformats.org/officeDocument/2006/relationships/hyperlink" Target="http://mkd.gzhi.oviont.com/dom/common.php?id_dom=142804" TargetMode="External"/><Relationship Id="rId75" Type="http://schemas.openxmlformats.org/officeDocument/2006/relationships/hyperlink" Target="http://mkd.gzhi.oviont.com/dom/common.php?id_dom=153215" TargetMode="External"/><Relationship Id="rId140" Type="http://schemas.openxmlformats.org/officeDocument/2006/relationships/hyperlink" Target="http://mkd.gzhi.oviont.com/dom/common.php?id_dom=162573" TargetMode="External"/><Relationship Id="rId182" Type="http://schemas.openxmlformats.org/officeDocument/2006/relationships/hyperlink" Target="http://mkd.gzhi.oviont.com/dom/common.php?id_dom=121075" TargetMode="External"/><Relationship Id="rId378" Type="http://schemas.openxmlformats.org/officeDocument/2006/relationships/hyperlink" Target="http://mkd.gzhi.oviont.com/dom/common.php?id_dom=156082" TargetMode="External"/><Relationship Id="rId403" Type="http://schemas.openxmlformats.org/officeDocument/2006/relationships/hyperlink" Target="http://mkd.gzhi.oviont.com/dom/common.php?id_dom=135517" TargetMode="External"/><Relationship Id="rId6" Type="http://schemas.openxmlformats.org/officeDocument/2006/relationships/hyperlink" Target="http://mkd.gzhi.oviont.com/dom/common.php?id_dom=175240" TargetMode="External"/><Relationship Id="rId238" Type="http://schemas.openxmlformats.org/officeDocument/2006/relationships/hyperlink" Target="http://mkd.gzhi.oviont.com/dom/common.php?id_dom=167054" TargetMode="External"/><Relationship Id="rId291" Type="http://schemas.openxmlformats.org/officeDocument/2006/relationships/hyperlink" Target="http://mkd.gzhi.oviont.com/dom/common.php?id_dom=143177" TargetMode="External"/><Relationship Id="rId305" Type="http://schemas.openxmlformats.org/officeDocument/2006/relationships/hyperlink" Target="http://mkd.gzhi.oviont.com/dom/common.php?id_dom=160438" TargetMode="External"/><Relationship Id="rId347" Type="http://schemas.openxmlformats.org/officeDocument/2006/relationships/hyperlink" Target="http://mkd.gzhi.oviont.com/dom/common.php?id_dom=146309" TargetMode="External"/><Relationship Id="rId44" Type="http://schemas.openxmlformats.org/officeDocument/2006/relationships/hyperlink" Target="http://mkd.gzhi.oviont.com/dom/common.php?id_dom=152885" TargetMode="External"/><Relationship Id="rId86" Type="http://schemas.openxmlformats.org/officeDocument/2006/relationships/hyperlink" Target="http://mkd.gzhi.oviont.com/dom/common.php?id_dom=125992" TargetMode="External"/><Relationship Id="rId151" Type="http://schemas.openxmlformats.org/officeDocument/2006/relationships/hyperlink" Target="http://mkd.gzhi.oviont.com/dom/common.php?id_dom=153322" TargetMode="External"/><Relationship Id="rId389" Type="http://schemas.openxmlformats.org/officeDocument/2006/relationships/hyperlink" Target="http://mkd.gzhi.oviont.com/dom/common.php?id_dom=147612" TargetMode="External"/><Relationship Id="rId193" Type="http://schemas.openxmlformats.org/officeDocument/2006/relationships/hyperlink" Target="http://mkd.gzhi.oviont.com/dom/common.php?id_dom=131416" TargetMode="External"/><Relationship Id="rId207" Type="http://schemas.openxmlformats.org/officeDocument/2006/relationships/hyperlink" Target="http://mkd.gzhi.oviont.com/dom/common.php?id_dom=165301" TargetMode="External"/><Relationship Id="rId249" Type="http://schemas.openxmlformats.org/officeDocument/2006/relationships/hyperlink" Target="http://mkd.gzhi.oviont.com/dom/common.php?id_dom=167612" TargetMode="External"/><Relationship Id="rId414" Type="http://schemas.openxmlformats.org/officeDocument/2006/relationships/comments" Target="../comments1.xml"/><Relationship Id="rId13" Type="http://schemas.openxmlformats.org/officeDocument/2006/relationships/hyperlink" Target="http://mkd.gzhi.oviont.com/dom/common.php?id_dom=150602" TargetMode="External"/><Relationship Id="rId109" Type="http://schemas.openxmlformats.org/officeDocument/2006/relationships/hyperlink" Target="http://mkd.gzhi.oviont.com/dom/common.php?id_dom=156688" TargetMode="External"/><Relationship Id="rId260" Type="http://schemas.openxmlformats.org/officeDocument/2006/relationships/hyperlink" Target="http://mkd.gzhi.oviont.com/dom/common.php?id_dom=171714" TargetMode="External"/><Relationship Id="rId316" Type="http://schemas.openxmlformats.org/officeDocument/2006/relationships/hyperlink" Target="http://mkd.gzhi.oviont.com/dom/common.php?id_dom=165940" TargetMode="External"/><Relationship Id="rId55" Type="http://schemas.openxmlformats.org/officeDocument/2006/relationships/hyperlink" Target="http://mkd.gzhi.oviont.com/dom/common.php?id_dom=153184" TargetMode="External"/><Relationship Id="rId97" Type="http://schemas.openxmlformats.org/officeDocument/2006/relationships/hyperlink" Target="http://mkd.gzhi.oviont.com/dom/common.php?id_dom=170857" TargetMode="External"/><Relationship Id="rId120" Type="http://schemas.openxmlformats.org/officeDocument/2006/relationships/hyperlink" Target="http://mkd.gzhi.oviont.com/dom/common.php?id_dom=130413" TargetMode="External"/><Relationship Id="rId358" Type="http://schemas.openxmlformats.org/officeDocument/2006/relationships/hyperlink" Target="http://mkd.gzhi.oviont.com/dom/common.php?id_dom=146306" TargetMode="External"/><Relationship Id="rId162" Type="http://schemas.openxmlformats.org/officeDocument/2006/relationships/hyperlink" Target="http://mkd.gzhi.oviont.com/dom/common.php?id_dom=168135" TargetMode="External"/><Relationship Id="rId218" Type="http://schemas.openxmlformats.org/officeDocument/2006/relationships/hyperlink" Target="http://mkd.gzhi.oviont.com/dom/common.php?id_dom=172767" TargetMode="External"/><Relationship Id="rId271" Type="http://schemas.openxmlformats.org/officeDocument/2006/relationships/hyperlink" Target="http://mkd.gzhi.oviont.com/dom/common.php?id_dom=114519" TargetMode="External"/><Relationship Id="rId24" Type="http://schemas.openxmlformats.org/officeDocument/2006/relationships/hyperlink" Target="http://mkd.gzhi.oviont.com/dom/common.php?id_dom=152678" TargetMode="External"/><Relationship Id="rId66" Type="http://schemas.openxmlformats.org/officeDocument/2006/relationships/hyperlink" Target="http://mkd.gzhi.oviont.com/dom/common.php?id_dom=153473" TargetMode="External"/><Relationship Id="rId131" Type="http://schemas.openxmlformats.org/officeDocument/2006/relationships/hyperlink" Target="http://mkd.gzhi.oviont.com/dom/common.php?id_dom=133364" TargetMode="External"/><Relationship Id="rId327" Type="http://schemas.openxmlformats.org/officeDocument/2006/relationships/hyperlink" Target="http://mkd.gzhi.oviont.com/dom/common.php?id_dom=143826" TargetMode="External"/><Relationship Id="rId369" Type="http://schemas.openxmlformats.org/officeDocument/2006/relationships/hyperlink" Target="http://mkd.gzhi.oviont.com/dom/common.php?id_dom=146892" TargetMode="External"/><Relationship Id="rId173" Type="http://schemas.openxmlformats.org/officeDocument/2006/relationships/hyperlink" Target="http://mkd.gzhi.oviont.com/dom/common.php?id_dom=163127" TargetMode="External"/><Relationship Id="rId229" Type="http://schemas.openxmlformats.org/officeDocument/2006/relationships/hyperlink" Target="http://mkd.gzhi.oviont.com/dom/common.php?id_dom=166251" TargetMode="External"/><Relationship Id="rId380" Type="http://schemas.openxmlformats.org/officeDocument/2006/relationships/hyperlink" Target="http://mkd.gzhi.oviont.com/dom/common.php?id_dom=156080" TargetMode="External"/><Relationship Id="rId240" Type="http://schemas.openxmlformats.org/officeDocument/2006/relationships/hyperlink" Target="http://mkd.gzhi.oviont.com/dom/common.php?id_dom=167056" TargetMode="External"/><Relationship Id="rId35" Type="http://schemas.openxmlformats.org/officeDocument/2006/relationships/hyperlink" Target="http://mkd.gzhi.oviont.com/dom/common.php?id_dom=153022" TargetMode="External"/><Relationship Id="rId77" Type="http://schemas.openxmlformats.org/officeDocument/2006/relationships/hyperlink" Target="http://mkd.gzhi.oviont.com/dom/common.php?id_dom=153217" TargetMode="External"/><Relationship Id="rId100" Type="http://schemas.openxmlformats.org/officeDocument/2006/relationships/hyperlink" Target="http://mkd.gzhi.oviont.com/dom/common.php?id_dom=170762" TargetMode="External"/><Relationship Id="rId282" Type="http://schemas.openxmlformats.org/officeDocument/2006/relationships/hyperlink" Target="http://mkd.gzhi.oviont.com/dom/common.php?id_dom=114182" TargetMode="External"/><Relationship Id="rId338" Type="http://schemas.openxmlformats.org/officeDocument/2006/relationships/hyperlink" Target="http://mkd.gzhi.oviont.com/dom/common.php?id_dom=142890" TargetMode="External"/><Relationship Id="rId8" Type="http://schemas.openxmlformats.org/officeDocument/2006/relationships/hyperlink" Target="http://mkd.gzhi.oviont.com/dom/common.php?id_dom=175091" TargetMode="External"/><Relationship Id="rId142" Type="http://schemas.openxmlformats.org/officeDocument/2006/relationships/hyperlink" Target="http://mkd.gzhi.oviont.com/dom/common.php?id_dom=153173" TargetMode="External"/><Relationship Id="rId184" Type="http://schemas.openxmlformats.org/officeDocument/2006/relationships/hyperlink" Target="http://mkd.gzhi.oviont.com/dom/common.php?id_dom=125200" TargetMode="External"/><Relationship Id="rId391" Type="http://schemas.openxmlformats.org/officeDocument/2006/relationships/hyperlink" Target="http://mkd.gzhi.oviont.com/dom/common.php?id_dom=147482" TargetMode="External"/><Relationship Id="rId405" Type="http://schemas.openxmlformats.org/officeDocument/2006/relationships/hyperlink" Target="http://mkd.gzhi.oviont.com/dom/common.php?id_dom=135634" TargetMode="External"/><Relationship Id="rId251" Type="http://schemas.openxmlformats.org/officeDocument/2006/relationships/hyperlink" Target="http://mkd.gzhi.oviont.com/dom/common.php?id_dom=167619" TargetMode="External"/><Relationship Id="rId46" Type="http://schemas.openxmlformats.org/officeDocument/2006/relationships/hyperlink" Target="http://mkd.gzhi.oviont.com/dom/common.php?id_dom=153012" TargetMode="External"/><Relationship Id="rId293" Type="http://schemas.openxmlformats.org/officeDocument/2006/relationships/hyperlink" Target="http://mkd.gzhi.oviont.com/dom/common.php?id_dom=160628" TargetMode="External"/><Relationship Id="rId307" Type="http://schemas.openxmlformats.org/officeDocument/2006/relationships/hyperlink" Target="http://mkd.gzhi.oviont.com/dom/common.php?id_dom=160377" TargetMode="External"/><Relationship Id="rId349" Type="http://schemas.openxmlformats.org/officeDocument/2006/relationships/hyperlink" Target="http://mkd.gzhi.oviont.com/dom/common.php?id_dom=146310" TargetMode="External"/><Relationship Id="rId88" Type="http://schemas.openxmlformats.org/officeDocument/2006/relationships/hyperlink" Target="http://mkd.gzhi.oviont.com/dom/common.php?id_dom=126431" TargetMode="External"/><Relationship Id="rId111" Type="http://schemas.openxmlformats.org/officeDocument/2006/relationships/hyperlink" Target="http://mkd.gzhi.oviont.com/dom/common.php?id_dom=151214" TargetMode="External"/><Relationship Id="rId153" Type="http://schemas.openxmlformats.org/officeDocument/2006/relationships/hyperlink" Target="http://mkd.gzhi.oviont.com/dom/common.php?id_dom=152762" TargetMode="External"/><Relationship Id="rId195" Type="http://schemas.openxmlformats.org/officeDocument/2006/relationships/hyperlink" Target="http://mkd.gzhi.oviont.com/dom/common.php?id_dom=131479" TargetMode="External"/><Relationship Id="rId209" Type="http://schemas.openxmlformats.org/officeDocument/2006/relationships/hyperlink" Target="http://mkd.gzhi.oviont.com/dom/common.php?id_dom=133892" TargetMode="External"/><Relationship Id="rId360" Type="http://schemas.openxmlformats.org/officeDocument/2006/relationships/hyperlink" Target="http://mkd.gzhi.oviont.com/dom/common.php?id_dom=146257" TargetMode="External"/><Relationship Id="rId220" Type="http://schemas.openxmlformats.org/officeDocument/2006/relationships/hyperlink" Target="http://mkd.gzhi.oviont.com/dom/common.php?id_dom=174354" TargetMode="External"/><Relationship Id="rId15" Type="http://schemas.openxmlformats.org/officeDocument/2006/relationships/hyperlink" Target="http://mkd.gzhi.oviont.com/dom/common.php?id_dom=123486" TargetMode="External"/><Relationship Id="rId57" Type="http://schemas.openxmlformats.org/officeDocument/2006/relationships/hyperlink" Target="http://mkd.gzhi.oviont.com/dom/common.php?id_dom=153341" TargetMode="External"/><Relationship Id="rId262" Type="http://schemas.openxmlformats.org/officeDocument/2006/relationships/hyperlink" Target="http://mkd.gzhi.oviont.com/dom/common.php?id_dom=171795" TargetMode="External"/><Relationship Id="rId318" Type="http://schemas.openxmlformats.org/officeDocument/2006/relationships/hyperlink" Target="http://mkd.gzhi.oviont.com/dom/common.php?id_dom=145118" TargetMode="External"/><Relationship Id="rId99" Type="http://schemas.openxmlformats.org/officeDocument/2006/relationships/hyperlink" Target="http://mkd.gzhi.oviont.com/dom/common.php?id_dom=170767" TargetMode="External"/><Relationship Id="rId122" Type="http://schemas.openxmlformats.org/officeDocument/2006/relationships/hyperlink" Target="http://mkd.gzhi.oviont.com/dom/common.php?id_dom=157876" TargetMode="External"/><Relationship Id="rId164" Type="http://schemas.openxmlformats.org/officeDocument/2006/relationships/hyperlink" Target="http://mkd.gzhi.oviont.com/dom/common.php?id_dom=168137" TargetMode="External"/><Relationship Id="rId371" Type="http://schemas.openxmlformats.org/officeDocument/2006/relationships/hyperlink" Target="http://mkd.gzhi.oviont.com/dom/common.php?id_dom=146097" TargetMode="External"/><Relationship Id="rId26" Type="http://schemas.openxmlformats.org/officeDocument/2006/relationships/hyperlink" Target="http://mkd.gzhi.oviont.com/dom/common.php?id_dom=152684" TargetMode="External"/><Relationship Id="rId231" Type="http://schemas.openxmlformats.org/officeDocument/2006/relationships/hyperlink" Target="http://mkd.gzhi.oviont.com/dom/common.php?id_dom=167040" TargetMode="External"/><Relationship Id="rId273" Type="http://schemas.openxmlformats.org/officeDocument/2006/relationships/hyperlink" Target="http://mkd.gzhi.oviont.com/dom/common.php?id_dom=115223" TargetMode="External"/><Relationship Id="rId329" Type="http://schemas.openxmlformats.org/officeDocument/2006/relationships/hyperlink" Target="http://mkd.gzhi.oviont.com/dom/common.php?id_dom=120255" TargetMode="External"/><Relationship Id="rId68" Type="http://schemas.openxmlformats.org/officeDocument/2006/relationships/hyperlink" Target="http://mkd.gzhi.oviont.com/dom/common.php?id_dom=153477" TargetMode="External"/><Relationship Id="rId133" Type="http://schemas.openxmlformats.org/officeDocument/2006/relationships/hyperlink" Target="http://mkd.gzhi.oviont.com/dom/common.php?id_dom=161000" TargetMode="External"/><Relationship Id="rId175" Type="http://schemas.openxmlformats.org/officeDocument/2006/relationships/hyperlink" Target="http://mkd.gzhi.oviont.com/dom/common.php?id_dom=163124" TargetMode="External"/><Relationship Id="rId340" Type="http://schemas.openxmlformats.org/officeDocument/2006/relationships/hyperlink" Target="http://mkd.gzhi.oviont.com/dom/common.php?id_dom=142520" TargetMode="External"/><Relationship Id="rId200" Type="http://schemas.openxmlformats.org/officeDocument/2006/relationships/hyperlink" Target="http://mkd.gzhi.oviont.com/dom/common.php?id_dom=130724" TargetMode="External"/><Relationship Id="rId382" Type="http://schemas.openxmlformats.org/officeDocument/2006/relationships/hyperlink" Target="http://mkd.gzhi.oviont.com/dom/common.php?id_dom=156584" TargetMode="External"/><Relationship Id="rId242" Type="http://schemas.openxmlformats.org/officeDocument/2006/relationships/hyperlink" Target="http://mkd.gzhi.oviont.com/dom/common.php?id_dom=166796" TargetMode="External"/><Relationship Id="rId284" Type="http://schemas.openxmlformats.org/officeDocument/2006/relationships/hyperlink" Target="http://mkd.gzhi.oviont.com/dom/common.php?id_dom=114156" TargetMode="External"/><Relationship Id="rId37" Type="http://schemas.openxmlformats.org/officeDocument/2006/relationships/hyperlink" Target="http://mkd.gzhi.oviont.com/dom/common.php?id_dom=153016" TargetMode="External"/><Relationship Id="rId79" Type="http://schemas.openxmlformats.org/officeDocument/2006/relationships/hyperlink" Target="http://mkd.gzhi.oviont.com/dom/common.php?id_dom=125987" TargetMode="External"/><Relationship Id="rId102" Type="http://schemas.openxmlformats.org/officeDocument/2006/relationships/hyperlink" Target="http://mkd.gzhi.oviont.com/dom/common.php?id_dom=117289" TargetMode="External"/><Relationship Id="rId144" Type="http://schemas.openxmlformats.org/officeDocument/2006/relationships/hyperlink" Target="http://mkd.gzhi.oviont.com/dom/common.php?id_dom=152802" TargetMode="External"/><Relationship Id="rId90" Type="http://schemas.openxmlformats.org/officeDocument/2006/relationships/hyperlink" Target="http://mkd.gzhi.oviont.com/dom/common.php?id_dom=182739" TargetMode="External"/><Relationship Id="rId186" Type="http://schemas.openxmlformats.org/officeDocument/2006/relationships/hyperlink" Target="http://mkd.gzhi.oviont.com/dom/common.php?id_dom=131351" TargetMode="External"/><Relationship Id="rId351" Type="http://schemas.openxmlformats.org/officeDocument/2006/relationships/hyperlink" Target="http://mkd.gzhi.oviont.com/dom/common.php?id_dom=146313" TargetMode="External"/><Relationship Id="rId393" Type="http://schemas.openxmlformats.org/officeDocument/2006/relationships/hyperlink" Target="http://mkd.gzhi.oviont.com/dom/common.php?id_dom=172237" TargetMode="External"/><Relationship Id="rId407" Type="http://schemas.openxmlformats.org/officeDocument/2006/relationships/hyperlink" Target="http://mkd.gzhi.oviont.com/dom/common.php?id_dom=135636" TargetMode="External"/><Relationship Id="rId211" Type="http://schemas.openxmlformats.org/officeDocument/2006/relationships/hyperlink" Target="http://mkd.gzhi.oviont.com/dom/common.php?id_dom=133894" TargetMode="External"/><Relationship Id="rId253" Type="http://schemas.openxmlformats.org/officeDocument/2006/relationships/hyperlink" Target="http://mkd.gzhi.oviont.com/dom/common.php?id_dom=166770" TargetMode="External"/><Relationship Id="rId295" Type="http://schemas.openxmlformats.org/officeDocument/2006/relationships/hyperlink" Target="http://mkd.gzhi.oviont.com/dom/common.php?id_dom=160633" TargetMode="External"/><Relationship Id="rId309" Type="http://schemas.openxmlformats.org/officeDocument/2006/relationships/hyperlink" Target="http://mkd.gzhi.oviont.com/dom/common.php?id_dom=162479" TargetMode="External"/><Relationship Id="rId48" Type="http://schemas.openxmlformats.org/officeDocument/2006/relationships/hyperlink" Target="http://mkd.gzhi.oviont.com/dom/common.php?id_dom=153018" TargetMode="External"/><Relationship Id="rId113" Type="http://schemas.openxmlformats.org/officeDocument/2006/relationships/hyperlink" Target="http://mkd.gzhi.oviont.com/dom/common.php?id_dom=151654" TargetMode="External"/><Relationship Id="rId320" Type="http://schemas.openxmlformats.org/officeDocument/2006/relationships/hyperlink" Target="http://mkd.gzhi.oviont.com/dom/common.php?id_dom=144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9"/>
  <sheetViews>
    <sheetView tabSelected="1" topLeftCell="G1" zoomScale="75" zoomScaleNormal="75" workbookViewId="0">
      <pane ySplit="1" topLeftCell="A2" activePane="bottomLeft" state="frozen"/>
      <selection pane="bottomLeft" activeCell="AG7" sqref="AG7"/>
    </sheetView>
  </sheetViews>
  <sheetFormatPr defaultColWidth="9.109375" defaultRowHeight="18" x14ac:dyDescent="0.35"/>
  <cols>
    <col min="1" max="1" width="9.109375" style="8" hidden="1" customWidth="1"/>
    <col min="2" max="2" width="7.5546875" style="61" customWidth="1"/>
    <col min="3" max="3" width="17.44140625" style="62" customWidth="1"/>
    <col min="4" max="4" width="15.109375" style="61" customWidth="1"/>
    <col min="5" max="5" width="52.88671875" style="61" customWidth="1"/>
    <col min="6" max="6" width="14.33203125" style="63" customWidth="1"/>
    <col min="7" max="7" width="6.44140625" style="64" customWidth="1"/>
    <col min="8" max="8" width="25.88671875" style="61" customWidth="1"/>
    <col min="9" max="9" width="15.33203125" style="61" hidden="1" customWidth="1"/>
    <col min="10" max="10" width="12" style="61" hidden="1" customWidth="1"/>
    <col min="11" max="11" width="10.5546875" style="61" hidden="1" customWidth="1"/>
    <col min="12" max="12" width="10.5546875" style="31" hidden="1" customWidth="1"/>
    <col min="13" max="13" width="13" style="31" hidden="1" customWidth="1"/>
    <col min="14" max="14" width="9.44140625" style="61" hidden="1" customWidth="1"/>
    <col min="15" max="15" width="13.33203125" style="64" hidden="1" customWidth="1"/>
    <col min="16" max="16" width="11" style="61" hidden="1" customWidth="1"/>
    <col min="17" max="17" width="8.5546875" style="61" hidden="1" customWidth="1"/>
    <col min="18" max="18" width="15.109375" style="65" hidden="1" customWidth="1"/>
    <col min="19" max="19" width="12.77734375" style="64" customWidth="1"/>
    <col min="20" max="20" width="16.88671875" style="64" customWidth="1"/>
    <col min="21" max="21" width="12.77734375" style="64" customWidth="1"/>
    <col min="22" max="22" width="20.88671875" style="65" customWidth="1"/>
    <col min="23" max="23" width="19.33203125" style="64" customWidth="1"/>
    <col min="24" max="24" width="20.33203125" style="65" customWidth="1"/>
    <col min="25" max="25" width="14" style="68" customWidth="1"/>
    <col min="26" max="26" width="11.44140625" style="68" customWidth="1"/>
    <col min="27" max="27" width="13.21875" style="68" customWidth="1"/>
    <col min="28" max="28" width="12.33203125" style="68" customWidth="1"/>
    <col min="29" max="29" width="10.5546875" style="68" customWidth="1"/>
    <col min="30" max="32" width="16.33203125" style="68" customWidth="1"/>
    <col min="33" max="33" width="17.88671875" style="8" customWidth="1"/>
    <col min="34" max="16384" width="9.109375" style="8"/>
  </cols>
  <sheetData>
    <row r="1" spans="1:33" ht="72" x14ac:dyDescent="0.3">
      <c r="A1" s="74"/>
      <c r="B1" s="1" t="s">
        <v>0</v>
      </c>
      <c r="C1" s="1" t="s">
        <v>1</v>
      </c>
      <c r="D1" s="1"/>
      <c r="E1" s="1" t="s">
        <v>2</v>
      </c>
      <c r="F1" s="1" t="s">
        <v>3</v>
      </c>
      <c r="G1" s="2" t="s">
        <v>4</v>
      </c>
      <c r="H1" s="1" t="s">
        <v>5</v>
      </c>
      <c r="I1" s="1"/>
      <c r="J1" s="1" t="s">
        <v>6</v>
      </c>
      <c r="K1" s="3" t="s">
        <v>7</v>
      </c>
      <c r="L1" s="4" t="s">
        <v>8</v>
      </c>
      <c r="M1" s="4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5" t="s">
        <v>14</v>
      </c>
      <c r="S1" s="2" t="s">
        <v>15</v>
      </c>
      <c r="T1" s="2" t="s">
        <v>16</v>
      </c>
      <c r="U1" s="2" t="s">
        <v>17</v>
      </c>
      <c r="V1" s="5" t="s">
        <v>18</v>
      </c>
      <c r="W1" s="2" t="s">
        <v>19</v>
      </c>
      <c r="X1" s="5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26</v>
      </c>
      <c r="AF1" s="7" t="s">
        <v>27</v>
      </c>
    </row>
    <row r="2" spans="1:33" s="14" customFormat="1" x14ac:dyDescent="0.3">
      <c r="A2" s="75"/>
      <c r="B2" s="9">
        <v>1</v>
      </c>
      <c r="C2" s="9">
        <v>2</v>
      </c>
      <c r="D2" s="9">
        <v>3</v>
      </c>
      <c r="E2" s="9">
        <v>4</v>
      </c>
      <c r="F2" s="9">
        <v>5</v>
      </c>
      <c r="G2" s="10" t="s">
        <v>28</v>
      </c>
      <c r="H2" s="9">
        <v>7</v>
      </c>
      <c r="I2" s="9">
        <v>8</v>
      </c>
      <c r="J2" s="9">
        <v>9</v>
      </c>
      <c r="K2" s="9">
        <v>10</v>
      </c>
      <c r="L2" s="11">
        <v>11</v>
      </c>
      <c r="M2" s="11">
        <v>12</v>
      </c>
      <c r="N2" s="10" t="s">
        <v>29</v>
      </c>
      <c r="O2" s="10" t="s">
        <v>30</v>
      </c>
      <c r="P2" s="9">
        <v>15</v>
      </c>
      <c r="Q2" s="9">
        <v>16</v>
      </c>
      <c r="R2" s="12">
        <v>17</v>
      </c>
      <c r="S2" s="10" t="s">
        <v>31</v>
      </c>
      <c r="T2" s="10" t="s">
        <v>32</v>
      </c>
      <c r="U2" s="10" t="s">
        <v>33</v>
      </c>
      <c r="V2" s="12">
        <v>21</v>
      </c>
      <c r="W2" s="10" t="s">
        <v>34</v>
      </c>
      <c r="X2" s="12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30</v>
      </c>
      <c r="AD2" s="13">
        <v>31</v>
      </c>
      <c r="AE2" s="13">
        <v>32</v>
      </c>
      <c r="AF2" s="13">
        <v>33</v>
      </c>
      <c r="AG2" s="14">
        <v>34</v>
      </c>
    </row>
    <row r="3" spans="1:33" ht="37.799999999999997" customHeight="1" x14ac:dyDescent="0.35">
      <c r="A3" s="15">
        <v>1</v>
      </c>
      <c r="B3" s="16">
        <v>1</v>
      </c>
      <c r="C3" s="17" t="s">
        <v>35</v>
      </c>
      <c r="D3" s="18">
        <v>2017</v>
      </c>
      <c r="E3" s="19" t="s">
        <v>36</v>
      </c>
      <c r="F3" s="16" t="s">
        <v>37</v>
      </c>
      <c r="G3" s="7" t="s">
        <v>38</v>
      </c>
      <c r="H3" s="16" t="s">
        <v>39</v>
      </c>
      <c r="I3" s="20">
        <v>490000</v>
      </c>
      <c r="J3" s="21">
        <v>700</v>
      </c>
      <c r="K3" s="16">
        <v>363</v>
      </c>
      <c r="L3" s="22">
        <f t="shared" ref="L3:L12" si="0">(K3/J3)-1</f>
        <v>-0.48142857142857143</v>
      </c>
      <c r="M3" s="23">
        <v>1</v>
      </c>
      <c r="N3" s="7">
        <v>0</v>
      </c>
      <c r="O3" s="7" t="s">
        <v>40</v>
      </c>
      <c r="P3" s="24"/>
      <c r="Q3" s="7" t="s">
        <v>41</v>
      </c>
      <c r="R3" s="25"/>
      <c r="S3" s="24"/>
      <c r="T3" s="24" t="s">
        <v>42</v>
      </c>
      <c r="U3" s="24" t="s">
        <v>42</v>
      </c>
      <c r="V3" s="25"/>
      <c r="W3" s="24" t="s">
        <v>43</v>
      </c>
      <c r="X3" s="25">
        <v>3929209.62</v>
      </c>
      <c r="Y3" s="13"/>
      <c r="Z3" s="13"/>
      <c r="AA3" s="13"/>
      <c r="AB3" s="13"/>
      <c r="AC3" s="13">
        <v>2</v>
      </c>
      <c r="AD3" s="26"/>
      <c r="AE3" s="26"/>
      <c r="AF3" s="26">
        <f>AE3*0.4</f>
        <v>0</v>
      </c>
    </row>
    <row r="4" spans="1:33" ht="54" x14ac:dyDescent="0.35">
      <c r="A4" s="15">
        <v>2</v>
      </c>
      <c r="B4" s="16">
        <v>2</v>
      </c>
      <c r="C4" s="17" t="s">
        <v>35</v>
      </c>
      <c r="D4" s="18">
        <v>2017</v>
      </c>
      <c r="E4" s="19" t="s">
        <v>44</v>
      </c>
      <c r="F4" s="16" t="s">
        <v>45</v>
      </c>
      <c r="G4" s="7" t="s">
        <v>46</v>
      </c>
      <c r="H4" s="16" t="s">
        <v>47</v>
      </c>
      <c r="I4" s="20">
        <v>4769.18</v>
      </c>
      <c r="J4" s="21">
        <v>10</v>
      </c>
      <c r="K4" s="16">
        <v>179.2</v>
      </c>
      <c r="L4" s="22">
        <f t="shared" si="0"/>
        <v>16.919999999999998</v>
      </c>
      <c r="M4" s="22"/>
      <c r="N4" s="7">
        <v>0</v>
      </c>
      <c r="O4" s="7"/>
      <c r="P4" s="24"/>
      <c r="Q4" s="7" t="s">
        <v>48</v>
      </c>
      <c r="R4" s="25"/>
      <c r="S4" s="24"/>
      <c r="T4" s="24" t="s">
        <v>42</v>
      </c>
      <c r="U4" s="24" t="s">
        <v>42</v>
      </c>
      <c r="V4" s="25"/>
      <c r="W4" s="24"/>
      <c r="X4" s="25"/>
      <c r="Y4" s="13">
        <v>15872</v>
      </c>
      <c r="Z4" s="13">
        <v>15.5</v>
      </c>
      <c r="AA4" s="13">
        <v>16</v>
      </c>
      <c r="AB4" s="13">
        <v>5</v>
      </c>
      <c r="AC4" s="13">
        <v>2</v>
      </c>
      <c r="AD4" s="13">
        <v>778.88</v>
      </c>
      <c r="AE4" s="13">
        <v>778.88</v>
      </c>
      <c r="AF4" s="26">
        <f t="shared" ref="AF4:AF67" si="1">AE4*0.4</f>
        <v>311.55200000000002</v>
      </c>
      <c r="AG4" s="27" t="s">
        <v>1189</v>
      </c>
    </row>
    <row r="5" spans="1:33" ht="36" x14ac:dyDescent="0.35">
      <c r="A5" s="15">
        <v>3</v>
      </c>
      <c r="B5" s="16">
        <v>3</v>
      </c>
      <c r="C5" s="17" t="s">
        <v>35</v>
      </c>
      <c r="D5" s="18">
        <v>2017</v>
      </c>
      <c r="E5" s="19" t="s">
        <v>49</v>
      </c>
      <c r="F5" s="16" t="s">
        <v>50</v>
      </c>
      <c r="G5" s="7" t="s">
        <v>38</v>
      </c>
      <c r="H5" s="16" t="s">
        <v>39</v>
      </c>
      <c r="I5" s="20">
        <v>179200</v>
      </c>
      <c r="J5" s="21">
        <v>256</v>
      </c>
      <c r="K5" s="16">
        <f>(91.2*2+12.9*2)*2.5</f>
        <v>520.5</v>
      </c>
      <c r="L5" s="22">
        <f t="shared" si="0"/>
        <v>1.033203125</v>
      </c>
      <c r="M5" s="22"/>
      <c r="N5" s="7">
        <v>0</v>
      </c>
      <c r="O5" s="7"/>
      <c r="P5" s="24"/>
      <c r="Q5" s="7" t="s">
        <v>48</v>
      </c>
      <c r="R5" s="25"/>
      <c r="S5" s="24"/>
      <c r="T5" s="24"/>
      <c r="U5" s="24"/>
      <c r="V5" s="25"/>
      <c r="W5" s="24"/>
      <c r="X5" s="25"/>
      <c r="Y5" s="13">
        <v>19978</v>
      </c>
      <c r="Z5" s="13">
        <v>16.5</v>
      </c>
      <c r="AA5" s="13">
        <v>17</v>
      </c>
      <c r="AB5" s="13">
        <v>5</v>
      </c>
      <c r="AC5" s="13">
        <v>2</v>
      </c>
      <c r="AD5" s="13">
        <v>1068.82</v>
      </c>
      <c r="AE5" s="13">
        <v>1068.82</v>
      </c>
      <c r="AF5" s="26">
        <f t="shared" si="1"/>
        <v>427.52800000000002</v>
      </c>
      <c r="AG5" s="27" t="s">
        <v>1190</v>
      </c>
    </row>
    <row r="6" spans="1:33" ht="39" customHeight="1" x14ac:dyDescent="0.35">
      <c r="A6" s="15">
        <v>4</v>
      </c>
      <c r="B6" s="16">
        <v>4</v>
      </c>
      <c r="C6" s="17" t="s">
        <v>35</v>
      </c>
      <c r="D6" s="18">
        <v>2017</v>
      </c>
      <c r="E6" s="19" t="s">
        <v>51</v>
      </c>
      <c r="F6" s="16" t="s">
        <v>52</v>
      </c>
      <c r="G6" s="7" t="s">
        <v>38</v>
      </c>
      <c r="H6" s="16" t="s">
        <v>39</v>
      </c>
      <c r="I6" s="20">
        <v>79240</v>
      </c>
      <c r="J6" s="21">
        <v>113.2</v>
      </c>
      <c r="K6" s="16"/>
      <c r="L6" s="22">
        <f t="shared" si="0"/>
        <v>-1</v>
      </c>
      <c r="M6" s="22"/>
      <c r="N6" s="7" t="s">
        <v>53</v>
      </c>
      <c r="O6" s="7" t="s">
        <v>54</v>
      </c>
      <c r="P6" s="24"/>
      <c r="Q6" s="7" t="s">
        <v>54</v>
      </c>
      <c r="R6" s="25">
        <v>2132361.25</v>
      </c>
      <c r="S6" s="24"/>
      <c r="T6" s="24" t="s">
        <v>42</v>
      </c>
      <c r="U6" s="24" t="s">
        <v>42</v>
      </c>
      <c r="V6" s="25"/>
      <c r="W6" s="24"/>
      <c r="X6" s="25">
        <v>2620836.71</v>
      </c>
      <c r="Y6" s="13"/>
      <c r="Z6" s="13"/>
      <c r="AA6" s="13"/>
      <c r="AB6" s="13"/>
      <c r="AC6" s="13">
        <v>2</v>
      </c>
      <c r="AD6" s="13"/>
      <c r="AE6" s="13"/>
      <c r="AF6" s="26">
        <f t="shared" si="1"/>
        <v>0</v>
      </c>
    </row>
    <row r="7" spans="1:33" ht="36" x14ac:dyDescent="0.35">
      <c r="A7" s="15">
        <v>5</v>
      </c>
      <c r="B7" s="16">
        <v>5</v>
      </c>
      <c r="C7" s="17" t="s">
        <v>35</v>
      </c>
      <c r="D7" s="18">
        <v>2018</v>
      </c>
      <c r="E7" s="19" t="s">
        <v>55</v>
      </c>
      <c r="F7" s="16" t="s">
        <v>56</v>
      </c>
      <c r="G7" s="7" t="s">
        <v>38</v>
      </c>
      <c r="H7" s="16" t="s">
        <v>39</v>
      </c>
      <c r="I7" s="20">
        <v>447370</v>
      </c>
      <c r="J7" s="21">
        <v>581</v>
      </c>
      <c r="K7" s="16">
        <f>307.2*2.5</f>
        <v>768</v>
      </c>
      <c r="L7" s="22">
        <f t="shared" si="0"/>
        <v>0.32185886402753883</v>
      </c>
      <c r="M7" s="22"/>
      <c r="N7" s="7">
        <v>0</v>
      </c>
      <c r="O7" s="7"/>
      <c r="P7" s="24"/>
      <c r="Q7" s="7" t="s">
        <v>48</v>
      </c>
      <c r="R7" s="25"/>
      <c r="S7" s="24"/>
      <c r="T7" s="24"/>
      <c r="U7" s="24"/>
      <c r="V7" s="25"/>
      <c r="W7" s="24"/>
      <c r="X7" s="25"/>
      <c r="Y7" s="13">
        <v>68336</v>
      </c>
      <c r="Z7" s="13">
        <v>28.9</v>
      </c>
      <c r="AA7" s="13">
        <v>21</v>
      </c>
      <c r="AB7" s="13">
        <v>9</v>
      </c>
      <c r="AC7" s="13">
        <v>2</v>
      </c>
      <c r="AD7" s="13">
        <v>2522.46</v>
      </c>
      <c r="AE7" s="13">
        <v>2522.46</v>
      </c>
      <c r="AF7" s="26">
        <f t="shared" si="1"/>
        <v>1008.984</v>
      </c>
      <c r="AG7" s="27" t="s">
        <v>1191</v>
      </c>
    </row>
    <row r="8" spans="1:33" ht="36" x14ac:dyDescent="0.35">
      <c r="A8" s="15">
        <v>7</v>
      </c>
      <c r="B8" s="16">
        <v>7</v>
      </c>
      <c r="C8" s="17" t="s">
        <v>35</v>
      </c>
      <c r="D8" s="18">
        <v>2018</v>
      </c>
      <c r="E8" s="19" t="s">
        <v>57</v>
      </c>
      <c r="F8" s="16" t="s">
        <v>58</v>
      </c>
      <c r="G8" s="7" t="s">
        <v>38</v>
      </c>
      <c r="H8" s="16" t="s">
        <v>39</v>
      </c>
      <c r="I8" s="20">
        <v>55594</v>
      </c>
      <c r="J8" s="21">
        <v>72.2</v>
      </c>
      <c r="K8" s="16">
        <f>(11.6*2+48.55*2)*1.7</f>
        <v>204.51</v>
      </c>
      <c r="L8" s="22">
        <f t="shared" si="0"/>
        <v>1.8325484764542934</v>
      </c>
      <c r="M8" s="22"/>
      <c r="N8" s="7">
        <v>0</v>
      </c>
      <c r="O8" s="7"/>
      <c r="P8" s="24"/>
      <c r="Q8" s="7" t="s">
        <v>48</v>
      </c>
      <c r="R8" s="25"/>
      <c r="S8" s="24"/>
      <c r="T8" s="24"/>
      <c r="U8" s="24"/>
      <c r="V8" s="25"/>
      <c r="W8" s="24"/>
      <c r="X8" s="25"/>
      <c r="Y8" s="13">
        <v>7772</v>
      </c>
      <c r="Z8" s="13">
        <v>13.8</v>
      </c>
      <c r="AA8" s="13">
        <v>14</v>
      </c>
      <c r="AB8" s="13">
        <v>5</v>
      </c>
      <c r="AC8" s="13">
        <v>2</v>
      </c>
      <c r="AD8" s="13">
        <v>717.09</v>
      </c>
      <c r="AE8" s="13">
        <v>717.09</v>
      </c>
      <c r="AF8" s="26">
        <f t="shared" si="1"/>
        <v>286.83600000000001</v>
      </c>
      <c r="AG8" s="27" t="s">
        <v>1192</v>
      </c>
    </row>
    <row r="9" spans="1:33" ht="36" x14ac:dyDescent="0.35">
      <c r="A9" s="15">
        <v>9</v>
      </c>
      <c r="B9" s="16">
        <v>9</v>
      </c>
      <c r="C9" s="17" t="s">
        <v>35</v>
      </c>
      <c r="D9" s="18">
        <v>2018</v>
      </c>
      <c r="E9" s="19" t="s">
        <v>59</v>
      </c>
      <c r="F9" s="16" t="s">
        <v>60</v>
      </c>
      <c r="G9" s="7" t="s">
        <v>38</v>
      </c>
      <c r="H9" s="16" t="s">
        <v>39</v>
      </c>
      <c r="I9" s="20">
        <v>55902</v>
      </c>
      <c r="J9" s="21">
        <v>72.599999999999994</v>
      </c>
      <c r="K9" s="16">
        <f>(11.6*2+48.55*2)*1.7</f>
        <v>204.51</v>
      </c>
      <c r="L9" s="22">
        <f t="shared" si="0"/>
        <v>1.8169421487603308</v>
      </c>
      <c r="M9" s="22"/>
      <c r="N9" s="7">
        <v>0</v>
      </c>
      <c r="O9" s="7"/>
      <c r="P9" s="24"/>
      <c r="Q9" s="7" t="s">
        <v>48</v>
      </c>
      <c r="R9" s="25"/>
      <c r="S9" s="24"/>
      <c r="T9" s="24"/>
      <c r="U9" s="24"/>
      <c r="V9" s="25"/>
      <c r="W9" s="24"/>
      <c r="X9" s="25"/>
      <c r="Y9" s="13">
        <v>7848</v>
      </c>
      <c r="Z9" s="13">
        <v>13.95</v>
      </c>
      <c r="AA9" s="13">
        <v>14</v>
      </c>
      <c r="AB9" s="13">
        <v>5</v>
      </c>
      <c r="AC9" s="13">
        <v>2</v>
      </c>
      <c r="AD9" s="13">
        <v>719.75</v>
      </c>
      <c r="AE9" s="13">
        <v>719.75</v>
      </c>
      <c r="AF9" s="26">
        <f t="shared" si="1"/>
        <v>287.90000000000003</v>
      </c>
      <c r="AG9" s="27" t="s">
        <v>1193</v>
      </c>
    </row>
    <row r="10" spans="1:33" ht="36" x14ac:dyDescent="0.35">
      <c r="A10" s="15">
        <v>11</v>
      </c>
      <c r="B10" s="16">
        <v>11</v>
      </c>
      <c r="C10" s="17" t="s">
        <v>35</v>
      </c>
      <c r="D10" s="18">
        <v>2017</v>
      </c>
      <c r="E10" s="19" t="s">
        <v>61</v>
      </c>
      <c r="F10" s="16" t="s">
        <v>62</v>
      </c>
      <c r="G10" s="7" t="s">
        <v>38</v>
      </c>
      <c r="H10" s="16" t="s">
        <v>39</v>
      </c>
      <c r="I10" s="20">
        <v>192500</v>
      </c>
      <c r="J10" s="21">
        <v>275</v>
      </c>
      <c r="K10" s="16">
        <f>202.4*1.7</f>
        <v>344.08</v>
      </c>
      <c r="L10" s="22">
        <f t="shared" si="0"/>
        <v>0.25119999999999987</v>
      </c>
      <c r="M10" s="22"/>
      <c r="N10" s="7">
        <v>0</v>
      </c>
      <c r="O10" s="7"/>
      <c r="P10" s="24"/>
      <c r="Q10" s="7" t="s">
        <v>48</v>
      </c>
      <c r="R10" s="25"/>
      <c r="S10" s="24"/>
      <c r="T10" s="24"/>
      <c r="U10" s="24"/>
      <c r="V10" s="25"/>
      <c r="W10" s="24"/>
      <c r="X10" s="25"/>
      <c r="Y10" s="13">
        <v>18488</v>
      </c>
      <c r="Z10" s="13">
        <v>13.8</v>
      </c>
      <c r="AA10" s="13">
        <v>14</v>
      </c>
      <c r="AB10" s="13">
        <v>4</v>
      </c>
      <c r="AC10" s="13">
        <v>2</v>
      </c>
      <c r="AD10" s="13">
        <v>970.4</v>
      </c>
      <c r="AE10" s="13">
        <v>970.4</v>
      </c>
      <c r="AF10" s="26">
        <f t="shared" si="1"/>
        <v>388.16</v>
      </c>
      <c r="AG10" s="27" t="s">
        <v>1194</v>
      </c>
    </row>
    <row r="11" spans="1:33" ht="55.2" customHeight="1" x14ac:dyDescent="0.35">
      <c r="A11" s="15">
        <v>12</v>
      </c>
      <c r="B11" s="16">
        <v>12</v>
      </c>
      <c r="C11" s="17" t="s">
        <v>35</v>
      </c>
      <c r="D11" s="18">
        <v>2017</v>
      </c>
      <c r="E11" s="19" t="s">
        <v>63</v>
      </c>
      <c r="F11" s="16" t="s">
        <v>64</v>
      </c>
      <c r="G11" s="7" t="s">
        <v>46</v>
      </c>
      <c r="H11" s="16" t="s">
        <v>47</v>
      </c>
      <c r="I11" s="20">
        <v>79359.11</v>
      </c>
      <c r="J11" s="21">
        <v>166.4</v>
      </c>
      <c r="K11" s="16"/>
      <c r="L11" s="22">
        <f t="shared" si="0"/>
        <v>-1</v>
      </c>
      <c r="M11" s="22"/>
      <c r="N11" s="7" t="s">
        <v>53</v>
      </c>
      <c r="O11" s="7" t="s">
        <v>54</v>
      </c>
      <c r="P11" s="24"/>
      <c r="Q11" s="7" t="s">
        <v>54</v>
      </c>
      <c r="R11" s="25">
        <v>5898484.7000000002</v>
      </c>
      <c r="S11" s="24"/>
      <c r="T11" s="24" t="s">
        <v>42</v>
      </c>
      <c r="U11" s="24" t="s">
        <v>42</v>
      </c>
      <c r="V11" s="25"/>
      <c r="W11" s="24"/>
      <c r="X11" s="25">
        <v>5877272</v>
      </c>
      <c r="Y11" s="13"/>
      <c r="Z11" s="13"/>
      <c r="AA11" s="13"/>
      <c r="AB11" s="13"/>
      <c r="AC11" s="13">
        <v>2</v>
      </c>
      <c r="AD11" s="13"/>
      <c r="AE11" s="13"/>
      <c r="AF11" s="26">
        <f t="shared" si="1"/>
        <v>0</v>
      </c>
    </row>
    <row r="12" spans="1:33" ht="54" x14ac:dyDescent="0.35">
      <c r="A12" s="15">
        <v>14</v>
      </c>
      <c r="B12" s="16">
        <v>14</v>
      </c>
      <c r="C12" s="17" t="s">
        <v>35</v>
      </c>
      <c r="D12" s="18">
        <v>2017</v>
      </c>
      <c r="E12" s="19" t="s">
        <v>65</v>
      </c>
      <c r="F12" s="16" t="s">
        <v>66</v>
      </c>
      <c r="G12" s="7" t="s">
        <v>46</v>
      </c>
      <c r="H12" s="16" t="s">
        <v>47</v>
      </c>
      <c r="I12" s="20">
        <v>202594.65</v>
      </c>
      <c r="J12" s="21">
        <v>424.8</v>
      </c>
      <c r="K12" s="16">
        <f>(1.2*6)*63+(1.2*6)*8</f>
        <v>511.19999999999993</v>
      </c>
      <c r="L12" s="22">
        <f t="shared" si="0"/>
        <v>0.20338983050847448</v>
      </c>
      <c r="M12" s="22"/>
      <c r="N12" s="7">
        <v>0</v>
      </c>
      <c r="O12" s="7"/>
      <c r="P12" s="24"/>
      <c r="Q12" s="7" t="s">
        <v>48</v>
      </c>
      <c r="R12" s="25"/>
      <c r="S12" s="24"/>
      <c r="T12" s="24"/>
      <c r="U12" s="24"/>
      <c r="V12" s="25"/>
      <c r="W12" s="24"/>
      <c r="X12" s="25"/>
      <c r="Y12" s="13">
        <v>15577</v>
      </c>
      <c r="Z12" s="13">
        <v>25.47</v>
      </c>
      <c r="AA12" s="13">
        <v>21</v>
      </c>
      <c r="AB12" s="13">
        <v>9</v>
      </c>
      <c r="AC12" s="13">
        <v>2</v>
      </c>
      <c r="AD12" s="13">
        <v>837.39</v>
      </c>
      <c r="AE12" s="13">
        <v>837.39</v>
      </c>
      <c r="AF12" s="26">
        <f t="shared" si="1"/>
        <v>334.95600000000002</v>
      </c>
      <c r="AG12" s="27" t="s">
        <v>1195</v>
      </c>
    </row>
    <row r="13" spans="1:33" ht="54.6" customHeight="1" x14ac:dyDescent="0.35">
      <c r="A13" s="15">
        <v>15</v>
      </c>
      <c r="B13" s="16">
        <v>15</v>
      </c>
      <c r="C13" s="17" t="s">
        <v>35</v>
      </c>
      <c r="D13" s="18">
        <v>2017</v>
      </c>
      <c r="E13" s="19" t="s">
        <v>67</v>
      </c>
      <c r="F13" s="16" t="s">
        <v>68</v>
      </c>
      <c r="G13" s="7" t="s">
        <v>46</v>
      </c>
      <c r="H13" s="16" t="s">
        <v>47</v>
      </c>
      <c r="I13" s="20">
        <v>33193.47</v>
      </c>
      <c r="J13" s="21">
        <v>69.599999999999994</v>
      </c>
      <c r="K13" s="16"/>
      <c r="L13" s="28"/>
      <c r="M13" s="28"/>
      <c r="N13" s="7" t="s">
        <v>53</v>
      </c>
      <c r="O13" s="7" t="s">
        <v>40</v>
      </c>
      <c r="P13" s="24"/>
      <c r="Q13" s="7" t="s">
        <v>41</v>
      </c>
      <c r="R13" s="25"/>
      <c r="S13" s="24"/>
      <c r="T13" s="24"/>
      <c r="U13" s="24"/>
      <c r="V13" s="25">
        <v>2596287.91</v>
      </c>
      <c r="W13" s="24"/>
      <c r="X13" s="25"/>
      <c r="Y13" s="13">
        <v>7690</v>
      </c>
      <c r="Z13" s="13">
        <v>11.3</v>
      </c>
      <c r="AA13" s="13">
        <v>12</v>
      </c>
      <c r="AB13" s="13">
        <v>4</v>
      </c>
      <c r="AC13" s="13">
        <v>2</v>
      </c>
      <c r="AD13" s="13">
        <v>489.41</v>
      </c>
      <c r="AE13" s="13"/>
      <c r="AF13" s="26">
        <f t="shared" si="1"/>
        <v>0</v>
      </c>
      <c r="AG13" s="27" t="s">
        <v>1196</v>
      </c>
    </row>
    <row r="14" spans="1:33" ht="61.2" customHeight="1" x14ac:dyDescent="0.35">
      <c r="A14" s="15">
        <v>16</v>
      </c>
      <c r="B14" s="16">
        <v>16</v>
      </c>
      <c r="C14" s="17" t="s">
        <v>35</v>
      </c>
      <c r="D14" s="18">
        <v>2017</v>
      </c>
      <c r="E14" s="19" t="s">
        <v>69</v>
      </c>
      <c r="F14" s="16" t="s">
        <v>70</v>
      </c>
      <c r="G14" s="7" t="s">
        <v>46</v>
      </c>
      <c r="H14" s="16" t="s">
        <v>47</v>
      </c>
      <c r="I14" s="20">
        <v>73445.33</v>
      </c>
      <c r="J14" s="21">
        <v>154</v>
      </c>
      <c r="K14" s="16"/>
      <c r="L14" s="28"/>
      <c r="M14" s="28"/>
      <c r="N14" s="7" t="s">
        <v>53</v>
      </c>
      <c r="O14" s="7" t="s">
        <v>54</v>
      </c>
      <c r="P14" s="24"/>
      <c r="Q14" s="7" t="s">
        <v>54</v>
      </c>
      <c r="R14" s="25">
        <v>9081520.9000000004</v>
      </c>
      <c r="S14" s="24"/>
      <c r="T14" s="24" t="s">
        <v>42</v>
      </c>
      <c r="U14" s="24" t="s">
        <v>42</v>
      </c>
      <c r="V14" s="25"/>
      <c r="W14" s="24"/>
      <c r="X14" s="25">
        <v>8917083.6699999999</v>
      </c>
      <c r="Y14" s="13"/>
      <c r="Z14" s="13"/>
      <c r="AA14" s="13"/>
      <c r="AB14" s="13"/>
      <c r="AC14" s="13">
        <v>2</v>
      </c>
      <c r="AD14" s="13"/>
      <c r="AE14" s="13"/>
      <c r="AF14" s="26">
        <f t="shared" si="1"/>
        <v>0</v>
      </c>
    </row>
    <row r="15" spans="1:33" ht="36" x14ac:dyDescent="0.35">
      <c r="A15" s="15">
        <v>17</v>
      </c>
      <c r="B15" s="16">
        <v>17</v>
      </c>
      <c r="C15" s="17" t="s">
        <v>35</v>
      </c>
      <c r="D15" s="18">
        <v>2017</v>
      </c>
      <c r="E15" s="19" t="s">
        <v>71</v>
      </c>
      <c r="F15" s="16" t="s">
        <v>72</v>
      </c>
      <c r="G15" s="7" t="s">
        <v>38</v>
      </c>
      <c r="H15" s="16" t="s">
        <v>39</v>
      </c>
      <c r="I15" s="20">
        <v>145103</v>
      </c>
      <c r="J15" s="21">
        <v>207.29</v>
      </c>
      <c r="K15" s="16">
        <f>(12.9*2+75.9*2)*1.7</f>
        <v>301.92</v>
      </c>
      <c r="L15" s="22">
        <f>(K15/J15)-1</f>
        <v>0.45651020309711043</v>
      </c>
      <c r="M15" s="22"/>
      <c r="N15" s="7">
        <v>0</v>
      </c>
      <c r="O15" s="7"/>
      <c r="P15" s="24"/>
      <c r="Q15" s="7" t="s">
        <v>48</v>
      </c>
      <c r="R15" s="25"/>
      <c r="S15" s="24"/>
      <c r="T15" s="24"/>
      <c r="U15" s="24"/>
      <c r="V15" s="25"/>
      <c r="W15" s="24"/>
      <c r="X15" s="25"/>
      <c r="Y15" s="13">
        <v>12785</v>
      </c>
      <c r="Z15" s="13">
        <v>14.04</v>
      </c>
      <c r="AA15" s="13">
        <v>14</v>
      </c>
      <c r="AB15" s="13">
        <v>5</v>
      </c>
      <c r="AC15" s="13">
        <v>2</v>
      </c>
      <c r="AD15" s="13">
        <v>892.4</v>
      </c>
      <c r="AE15" s="13">
        <v>892.4</v>
      </c>
      <c r="AF15" s="26">
        <f t="shared" si="1"/>
        <v>356.96000000000004</v>
      </c>
      <c r="AG15" s="27" t="s">
        <v>1197</v>
      </c>
    </row>
    <row r="16" spans="1:33" ht="36" x14ac:dyDescent="0.35">
      <c r="A16" s="15">
        <v>18</v>
      </c>
      <c r="B16" s="16">
        <v>18</v>
      </c>
      <c r="C16" s="17" t="s">
        <v>35</v>
      </c>
      <c r="D16" s="18">
        <v>2017</v>
      </c>
      <c r="E16" s="19" t="s">
        <v>73</v>
      </c>
      <c r="F16" s="16" t="s">
        <v>74</v>
      </c>
      <c r="G16" s="7" t="s">
        <v>38</v>
      </c>
      <c r="H16" s="16" t="s">
        <v>39</v>
      </c>
      <c r="I16" s="20">
        <v>367500</v>
      </c>
      <c r="J16" s="21">
        <v>525</v>
      </c>
      <c r="K16" s="16">
        <f>(36*2+14.2*2)*2.5</f>
        <v>251</v>
      </c>
      <c r="L16" s="22">
        <f>(K16/J16)-1</f>
        <v>-0.52190476190476187</v>
      </c>
      <c r="M16" s="16" t="s">
        <v>75</v>
      </c>
      <c r="N16" s="7">
        <v>0</v>
      </c>
      <c r="O16" s="7"/>
      <c r="P16" s="24"/>
      <c r="Q16" s="7" t="s">
        <v>48</v>
      </c>
      <c r="R16" s="25"/>
      <c r="S16" s="24"/>
      <c r="T16" s="24"/>
      <c r="U16" s="24"/>
      <c r="V16" s="25"/>
      <c r="W16" s="24"/>
      <c r="X16" s="25"/>
      <c r="Y16" s="13">
        <v>9687</v>
      </c>
      <c r="Z16" s="13">
        <v>9.9</v>
      </c>
      <c r="AA16" s="13">
        <v>10</v>
      </c>
      <c r="AB16" s="13">
        <v>3</v>
      </c>
      <c r="AC16" s="13">
        <v>2</v>
      </c>
      <c r="AD16" s="13">
        <v>607.96</v>
      </c>
      <c r="AE16" s="13">
        <v>607.96</v>
      </c>
      <c r="AF16" s="26">
        <f t="shared" si="1"/>
        <v>243.18400000000003</v>
      </c>
      <c r="AG16" s="27" t="s">
        <v>1198</v>
      </c>
    </row>
    <row r="17" spans="1:33" ht="36" x14ac:dyDescent="0.35">
      <c r="A17" s="15">
        <v>19</v>
      </c>
      <c r="B17" s="16">
        <v>19</v>
      </c>
      <c r="C17" s="17" t="s">
        <v>76</v>
      </c>
      <c r="D17" s="18">
        <v>2017</v>
      </c>
      <c r="E17" s="19" t="s">
        <v>77</v>
      </c>
      <c r="F17" s="16" t="s">
        <v>78</v>
      </c>
      <c r="G17" s="7" t="s">
        <v>79</v>
      </c>
      <c r="H17" s="16" t="s">
        <v>80</v>
      </c>
      <c r="I17" s="20">
        <v>8600.48</v>
      </c>
      <c r="J17" s="21">
        <v>75.2</v>
      </c>
      <c r="K17" s="16">
        <f>(17*2+32.2)*0.9</f>
        <v>59.580000000000005</v>
      </c>
      <c r="L17" s="22">
        <f>(K17/J17)-1</f>
        <v>-0.20771276595744681</v>
      </c>
      <c r="M17" s="22" t="s">
        <v>81</v>
      </c>
      <c r="N17" s="7">
        <v>0</v>
      </c>
      <c r="O17" s="7"/>
      <c r="P17" s="24"/>
      <c r="Q17" s="7" t="s">
        <v>48</v>
      </c>
      <c r="R17" s="25"/>
      <c r="S17" s="24"/>
      <c r="T17" s="24"/>
      <c r="U17" s="24"/>
      <c r="V17" s="25"/>
      <c r="W17" s="24"/>
      <c r="X17" s="25"/>
      <c r="Y17" s="13">
        <v>13058</v>
      </c>
      <c r="Z17" s="13">
        <v>25.53</v>
      </c>
      <c r="AA17" s="13">
        <v>21</v>
      </c>
      <c r="AB17" s="13">
        <v>9</v>
      </c>
      <c r="AC17" s="13">
        <v>2</v>
      </c>
      <c r="AD17" s="13"/>
      <c r="AE17" s="13">
        <v>59</v>
      </c>
      <c r="AF17" s="26">
        <v>23.6</v>
      </c>
      <c r="AG17" s="27" t="s">
        <v>1199</v>
      </c>
    </row>
    <row r="18" spans="1:33" ht="36" x14ac:dyDescent="0.35">
      <c r="A18" s="15">
        <v>20</v>
      </c>
      <c r="B18" s="16">
        <v>20</v>
      </c>
      <c r="C18" s="17" t="s">
        <v>35</v>
      </c>
      <c r="D18" s="18">
        <v>2017</v>
      </c>
      <c r="E18" s="19" t="s">
        <v>82</v>
      </c>
      <c r="F18" s="16" t="s">
        <v>83</v>
      </c>
      <c r="G18" s="7" t="s">
        <v>38</v>
      </c>
      <c r="H18" s="16" t="s">
        <v>39</v>
      </c>
      <c r="I18" s="20">
        <v>367500</v>
      </c>
      <c r="J18" s="21">
        <v>525</v>
      </c>
      <c r="K18" s="16">
        <f>(60*2+17.5*2+3*2)*2.5</f>
        <v>402.5</v>
      </c>
      <c r="L18" s="22">
        <f>(K18/J18)-1</f>
        <v>-0.23333333333333328</v>
      </c>
      <c r="M18" s="16" t="s">
        <v>75</v>
      </c>
      <c r="N18" s="7">
        <v>0</v>
      </c>
      <c r="O18" s="7"/>
      <c r="P18" s="24"/>
      <c r="Q18" s="7" t="s">
        <v>48</v>
      </c>
      <c r="R18" s="25"/>
      <c r="S18" s="24"/>
      <c r="T18" s="24"/>
      <c r="U18" s="24"/>
      <c r="V18" s="25"/>
      <c r="W18" s="24"/>
      <c r="X18" s="25"/>
      <c r="Y18" s="13">
        <v>10264</v>
      </c>
      <c r="Z18" s="13">
        <v>14.85</v>
      </c>
      <c r="AA18" s="13">
        <v>15</v>
      </c>
      <c r="AB18" s="13">
        <v>4</v>
      </c>
      <c r="AC18" s="13">
        <v>2</v>
      </c>
      <c r="AD18" s="13">
        <v>669.93</v>
      </c>
      <c r="AE18" s="13">
        <v>669.93</v>
      </c>
      <c r="AF18" s="26">
        <f t="shared" si="1"/>
        <v>267.97199999999998</v>
      </c>
      <c r="AG18" s="27" t="s">
        <v>1200</v>
      </c>
    </row>
    <row r="19" spans="1:33" ht="54.6" customHeight="1" x14ac:dyDescent="0.35">
      <c r="A19" s="15">
        <v>21</v>
      </c>
      <c r="B19" s="16">
        <v>21</v>
      </c>
      <c r="C19" s="17" t="s">
        <v>84</v>
      </c>
      <c r="D19" s="18">
        <v>2017</v>
      </c>
      <c r="E19" s="19" t="s">
        <v>85</v>
      </c>
      <c r="F19" s="16" t="s">
        <v>86</v>
      </c>
      <c r="G19" s="7" t="s">
        <v>46</v>
      </c>
      <c r="H19" s="16" t="s">
        <v>47</v>
      </c>
      <c r="I19" s="20">
        <v>92400</v>
      </c>
      <c r="J19" s="21">
        <v>132</v>
      </c>
      <c r="K19" s="16"/>
      <c r="L19" s="28"/>
      <c r="M19" s="28"/>
      <c r="N19" s="7" t="s">
        <v>87</v>
      </c>
      <c r="O19" s="7" t="s">
        <v>54</v>
      </c>
      <c r="P19" s="24" t="s">
        <v>88</v>
      </c>
      <c r="Q19" s="7" t="s">
        <v>54</v>
      </c>
      <c r="R19" s="25">
        <v>4164309.78</v>
      </c>
      <c r="S19" s="24"/>
      <c r="T19" s="24" t="s">
        <v>42</v>
      </c>
      <c r="U19" s="24" t="s">
        <v>42</v>
      </c>
      <c r="V19" s="25"/>
      <c r="W19" s="24"/>
      <c r="X19" s="25">
        <v>4144309.78</v>
      </c>
      <c r="Y19" s="13"/>
      <c r="Z19" s="13"/>
      <c r="AA19" s="13"/>
      <c r="AB19" s="13"/>
      <c r="AC19" s="13">
        <v>2</v>
      </c>
      <c r="AD19" s="13"/>
      <c r="AE19" s="13"/>
      <c r="AF19" s="26">
        <f t="shared" si="1"/>
        <v>0</v>
      </c>
    </row>
    <row r="20" spans="1:33" ht="63" customHeight="1" x14ac:dyDescent="0.35">
      <c r="A20" s="15">
        <v>22</v>
      </c>
      <c r="B20" s="16">
        <v>22</v>
      </c>
      <c r="C20" s="17" t="s">
        <v>84</v>
      </c>
      <c r="D20" s="18">
        <v>2016</v>
      </c>
      <c r="E20" s="19" t="s">
        <v>89</v>
      </c>
      <c r="F20" s="16" t="s">
        <v>90</v>
      </c>
      <c r="G20" s="7" t="s">
        <v>46</v>
      </c>
      <c r="H20" s="16" t="s">
        <v>47</v>
      </c>
      <c r="I20" s="20">
        <v>45500</v>
      </c>
      <c r="J20" s="21">
        <v>65</v>
      </c>
      <c r="K20" s="16"/>
      <c r="L20" s="28"/>
      <c r="M20" s="28"/>
      <c r="N20" s="7" t="s">
        <v>87</v>
      </c>
      <c r="O20" s="7" t="s">
        <v>54</v>
      </c>
      <c r="P20" s="24" t="s">
        <v>88</v>
      </c>
      <c r="Q20" s="7" t="s">
        <v>54</v>
      </c>
      <c r="R20" s="25">
        <v>5765708.4400000004</v>
      </c>
      <c r="S20" s="24"/>
      <c r="T20" s="24" t="s">
        <v>42</v>
      </c>
      <c r="U20" s="24" t="s">
        <v>42</v>
      </c>
      <c r="V20" s="25"/>
      <c r="W20" s="24"/>
      <c r="X20" s="25">
        <v>5760708.4400000004</v>
      </c>
      <c r="Y20" s="13"/>
      <c r="Z20" s="13"/>
      <c r="AA20" s="13"/>
      <c r="AB20" s="13"/>
      <c r="AC20" s="13">
        <v>2</v>
      </c>
      <c r="AD20" s="13"/>
      <c r="AE20" s="13"/>
      <c r="AF20" s="26">
        <f t="shared" si="1"/>
        <v>0</v>
      </c>
    </row>
    <row r="21" spans="1:33" ht="59.4" customHeight="1" x14ac:dyDescent="0.35">
      <c r="A21" s="15">
        <v>23</v>
      </c>
      <c r="B21" s="16">
        <v>23</v>
      </c>
      <c r="C21" s="17" t="s">
        <v>91</v>
      </c>
      <c r="D21" s="18">
        <v>2017</v>
      </c>
      <c r="E21" s="19" t="s">
        <v>92</v>
      </c>
      <c r="F21" s="16" t="s">
        <v>93</v>
      </c>
      <c r="G21" s="7" t="s">
        <v>46</v>
      </c>
      <c r="H21" s="16" t="s">
        <v>47</v>
      </c>
      <c r="I21" s="20">
        <v>21000</v>
      </c>
      <c r="J21" s="21">
        <v>30</v>
      </c>
      <c r="K21" s="16"/>
      <c r="L21" s="28"/>
      <c r="M21" s="28"/>
      <c r="N21" s="7" t="s">
        <v>53</v>
      </c>
      <c r="O21" s="7" t="s">
        <v>54</v>
      </c>
      <c r="P21" s="24"/>
      <c r="Q21" s="7" t="s">
        <v>54</v>
      </c>
      <c r="R21" s="25">
        <v>7846502.4000000004</v>
      </c>
      <c r="S21" s="24"/>
      <c r="T21" s="24" t="s">
        <v>42</v>
      </c>
      <c r="U21" s="24" t="s">
        <v>42</v>
      </c>
      <c r="V21" s="25"/>
      <c r="W21" s="24"/>
      <c r="X21" s="25">
        <v>7392400.0700000003</v>
      </c>
      <c r="Y21" s="13"/>
      <c r="Z21" s="13"/>
      <c r="AA21" s="13"/>
      <c r="AB21" s="13"/>
      <c r="AC21" s="13">
        <v>2</v>
      </c>
      <c r="AD21" s="13"/>
      <c r="AE21" s="13"/>
      <c r="AF21" s="26">
        <f t="shared" si="1"/>
        <v>0</v>
      </c>
    </row>
    <row r="22" spans="1:33" ht="54" x14ac:dyDescent="0.35">
      <c r="A22" s="15">
        <v>24</v>
      </c>
      <c r="B22" s="16">
        <v>24</v>
      </c>
      <c r="C22" s="17" t="s">
        <v>91</v>
      </c>
      <c r="D22" s="18">
        <v>2017</v>
      </c>
      <c r="E22" s="19" t="s">
        <v>94</v>
      </c>
      <c r="F22" s="16" t="s">
        <v>95</v>
      </c>
      <c r="G22" s="7" t="s">
        <v>46</v>
      </c>
      <c r="H22" s="16" t="s">
        <v>47</v>
      </c>
      <c r="I22" s="20">
        <v>71400</v>
      </c>
      <c r="J22" s="21">
        <v>102</v>
      </c>
      <c r="K22" s="16"/>
      <c r="L22" s="22"/>
      <c r="M22" s="16" t="s">
        <v>96</v>
      </c>
      <c r="N22" s="7">
        <v>0</v>
      </c>
      <c r="O22" s="7"/>
      <c r="P22" s="24"/>
      <c r="Q22" s="7" t="s">
        <v>48</v>
      </c>
      <c r="R22" s="25"/>
      <c r="S22" s="24"/>
      <c r="T22" s="24"/>
      <c r="U22" s="24"/>
      <c r="V22" s="25"/>
      <c r="W22" s="24"/>
      <c r="X22" s="25"/>
      <c r="Y22" s="13">
        <v>4038</v>
      </c>
      <c r="Z22" s="13">
        <v>6</v>
      </c>
      <c r="AA22" s="13">
        <v>6</v>
      </c>
      <c r="AB22" s="13">
        <v>2</v>
      </c>
      <c r="AC22" s="13">
        <v>2</v>
      </c>
      <c r="AD22" s="13">
        <v>276.08999999999997</v>
      </c>
      <c r="AE22" s="13">
        <v>276.08999999999997</v>
      </c>
      <c r="AF22" s="26">
        <f t="shared" si="1"/>
        <v>110.43599999999999</v>
      </c>
      <c r="AG22" s="27" t="s">
        <v>1201</v>
      </c>
    </row>
    <row r="23" spans="1:33" ht="54" x14ac:dyDescent="0.35">
      <c r="A23" s="15">
        <v>25</v>
      </c>
      <c r="B23" s="16">
        <v>25</v>
      </c>
      <c r="C23" s="17" t="s">
        <v>76</v>
      </c>
      <c r="D23" s="18">
        <v>2017</v>
      </c>
      <c r="E23" s="19" t="s">
        <v>97</v>
      </c>
      <c r="F23" s="16" t="s">
        <v>98</v>
      </c>
      <c r="G23" s="7" t="s">
        <v>46</v>
      </c>
      <c r="H23" s="16" t="s">
        <v>47</v>
      </c>
      <c r="I23" s="20">
        <v>2016</v>
      </c>
      <c r="J23" s="21">
        <v>2.88</v>
      </c>
      <c r="K23" s="16">
        <f>1.8*1*8</f>
        <v>14.4</v>
      </c>
      <c r="L23" s="22">
        <f>(K23/J23)-1</f>
        <v>4</v>
      </c>
      <c r="M23" s="22" t="s">
        <v>99</v>
      </c>
      <c r="N23" s="7">
        <v>0</v>
      </c>
      <c r="O23" s="7"/>
      <c r="P23" s="24"/>
      <c r="Q23" s="7" t="s">
        <v>48</v>
      </c>
      <c r="R23" s="25"/>
      <c r="S23" s="24"/>
      <c r="T23" s="24"/>
      <c r="U23" s="24"/>
      <c r="V23" s="25"/>
      <c r="W23" s="24"/>
      <c r="X23" s="25"/>
      <c r="Y23" s="13">
        <v>3037</v>
      </c>
      <c r="Z23" s="13">
        <v>6.5</v>
      </c>
      <c r="AA23" s="13">
        <v>7</v>
      </c>
      <c r="AB23" s="13">
        <v>2</v>
      </c>
      <c r="AC23" s="13">
        <v>2</v>
      </c>
      <c r="AD23" s="13">
        <v>226.13</v>
      </c>
      <c r="AE23" s="13">
        <v>226.13</v>
      </c>
      <c r="AF23" s="26">
        <f t="shared" si="1"/>
        <v>90.451999999999998</v>
      </c>
      <c r="AG23" s="27" t="s">
        <v>1202</v>
      </c>
    </row>
    <row r="24" spans="1:33" ht="36" x14ac:dyDescent="0.35">
      <c r="A24" s="15">
        <v>26</v>
      </c>
      <c r="B24" s="16">
        <v>26</v>
      </c>
      <c r="C24" s="17" t="s">
        <v>76</v>
      </c>
      <c r="D24" s="18">
        <v>2017</v>
      </c>
      <c r="E24" s="19" t="s">
        <v>100</v>
      </c>
      <c r="F24" s="16" t="s">
        <v>101</v>
      </c>
      <c r="G24" s="7" t="s">
        <v>38</v>
      </c>
      <c r="H24" s="16" t="s">
        <v>39</v>
      </c>
      <c r="I24" s="20">
        <v>85400</v>
      </c>
      <c r="J24" s="21">
        <v>122</v>
      </c>
      <c r="K24" s="16">
        <f>92.14*1.7</f>
        <v>156.63800000000001</v>
      </c>
      <c r="L24" s="22">
        <f>(K24/J24)-1</f>
        <v>0.28391803278688532</v>
      </c>
      <c r="M24" s="28"/>
      <c r="N24" s="7">
        <v>0</v>
      </c>
      <c r="O24" s="7"/>
      <c r="P24" s="24"/>
      <c r="Q24" s="7" t="s">
        <v>48</v>
      </c>
      <c r="R24" s="25"/>
      <c r="S24" s="24"/>
      <c r="T24" s="24"/>
      <c r="U24" s="24"/>
      <c r="V24" s="25"/>
      <c r="W24" s="24"/>
      <c r="X24" s="25"/>
      <c r="Y24" s="13">
        <v>2832</v>
      </c>
      <c r="Z24" s="13">
        <v>6.3</v>
      </c>
      <c r="AA24" s="13">
        <v>7</v>
      </c>
      <c r="AB24" s="13">
        <v>2</v>
      </c>
      <c r="AC24" s="13">
        <v>2</v>
      </c>
      <c r="AD24" s="13">
        <v>269.33</v>
      </c>
      <c r="AE24" s="13">
        <v>269.33</v>
      </c>
      <c r="AF24" s="26">
        <f t="shared" si="1"/>
        <v>107.732</v>
      </c>
      <c r="AG24" s="27" t="s">
        <v>1203</v>
      </c>
    </row>
    <row r="25" spans="1:33" ht="36" x14ac:dyDescent="0.35">
      <c r="A25" s="15">
        <v>27</v>
      </c>
      <c r="B25" s="16">
        <v>27</v>
      </c>
      <c r="C25" s="17" t="s">
        <v>76</v>
      </c>
      <c r="D25" s="18">
        <v>2017</v>
      </c>
      <c r="E25" s="19" t="s">
        <v>102</v>
      </c>
      <c r="F25" s="16" t="s">
        <v>103</v>
      </c>
      <c r="G25" s="7" t="s">
        <v>79</v>
      </c>
      <c r="H25" s="16" t="s">
        <v>80</v>
      </c>
      <c r="I25" s="20">
        <v>72576</v>
      </c>
      <c r="J25" s="21">
        <v>129.6</v>
      </c>
      <c r="K25" s="16"/>
      <c r="L25" s="22">
        <f>(K25/J25)-1</f>
        <v>-1</v>
      </c>
      <c r="M25" s="22" t="s">
        <v>81</v>
      </c>
      <c r="N25" s="7">
        <v>0</v>
      </c>
      <c r="O25" s="7"/>
      <c r="P25" s="24"/>
      <c r="Q25" s="7" t="s">
        <v>48</v>
      </c>
      <c r="R25" s="25"/>
      <c r="S25" s="24"/>
      <c r="T25" s="24"/>
      <c r="U25" s="24"/>
      <c r="V25" s="25"/>
      <c r="W25" s="24"/>
      <c r="X25" s="25"/>
      <c r="Y25" s="13">
        <v>12978</v>
      </c>
      <c r="Z25" s="13">
        <v>14.9</v>
      </c>
      <c r="AA25" s="13">
        <v>15</v>
      </c>
      <c r="AB25" s="13">
        <v>5</v>
      </c>
      <c r="AC25" s="13">
        <v>2</v>
      </c>
      <c r="AD25" s="13"/>
      <c r="AE25" s="13">
        <v>61.5</v>
      </c>
      <c r="AF25" s="26">
        <v>24.6</v>
      </c>
      <c r="AG25" s="27" t="s">
        <v>1204</v>
      </c>
    </row>
    <row r="26" spans="1:33" ht="36" x14ac:dyDescent="0.35">
      <c r="A26" s="15">
        <v>28</v>
      </c>
      <c r="B26" s="16">
        <v>28</v>
      </c>
      <c r="C26" s="17" t="s">
        <v>104</v>
      </c>
      <c r="D26" s="18">
        <v>2018</v>
      </c>
      <c r="E26" s="19" t="s">
        <v>105</v>
      </c>
      <c r="F26" s="16" t="s">
        <v>106</v>
      </c>
      <c r="G26" s="7" t="s">
        <v>38</v>
      </c>
      <c r="H26" s="16" t="s">
        <v>39</v>
      </c>
      <c r="I26" s="20">
        <v>99792</v>
      </c>
      <c r="J26" s="21">
        <v>129.6</v>
      </c>
      <c r="K26" s="16">
        <f>(68.4*2+12.8*2)*2.5</f>
        <v>406</v>
      </c>
      <c r="L26" s="22">
        <f>(K26/J26)-1</f>
        <v>2.132716049382716</v>
      </c>
      <c r="M26" s="28"/>
      <c r="N26" s="7">
        <v>0</v>
      </c>
      <c r="O26" s="7"/>
      <c r="P26" s="24"/>
      <c r="Q26" s="7" t="s">
        <v>48</v>
      </c>
      <c r="R26" s="25"/>
      <c r="S26" s="24"/>
      <c r="T26" s="24"/>
      <c r="U26" s="24"/>
      <c r="V26" s="25"/>
      <c r="W26" s="24"/>
      <c r="X26" s="25"/>
      <c r="Y26" s="13">
        <v>11483</v>
      </c>
      <c r="Z26" s="13">
        <v>12.55</v>
      </c>
      <c r="AA26" s="13">
        <v>13</v>
      </c>
      <c r="AB26" s="13">
        <v>4</v>
      </c>
      <c r="AC26" s="13">
        <v>2</v>
      </c>
      <c r="AD26" s="13">
        <v>739.71</v>
      </c>
      <c r="AE26" s="13">
        <v>739.71</v>
      </c>
      <c r="AF26" s="26">
        <f t="shared" si="1"/>
        <v>295.88400000000001</v>
      </c>
      <c r="AG26" s="27" t="s">
        <v>1205</v>
      </c>
    </row>
    <row r="27" spans="1:33" ht="57.6" customHeight="1" x14ac:dyDescent="0.35">
      <c r="A27" s="15">
        <v>29</v>
      </c>
      <c r="B27" s="16">
        <v>29</v>
      </c>
      <c r="C27" s="17" t="s">
        <v>107</v>
      </c>
      <c r="D27" s="18">
        <v>2017</v>
      </c>
      <c r="E27" s="19" t="s">
        <v>108</v>
      </c>
      <c r="F27" s="16" t="s">
        <v>109</v>
      </c>
      <c r="G27" s="7" t="s">
        <v>46</v>
      </c>
      <c r="H27" s="16" t="s">
        <v>47</v>
      </c>
      <c r="I27" s="20">
        <v>6048</v>
      </c>
      <c r="J27" s="21">
        <v>8.64</v>
      </c>
      <c r="K27" s="16">
        <v>10.8</v>
      </c>
      <c r="L27" s="28"/>
      <c r="M27" s="28"/>
      <c r="N27" s="7" t="s">
        <v>53</v>
      </c>
      <c r="O27" s="7" t="s">
        <v>54</v>
      </c>
      <c r="P27" s="24"/>
      <c r="Q27" s="7" t="s">
        <v>54</v>
      </c>
      <c r="R27" s="25">
        <v>911677.34</v>
      </c>
      <c r="S27" s="24"/>
      <c r="T27" s="24" t="s">
        <v>42</v>
      </c>
      <c r="U27" s="24" t="s">
        <v>42</v>
      </c>
      <c r="V27" s="25"/>
      <c r="W27" s="24"/>
      <c r="X27" s="25">
        <v>906677.34</v>
      </c>
      <c r="Y27" s="13"/>
      <c r="Z27" s="13"/>
      <c r="AA27" s="13"/>
      <c r="AB27" s="13"/>
      <c r="AC27" s="13">
        <v>2</v>
      </c>
      <c r="AD27" s="13"/>
      <c r="AE27" s="13"/>
      <c r="AF27" s="26">
        <f t="shared" si="1"/>
        <v>0</v>
      </c>
    </row>
    <row r="28" spans="1:33" ht="60" customHeight="1" x14ac:dyDescent="0.35">
      <c r="A28" s="15">
        <v>30</v>
      </c>
      <c r="B28" s="16">
        <v>30</v>
      </c>
      <c r="C28" s="17" t="s">
        <v>107</v>
      </c>
      <c r="D28" s="18">
        <v>2017</v>
      </c>
      <c r="E28" s="19" t="s">
        <v>110</v>
      </c>
      <c r="F28" s="16" t="s">
        <v>111</v>
      </c>
      <c r="G28" s="7" t="s">
        <v>46</v>
      </c>
      <c r="H28" s="16" t="s">
        <v>47</v>
      </c>
      <c r="I28" s="20">
        <v>6048</v>
      </c>
      <c r="J28" s="21">
        <v>8.64</v>
      </c>
      <c r="K28" s="16">
        <v>10.8</v>
      </c>
      <c r="L28" s="28"/>
      <c r="M28" s="28"/>
      <c r="N28" s="7" t="s">
        <v>53</v>
      </c>
      <c r="O28" s="7" t="s">
        <v>54</v>
      </c>
      <c r="P28" s="24"/>
      <c r="Q28" s="7" t="s">
        <v>54</v>
      </c>
      <c r="R28" s="25">
        <v>911478.44</v>
      </c>
      <c r="S28" s="24"/>
      <c r="T28" s="24" t="s">
        <v>42</v>
      </c>
      <c r="U28" s="24" t="s">
        <v>42</v>
      </c>
      <c r="V28" s="25"/>
      <c r="W28" s="24"/>
      <c r="X28" s="25">
        <v>906478.44</v>
      </c>
      <c r="Y28" s="13"/>
      <c r="Z28" s="13"/>
      <c r="AA28" s="13"/>
      <c r="AB28" s="13"/>
      <c r="AC28" s="13">
        <v>2</v>
      </c>
      <c r="AD28" s="13"/>
      <c r="AE28" s="13"/>
      <c r="AF28" s="26">
        <f t="shared" si="1"/>
        <v>0</v>
      </c>
    </row>
    <row r="29" spans="1:33" ht="60" customHeight="1" x14ac:dyDescent="0.35">
      <c r="A29" s="15">
        <v>31</v>
      </c>
      <c r="B29" s="16">
        <v>31</v>
      </c>
      <c r="C29" s="17" t="s">
        <v>107</v>
      </c>
      <c r="D29" s="18">
        <v>2017</v>
      </c>
      <c r="E29" s="19" t="s">
        <v>112</v>
      </c>
      <c r="F29" s="16" t="s">
        <v>113</v>
      </c>
      <c r="G29" s="7" t="s">
        <v>46</v>
      </c>
      <c r="H29" s="16" t="s">
        <v>47</v>
      </c>
      <c r="I29" s="20">
        <v>9072</v>
      </c>
      <c r="J29" s="21">
        <v>12.96</v>
      </c>
      <c r="K29" s="16">
        <v>21.6</v>
      </c>
      <c r="L29" s="28"/>
      <c r="M29" s="28"/>
      <c r="N29" s="7" t="s">
        <v>53</v>
      </c>
      <c r="O29" s="7" t="s">
        <v>54</v>
      </c>
      <c r="P29" s="24" t="s">
        <v>88</v>
      </c>
      <c r="Q29" s="7" t="s">
        <v>54</v>
      </c>
      <c r="R29" s="25">
        <v>1233762.8999999999</v>
      </c>
      <c r="S29" s="24"/>
      <c r="T29" s="24" t="s">
        <v>42</v>
      </c>
      <c r="U29" s="24" t="s">
        <v>42</v>
      </c>
      <c r="V29" s="25"/>
      <c r="W29" s="24"/>
      <c r="X29" s="25">
        <v>1218762.8999999999</v>
      </c>
      <c r="Y29" s="13"/>
      <c r="Z29" s="13"/>
      <c r="AA29" s="13"/>
      <c r="AB29" s="13"/>
      <c r="AC29" s="13">
        <v>2</v>
      </c>
      <c r="AD29" s="13"/>
      <c r="AE29" s="13"/>
      <c r="AF29" s="26">
        <f t="shared" si="1"/>
        <v>0</v>
      </c>
    </row>
    <row r="30" spans="1:33" ht="60" customHeight="1" x14ac:dyDescent="0.35">
      <c r="A30" s="15">
        <v>32</v>
      </c>
      <c r="B30" s="16">
        <v>32</v>
      </c>
      <c r="C30" s="17" t="s">
        <v>107</v>
      </c>
      <c r="D30" s="18">
        <v>2017</v>
      </c>
      <c r="E30" s="19" t="s">
        <v>114</v>
      </c>
      <c r="F30" s="16" t="s">
        <v>115</v>
      </c>
      <c r="G30" s="7" t="s">
        <v>46</v>
      </c>
      <c r="H30" s="16" t="s">
        <v>47</v>
      </c>
      <c r="I30" s="20">
        <v>8400</v>
      </c>
      <c r="J30" s="21">
        <v>12</v>
      </c>
      <c r="K30" s="16">
        <v>9.18</v>
      </c>
      <c r="L30" s="28"/>
      <c r="M30" s="28"/>
      <c r="N30" s="7" t="s">
        <v>53</v>
      </c>
      <c r="O30" s="7" t="s">
        <v>54</v>
      </c>
      <c r="P30" s="24"/>
      <c r="Q30" s="7" t="s">
        <v>54</v>
      </c>
      <c r="R30" s="25">
        <v>715782.85</v>
      </c>
      <c r="S30" s="24"/>
      <c r="T30" s="24" t="s">
        <v>42</v>
      </c>
      <c r="U30" s="24" t="s">
        <v>42</v>
      </c>
      <c r="V30" s="25"/>
      <c r="W30" s="24"/>
      <c r="X30" s="25">
        <v>710782.85</v>
      </c>
      <c r="Y30" s="13"/>
      <c r="Z30" s="13"/>
      <c r="AA30" s="13"/>
      <c r="AB30" s="13"/>
      <c r="AC30" s="13">
        <v>2</v>
      </c>
      <c r="AD30" s="13"/>
      <c r="AE30" s="13"/>
      <c r="AF30" s="26">
        <f t="shared" si="1"/>
        <v>0</v>
      </c>
    </row>
    <row r="31" spans="1:33" ht="60" customHeight="1" x14ac:dyDescent="0.35">
      <c r="A31" s="15">
        <v>33</v>
      </c>
      <c r="B31" s="16">
        <v>33</v>
      </c>
      <c r="C31" s="17" t="s">
        <v>107</v>
      </c>
      <c r="D31" s="18">
        <v>2017</v>
      </c>
      <c r="E31" s="19" t="s">
        <v>116</v>
      </c>
      <c r="F31" s="16" t="s">
        <v>117</v>
      </c>
      <c r="G31" s="7" t="s">
        <v>46</v>
      </c>
      <c r="H31" s="16" t="s">
        <v>47</v>
      </c>
      <c r="I31" s="20">
        <v>8400</v>
      </c>
      <c r="J31" s="21">
        <v>12</v>
      </c>
      <c r="K31" s="16">
        <v>9.18</v>
      </c>
      <c r="L31" s="28"/>
      <c r="M31" s="28"/>
      <c r="N31" s="7" t="s">
        <v>53</v>
      </c>
      <c r="O31" s="7" t="s">
        <v>54</v>
      </c>
      <c r="P31" s="24"/>
      <c r="Q31" s="7" t="s">
        <v>54</v>
      </c>
      <c r="R31" s="25">
        <v>707321.82</v>
      </c>
      <c r="S31" s="24"/>
      <c r="T31" s="24" t="s">
        <v>42</v>
      </c>
      <c r="U31" s="24" t="s">
        <v>42</v>
      </c>
      <c r="V31" s="25"/>
      <c r="W31" s="24"/>
      <c r="X31" s="25">
        <v>702321.82</v>
      </c>
      <c r="Y31" s="13"/>
      <c r="Z31" s="13"/>
      <c r="AA31" s="13"/>
      <c r="AB31" s="13"/>
      <c r="AC31" s="13">
        <v>2</v>
      </c>
      <c r="AD31" s="13"/>
      <c r="AE31" s="13"/>
      <c r="AF31" s="26">
        <f t="shared" si="1"/>
        <v>0</v>
      </c>
    </row>
    <row r="32" spans="1:33" ht="56.4" customHeight="1" x14ac:dyDescent="0.35">
      <c r="A32" s="15">
        <v>34</v>
      </c>
      <c r="B32" s="16">
        <v>34</v>
      </c>
      <c r="C32" s="17" t="s">
        <v>107</v>
      </c>
      <c r="D32" s="18">
        <v>2017</v>
      </c>
      <c r="E32" s="19" t="s">
        <v>118</v>
      </c>
      <c r="F32" s="16" t="s">
        <v>119</v>
      </c>
      <c r="G32" s="7" t="s">
        <v>46</v>
      </c>
      <c r="H32" s="16" t="s">
        <v>47</v>
      </c>
      <c r="I32" s="20">
        <v>8400</v>
      </c>
      <c r="J32" s="21">
        <v>12</v>
      </c>
      <c r="K32" s="16">
        <v>204.8</v>
      </c>
      <c r="L32" s="28"/>
      <c r="M32" s="28"/>
      <c r="N32" s="7" t="s">
        <v>53</v>
      </c>
      <c r="O32" s="7" t="s">
        <v>54</v>
      </c>
      <c r="P32" s="24"/>
      <c r="Q32" s="7" t="s">
        <v>54</v>
      </c>
      <c r="R32" s="25">
        <v>3653241.25</v>
      </c>
      <c r="S32" s="24"/>
      <c r="T32" s="24" t="s">
        <v>42</v>
      </c>
      <c r="U32" s="24" t="s">
        <v>42</v>
      </c>
      <c r="V32" s="25"/>
      <c r="W32" s="24"/>
      <c r="X32" s="25">
        <v>3648241.25</v>
      </c>
      <c r="Y32" s="13"/>
      <c r="Z32" s="13"/>
      <c r="AA32" s="13"/>
      <c r="AB32" s="13"/>
      <c r="AC32" s="13">
        <v>2</v>
      </c>
      <c r="AD32" s="13"/>
      <c r="AE32" s="13"/>
      <c r="AF32" s="26">
        <f t="shared" si="1"/>
        <v>0</v>
      </c>
    </row>
    <row r="33" spans="1:33" ht="56.4" customHeight="1" x14ac:dyDescent="0.35">
      <c r="A33" s="15">
        <v>35</v>
      </c>
      <c r="B33" s="16">
        <v>35</v>
      </c>
      <c r="C33" s="17" t="s">
        <v>107</v>
      </c>
      <c r="D33" s="18">
        <v>2017</v>
      </c>
      <c r="E33" s="19" t="s">
        <v>120</v>
      </c>
      <c r="F33" s="16" t="s">
        <v>121</v>
      </c>
      <c r="G33" s="7" t="s">
        <v>46</v>
      </c>
      <c r="H33" s="16" t="s">
        <v>47</v>
      </c>
      <c r="I33" s="20">
        <v>33600</v>
      </c>
      <c r="J33" s="21">
        <v>48</v>
      </c>
      <c r="K33" s="16">
        <v>64.8</v>
      </c>
      <c r="L33" s="28"/>
      <c r="M33" s="28"/>
      <c r="N33" s="7" t="s">
        <v>53</v>
      </c>
      <c r="O33" s="7" t="s">
        <v>54</v>
      </c>
      <c r="P33" s="24"/>
      <c r="Q33" s="7" t="s">
        <v>54</v>
      </c>
      <c r="R33" s="25">
        <v>3617152.13</v>
      </c>
      <c r="S33" s="24"/>
      <c r="T33" s="24" t="s">
        <v>42</v>
      </c>
      <c r="U33" s="24" t="s">
        <v>42</v>
      </c>
      <c r="V33" s="25"/>
      <c r="W33" s="24"/>
      <c r="X33" s="25">
        <v>3612152.13</v>
      </c>
      <c r="Y33" s="13"/>
      <c r="Z33" s="13"/>
      <c r="AA33" s="13"/>
      <c r="AB33" s="13"/>
      <c r="AC33" s="13">
        <v>2</v>
      </c>
      <c r="AD33" s="13"/>
      <c r="AE33" s="13"/>
      <c r="AF33" s="26">
        <f t="shared" si="1"/>
        <v>0</v>
      </c>
    </row>
    <row r="34" spans="1:33" ht="56.4" customHeight="1" x14ac:dyDescent="0.35">
      <c r="A34" s="15">
        <v>36</v>
      </c>
      <c r="B34" s="16">
        <v>36</v>
      </c>
      <c r="C34" s="17" t="s">
        <v>107</v>
      </c>
      <c r="D34" s="18">
        <v>2018</v>
      </c>
      <c r="E34" s="19" t="s">
        <v>122</v>
      </c>
      <c r="F34" s="16" t="s">
        <v>123</v>
      </c>
      <c r="G34" s="7" t="s">
        <v>46</v>
      </c>
      <c r="H34" s="16" t="s">
        <v>47</v>
      </c>
      <c r="I34" s="20">
        <v>96327</v>
      </c>
      <c r="J34" s="21">
        <v>125.1</v>
      </c>
      <c r="K34" s="16">
        <v>76.8</v>
      </c>
      <c r="L34" s="28"/>
      <c r="M34" s="28"/>
      <c r="N34" s="7" t="s">
        <v>53</v>
      </c>
      <c r="O34" s="7" t="s">
        <v>54</v>
      </c>
      <c r="P34" s="24"/>
      <c r="Q34" s="7" t="s">
        <v>54</v>
      </c>
      <c r="R34" s="25">
        <v>5091940.5599999996</v>
      </c>
      <c r="S34" s="24"/>
      <c r="T34" s="24" t="s">
        <v>42</v>
      </c>
      <c r="U34" s="24" t="s">
        <v>42</v>
      </c>
      <c r="V34" s="25"/>
      <c r="W34" s="24"/>
      <c r="X34" s="25">
        <v>5086940.5599999996</v>
      </c>
      <c r="Y34" s="13"/>
      <c r="Z34" s="13"/>
      <c r="AA34" s="13"/>
      <c r="AB34" s="13"/>
      <c r="AC34" s="13">
        <v>2</v>
      </c>
      <c r="AD34" s="13"/>
      <c r="AE34" s="13"/>
      <c r="AF34" s="26">
        <f t="shared" si="1"/>
        <v>0</v>
      </c>
    </row>
    <row r="35" spans="1:33" ht="36" x14ac:dyDescent="0.35">
      <c r="A35" s="15">
        <v>37</v>
      </c>
      <c r="B35" s="16">
        <v>37</v>
      </c>
      <c r="C35" s="17" t="s">
        <v>124</v>
      </c>
      <c r="D35" s="18">
        <v>2018</v>
      </c>
      <c r="E35" s="19" t="s">
        <v>125</v>
      </c>
      <c r="F35" s="16" t="s">
        <v>126</v>
      </c>
      <c r="G35" s="7" t="s">
        <v>38</v>
      </c>
      <c r="H35" s="16" t="s">
        <v>39</v>
      </c>
      <c r="I35" s="20">
        <v>95480</v>
      </c>
      <c r="J35" s="21">
        <v>124</v>
      </c>
      <c r="K35" s="16">
        <f>(14*2+50*2)*2.5</f>
        <v>320</v>
      </c>
      <c r="L35" s="22">
        <f t="shared" ref="L35:L40" si="2">(K35/J35)-1</f>
        <v>1.5806451612903225</v>
      </c>
      <c r="M35" s="28"/>
      <c r="N35" s="7">
        <v>0</v>
      </c>
      <c r="O35" s="7"/>
      <c r="P35" s="24"/>
      <c r="Q35" s="7" t="s">
        <v>48</v>
      </c>
      <c r="R35" s="25"/>
      <c r="S35" s="24"/>
      <c r="T35" s="24"/>
      <c r="U35" s="24"/>
      <c r="V35" s="25"/>
      <c r="W35" s="24"/>
      <c r="X35" s="25"/>
      <c r="Y35" s="13">
        <v>2004</v>
      </c>
      <c r="Z35" s="13">
        <v>7</v>
      </c>
      <c r="AA35" s="13">
        <v>7</v>
      </c>
      <c r="AB35" s="13">
        <v>2</v>
      </c>
      <c r="AC35" s="13">
        <v>2</v>
      </c>
      <c r="AD35" s="13">
        <v>233.19</v>
      </c>
      <c r="AE35" s="13">
        <v>233.19</v>
      </c>
      <c r="AF35" s="26">
        <f t="shared" si="1"/>
        <v>93.27600000000001</v>
      </c>
      <c r="AG35" s="27" t="s">
        <v>1206</v>
      </c>
    </row>
    <row r="36" spans="1:33" ht="43.2" customHeight="1" x14ac:dyDescent="0.35">
      <c r="A36" s="15">
        <v>39</v>
      </c>
      <c r="B36" s="16">
        <v>39</v>
      </c>
      <c r="C36" s="17" t="s">
        <v>124</v>
      </c>
      <c r="D36" s="18">
        <v>2018</v>
      </c>
      <c r="E36" s="19" t="s">
        <v>127</v>
      </c>
      <c r="F36" s="16" t="s">
        <v>128</v>
      </c>
      <c r="G36" s="7" t="s">
        <v>38</v>
      </c>
      <c r="H36" s="16" t="s">
        <v>39</v>
      </c>
      <c r="I36" s="20">
        <v>96558</v>
      </c>
      <c r="J36" s="21">
        <v>125.4</v>
      </c>
      <c r="K36" s="16">
        <f>(33*2+(33-12)*2+12*2)*1.7</f>
        <v>224.4</v>
      </c>
      <c r="L36" s="22">
        <f t="shared" si="2"/>
        <v>0.78947368421052633</v>
      </c>
      <c r="M36" s="28" t="s">
        <v>129</v>
      </c>
      <c r="N36" s="7">
        <v>0</v>
      </c>
      <c r="O36" s="7" t="s">
        <v>40</v>
      </c>
      <c r="P36" s="24"/>
      <c r="Q36" s="7" t="s">
        <v>41</v>
      </c>
      <c r="R36" s="25"/>
      <c r="S36" s="24"/>
      <c r="T36" s="24" t="s">
        <v>42</v>
      </c>
      <c r="U36" s="24" t="s">
        <v>42</v>
      </c>
      <c r="V36" s="25"/>
      <c r="W36" s="24"/>
      <c r="X36" s="25">
        <v>7824415.1799999997</v>
      </c>
      <c r="Y36" s="13">
        <v>7573</v>
      </c>
      <c r="Z36" s="13">
        <v>10.199999999999999</v>
      </c>
      <c r="AA36" s="13">
        <v>11</v>
      </c>
      <c r="AB36" s="13">
        <v>3</v>
      </c>
      <c r="AC36" s="13">
        <v>2</v>
      </c>
      <c r="AD36" s="13"/>
      <c r="AE36" s="13"/>
      <c r="AF36" s="26">
        <f t="shared" si="1"/>
        <v>0</v>
      </c>
      <c r="AG36" s="27" t="s">
        <v>1207</v>
      </c>
    </row>
    <row r="37" spans="1:33" ht="36" x14ac:dyDescent="0.35">
      <c r="A37" s="15">
        <v>41</v>
      </c>
      <c r="B37" s="16">
        <v>41</v>
      </c>
      <c r="C37" s="17" t="s">
        <v>124</v>
      </c>
      <c r="D37" s="18">
        <v>2016</v>
      </c>
      <c r="E37" s="19" t="s">
        <v>130</v>
      </c>
      <c r="F37" s="16" t="s">
        <v>131</v>
      </c>
      <c r="G37" s="7" t="s">
        <v>38</v>
      </c>
      <c r="H37" s="16" t="s">
        <v>39</v>
      </c>
      <c r="I37" s="20">
        <v>105910</v>
      </c>
      <c r="J37" s="21">
        <v>151.30000000000001</v>
      </c>
      <c r="K37" s="16">
        <f>(14*2+20*2)*1.8</f>
        <v>122.4</v>
      </c>
      <c r="L37" s="22">
        <f t="shared" si="2"/>
        <v>-0.1910112359550562</v>
      </c>
      <c r="M37" s="28">
        <v>1</v>
      </c>
      <c r="N37" s="7">
        <v>0</v>
      </c>
      <c r="O37" s="7"/>
      <c r="P37" s="24"/>
      <c r="Q37" s="7" t="s">
        <v>48</v>
      </c>
      <c r="R37" s="25"/>
      <c r="S37" s="24"/>
      <c r="T37" s="24"/>
      <c r="U37" s="24"/>
      <c r="V37" s="25"/>
      <c r="W37" s="24"/>
      <c r="X37" s="25"/>
      <c r="Y37" s="13">
        <v>1951</v>
      </c>
      <c r="Z37" s="13">
        <v>6.88</v>
      </c>
      <c r="AA37" s="13">
        <v>7</v>
      </c>
      <c r="AB37" s="13">
        <v>2</v>
      </c>
      <c r="AC37" s="13">
        <v>2</v>
      </c>
      <c r="AD37" s="13">
        <v>230.88</v>
      </c>
      <c r="AE37" s="13">
        <v>230.88</v>
      </c>
      <c r="AF37" s="26">
        <f t="shared" si="1"/>
        <v>92.352000000000004</v>
      </c>
      <c r="AG37" s="27" t="s">
        <v>1208</v>
      </c>
    </row>
    <row r="38" spans="1:33" ht="36" x14ac:dyDescent="0.35">
      <c r="A38" s="15">
        <v>43</v>
      </c>
      <c r="B38" s="16">
        <v>43</v>
      </c>
      <c r="C38" s="17" t="s">
        <v>124</v>
      </c>
      <c r="D38" s="18">
        <v>2016</v>
      </c>
      <c r="E38" s="19" t="s">
        <v>132</v>
      </c>
      <c r="F38" s="16" t="s">
        <v>133</v>
      </c>
      <c r="G38" s="7" t="s">
        <v>134</v>
      </c>
      <c r="H38" s="16" t="s">
        <v>80</v>
      </c>
      <c r="I38" s="20">
        <v>7857.09</v>
      </c>
      <c r="J38" s="21">
        <v>68.7</v>
      </c>
      <c r="K38" s="16">
        <f>(14*2+20*2)*1.8</f>
        <v>122.4</v>
      </c>
      <c r="L38" s="22">
        <f t="shared" si="2"/>
        <v>0.78165938864628814</v>
      </c>
      <c r="M38" s="28"/>
      <c r="N38" s="7">
        <v>0</v>
      </c>
      <c r="O38" s="7"/>
      <c r="P38" s="24"/>
      <c r="Q38" s="7" t="s">
        <v>48</v>
      </c>
      <c r="R38" s="25"/>
      <c r="S38" s="24"/>
      <c r="T38" s="24"/>
      <c r="U38" s="24"/>
      <c r="V38" s="25"/>
      <c r="W38" s="24"/>
      <c r="X38" s="25"/>
      <c r="Y38" s="13">
        <v>1930</v>
      </c>
      <c r="Z38" s="13">
        <v>6.7</v>
      </c>
      <c r="AA38" s="13">
        <v>7</v>
      </c>
      <c r="AB38" s="13">
        <v>2</v>
      </c>
      <c r="AC38" s="13">
        <v>2</v>
      </c>
      <c r="AD38" s="13">
        <v>229.97</v>
      </c>
      <c r="AE38" s="13">
        <v>229.97</v>
      </c>
      <c r="AF38" s="26">
        <f t="shared" si="1"/>
        <v>91.988</v>
      </c>
      <c r="AG38" s="27" t="s">
        <v>1209</v>
      </c>
    </row>
    <row r="39" spans="1:33" ht="36" x14ac:dyDescent="0.35">
      <c r="A39" s="15">
        <v>44</v>
      </c>
      <c r="B39" s="16">
        <v>44</v>
      </c>
      <c r="C39" s="17" t="s">
        <v>124</v>
      </c>
      <c r="D39" s="18">
        <v>2016</v>
      </c>
      <c r="E39" s="19" t="s">
        <v>135</v>
      </c>
      <c r="F39" s="16" t="s">
        <v>136</v>
      </c>
      <c r="G39" s="7" t="s">
        <v>134</v>
      </c>
      <c r="H39" s="16" t="s">
        <v>80</v>
      </c>
      <c r="I39" s="20">
        <v>11516.87</v>
      </c>
      <c r="J39" s="21">
        <v>100.7</v>
      </c>
      <c r="K39" s="16">
        <f>(14*2+36*2)*1.8</f>
        <v>180</v>
      </c>
      <c r="L39" s="22">
        <f t="shared" si="2"/>
        <v>0.78748758689175768</v>
      </c>
      <c r="M39" s="28"/>
      <c r="N39" s="7">
        <v>0</v>
      </c>
      <c r="O39" s="7"/>
      <c r="P39" s="24"/>
      <c r="Q39" s="7" t="s">
        <v>48</v>
      </c>
      <c r="R39" s="25"/>
      <c r="S39" s="24"/>
      <c r="T39" s="24"/>
      <c r="U39" s="24"/>
      <c r="V39" s="25"/>
      <c r="W39" s="24"/>
      <c r="X39" s="25"/>
      <c r="Y39" s="13">
        <v>3214</v>
      </c>
      <c r="Z39" s="13">
        <v>6.33</v>
      </c>
      <c r="AA39" s="13">
        <v>7</v>
      </c>
      <c r="AB39" s="13">
        <v>2</v>
      </c>
      <c r="AC39" s="13">
        <v>2</v>
      </c>
      <c r="AD39" s="13">
        <v>286</v>
      </c>
      <c r="AE39" s="13">
        <v>286</v>
      </c>
      <c r="AF39" s="26">
        <f t="shared" si="1"/>
        <v>114.4</v>
      </c>
      <c r="AG39" s="27" t="s">
        <v>1210</v>
      </c>
    </row>
    <row r="40" spans="1:33" ht="36" x14ac:dyDescent="0.35">
      <c r="A40" s="15">
        <v>45</v>
      </c>
      <c r="B40" s="16">
        <v>45</v>
      </c>
      <c r="C40" s="17" t="s">
        <v>124</v>
      </c>
      <c r="D40" s="18">
        <v>2016</v>
      </c>
      <c r="E40" s="19" t="s">
        <v>137</v>
      </c>
      <c r="F40" s="16" t="s">
        <v>138</v>
      </c>
      <c r="G40" s="7" t="s">
        <v>38</v>
      </c>
      <c r="H40" s="16" t="s">
        <v>39</v>
      </c>
      <c r="I40" s="20">
        <v>101430</v>
      </c>
      <c r="J40" s="21">
        <v>144.9</v>
      </c>
      <c r="K40" s="16">
        <f>(14*2+20*2)*1.8</f>
        <v>122.4</v>
      </c>
      <c r="L40" s="22">
        <f t="shared" si="2"/>
        <v>-0.15527950310559002</v>
      </c>
      <c r="M40" s="28">
        <v>1</v>
      </c>
      <c r="N40" s="7">
        <v>0</v>
      </c>
      <c r="O40" s="7"/>
      <c r="P40" s="24"/>
      <c r="Q40" s="7" t="s">
        <v>48</v>
      </c>
      <c r="R40" s="25"/>
      <c r="S40" s="24"/>
      <c r="T40" s="24"/>
      <c r="U40" s="24"/>
      <c r="V40" s="25"/>
      <c r="W40" s="24"/>
      <c r="X40" s="25"/>
      <c r="Y40" s="13">
        <v>1125</v>
      </c>
      <c r="Z40" s="13">
        <v>7</v>
      </c>
      <c r="AA40" s="13">
        <v>7</v>
      </c>
      <c r="AB40" s="13">
        <v>2</v>
      </c>
      <c r="AC40" s="13">
        <v>2</v>
      </c>
      <c r="AD40" s="13">
        <v>194.83</v>
      </c>
      <c r="AE40" s="13">
        <v>194.83</v>
      </c>
      <c r="AF40" s="26">
        <f t="shared" si="1"/>
        <v>77.932000000000016</v>
      </c>
      <c r="AG40" s="27" t="s">
        <v>1211</v>
      </c>
    </row>
    <row r="41" spans="1:33" ht="36" x14ac:dyDescent="0.35">
      <c r="A41" s="15">
        <v>47</v>
      </c>
      <c r="B41" s="16">
        <v>47</v>
      </c>
      <c r="C41" s="17" t="s">
        <v>124</v>
      </c>
      <c r="D41" s="18">
        <v>2016</v>
      </c>
      <c r="E41" s="19" t="s">
        <v>139</v>
      </c>
      <c r="F41" s="16" t="s">
        <v>140</v>
      </c>
      <c r="G41" s="7" t="s">
        <v>38</v>
      </c>
      <c r="H41" s="16" t="s">
        <v>39</v>
      </c>
      <c r="I41" s="20">
        <v>140280</v>
      </c>
      <c r="J41" s="21">
        <v>200.4</v>
      </c>
      <c r="K41" s="16">
        <f>(12*2+34*2)*1.8</f>
        <v>165.6</v>
      </c>
      <c r="L41" s="29">
        <f t="shared" ref="L41:L55" si="3">K41*100/J41-100</f>
        <v>-17.365269461077844</v>
      </c>
      <c r="M41" s="28">
        <v>1</v>
      </c>
      <c r="N41" s="7">
        <v>0</v>
      </c>
      <c r="O41" s="7"/>
      <c r="P41" s="24"/>
      <c r="Q41" s="7" t="s">
        <v>48</v>
      </c>
      <c r="R41" s="25"/>
      <c r="S41" s="24"/>
      <c r="T41" s="24"/>
      <c r="U41" s="24"/>
      <c r="V41" s="25"/>
      <c r="W41" s="24"/>
      <c r="X41" s="25"/>
      <c r="Y41" s="13">
        <v>4250</v>
      </c>
      <c r="Z41" s="13">
        <v>10.23</v>
      </c>
      <c r="AA41" s="13">
        <v>11</v>
      </c>
      <c r="AB41" s="13">
        <v>3</v>
      </c>
      <c r="AC41" s="13">
        <v>2</v>
      </c>
      <c r="AD41" s="13">
        <v>383.04</v>
      </c>
      <c r="AE41" s="13">
        <v>383.04</v>
      </c>
      <c r="AF41" s="26">
        <f t="shared" si="1"/>
        <v>153.21600000000001</v>
      </c>
      <c r="AG41" s="27" t="s">
        <v>1212</v>
      </c>
    </row>
    <row r="42" spans="1:33" ht="36" x14ac:dyDescent="0.35">
      <c r="A42" s="15">
        <v>49</v>
      </c>
      <c r="B42" s="16">
        <v>49</v>
      </c>
      <c r="C42" s="17" t="s">
        <v>124</v>
      </c>
      <c r="D42" s="18">
        <v>2016</v>
      </c>
      <c r="E42" s="19" t="s">
        <v>141</v>
      </c>
      <c r="F42" s="16" t="s">
        <v>142</v>
      </c>
      <c r="G42" s="7" t="s">
        <v>38</v>
      </c>
      <c r="H42" s="16" t="s">
        <v>39</v>
      </c>
      <c r="I42" s="20">
        <v>140280</v>
      </c>
      <c r="J42" s="21">
        <v>200.4</v>
      </c>
      <c r="K42" s="16">
        <f>(12*2+34*2)*1.8</f>
        <v>165.6</v>
      </c>
      <c r="L42" s="29">
        <f t="shared" si="3"/>
        <v>-17.365269461077844</v>
      </c>
      <c r="M42" s="28">
        <v>1</v>
      </c>
      <c r="N42" s="7">
        <v>0</v>
      </c>
      <c r="O42" s="7"/>
      <c r="P42" s="24"/>
      <c r="Q42" s="7" t="s">
        <v>48</v>
      </c>
      <c r="R42" s="25"/>
      <c r="S42" s="24"/>
      <c r="T42" s="24"/>
      <c r="U42" s="24"/>
      <c r="V42" s="25"/>
      <c r="W42" s="24"/>
      <c r="X42" s="25"/>
      <c r="Y42" s="13">
        <v>4777</v>
      </c>
      <c r="Z42" s="13">
        <v>10.16</v>
      </c>
      <c r="AA42" s="13">
        <v>10</v>
      </c>
      <c r="AB42" s="13">
        <v>3</v>
      </c>
      <c r="AC42" s="13">
        <v>2</v>
      </c>
      <c r="AD42" s="13">
        <v>410.61</v>
      </c>
      <c r="AE42" s="13">
        <v>410.61</v>
      </c>
      <c r="AF42" s="26">
        <f t="shared" si="1"/>
        <v>164.24400000000003</v>
      </c>
      <c r="AG42" s="27" t="s">
        <v>1213</v>
      </c>
    </row>
    <row r="43" spans="1:33" ht="36" x14ac:dyDescent="0.35">
      <c r="A43" s="15">
        <v>51</v>
      </c>
      <c r="B43" s="16">
        <v>51</v>
      </c>
      <c r="C43" s="17" t="s">
        <v>124</v>
      </c>
      <c r="D43" s="18">
        <v>2016</v>
      </c>
      <c r="E43" s="19" t="s">
        <v>143</v>
      </c>
      <c r="F43" s="16" t="s">
        <v>144</v>
      </c>
      <c r="G43" s="7" t="s">
        <v>38</v>
      </c>
      <c r="H43" s="16" t="s">
        <v>39</v>
      </c>
      <c r="I43" s="20">
        <v>156660</v>
      </c>
      <c r="J43" s="21">
        <v>223.8</v>
      </c>
      <c r="K43" s="16">
        <f>(12*2+34*2)*1.8</f>
        <v>165.6</v>
      </c>
      <c r="L43" s="29">
        <f t="shared" si="3"/>
        <v>-26.00536193029491</v>
      </c>
      <c r="M43" s="28">
        <v>1</v>
      </c>
      <c r="N43" s="7">
        <v>0</v>
      </c>
      <c r="O43" s="7"/>
      <c r="P43" s="24"/>
      <c r="Q43" s="7" t="s">
        <v>48</v>
      </c>
      <c r="R43" s="25"/>
      <c r="S43" s="24"/>
      <c r="T43" s="24"/>
      <c r="U43" s="24"/>
      <c r="V43" s="25"/>
      <c r="W43" s="24"/>
      <c r="X43" s="25"/>
      <c r="Y43" s="13">
        <v>3725</v>
      </c>
      <c r="Z43" s="13">
        <v>10.55</v>
      </c>
      <c r="AA43" s="13">
        <v>11</v>
      </c>
      <c r="AB43" s="13">
        <v>3</v>
      </c>
      <c r="AC43" s="13">
        <v>2</v>
      </c>
      <c r="AD43" s="13">
        <v>362.73</v>
      </c>
      <c r="AE43" s="13">
        <v>362.73</v>
      </c>
      <c r="AF43" s="26">
        <f t="shared" si="1"/>
        <v>145.09200000000001</v>
      </c>
      <c r="AG43" s="27" t="s">
        <v>1214</v>
      </c>
    </row>
    <row r="44" spans="1:33" ht="36" x14ac:dyDescent="0.35">
      <c r="A44" s="15">
        <v>54</v>
      </c>
      <c r="B44" s="16">
        <v>54</v>
      </c>
      <c r="C44" s="17" t="s">
        <v>124</v>
      </c>
      <c r="D44" s="18">
        <v>2017</v>
      </c>
      <c r="E44" s="19" t="s">
        <v>145</v>
      </c>
      <c r="F44" s="16" t="s">
        <v>146</v>
      </c>
      <c r="G44" s="7" t="s">
        <v>38</v>
      </c>
      <c r="H44" s="16" t="s">
        <v>39</v>
      </c>
      <c r="I44" s="20">
        <v>288008</v>
      </c>
      <c r="J44" s="21">
        <v>411.44</v>
      </c>
      <c r="K44" s="16">
        <f>(11*2+10*2)*1.8</f>
        <v>75.600000000000009</v>
      </c>
      <c r="L44" s="29">
        <f t="shared" si="3"/>
        <v>-81.625510402488814</v>
      </c>
      <c r="M44" s="28">
        <v>1</v>
      </c>
      <c r="N44" s="7">
        <v>0</v>
      </c>
      <c r="O44" s="7"/>
      <c r="P44" s="24"/>
      <c r="Q44" s="7" t="s">
        <v>48</v>
      </c>
      <c r="R44" s="25"/>
      <c r="S44" s="24"/>
      <c r="T44" s="24"/>
      <c r="U44" s="24"/>
      <c r="V44" s="25"/>
      <c r="W44" s="24"/>
      <c r="X44" s="25"/>
      <c r="Y44" s="13">
        <v>5061.24</v>
      </c>
      <c r="Z44" s="13">
        <v>17.7</v>
      </c>
      <c r="AA44" s="13">
        <v>18</v>
      </c>
      <c r="AB44" s="13">
        <v>5</v>
      </c>
      <c r="AC44" s="13">
        <v>2</v>
      </c>
      <c r="AD44" s="13">
        <v>596.94000000000005</v>
      </c>
      <c r="AE44" s="13">
        <v>596.94000000000005</v>
      </c>
      <c r="AF44" s="26">
        <f t="shared" si="1"/>
        <v>238.77600000000004</v>
      </c>
      <c r="AG44" s="27" t="s">
        <v>1215</v>
      </c>
    </row>
    <row r="45" spans="1:33" ht="36" x14ac:dyDescent="0.35">
      <c r="A45" s="15">
        <v>55</v>
      </c>
      <c r="B45" s="16">
        <v>55</v>
      </c>
      <c r="C45" s="17" t="s">
        <v>124</v>
      </c>
      <c r="D45" s="18">
        <v>2016</v>
      </c>
      <c r="E45" s="19" t="s">
        <v>147</v>
      </c>
      <c r="F45" s="16" t="s">
        <v>148</v>
      </c>
      <c r="G45" s="7" t="s">
        <v>38</v>
      </c>
      <c r="H45" s="16" t="s">
        <v>39</v>
      </c>
      <c r="I45" s="20">
        <v>144410</v>
      </c>
      <c r="J45" s="21">
        <v>206.3</v>
      </c>
      <c r="K45" s="16">
        <f>(9*2+50*2)*1.8</f>
        <v>212.4</v>
      </c>
      <c r="L45" s="29">
        <f t="shared" si="3"/>
        <v>2.9568589432864769</v>
      </c>
      <c r="M45" s="28">
        <v>1</v>
      </c>
      <c r="N45" s="7">
        <v>0</v>
      </c>
      <c r="O45" s="7"/>
      <c r="P45" s="24"/>
      <c r="Q45" s="7" t="s">
        <v>48</v>
      </c>
      <c r="R45" s="25"/>
      <c r="S45" s="24"/>
      <c r="T45" s="24"/>
      <c r="U45" s="24"/>
      <c r="V45" s="25"/>
      <c r="W45" s="24"/>
      <c r="X45" s="25"/>
      <c r="Y45" s="13">
        <v>2962</v>
      </c>
      <c r="Z45" s="13">
        <v>6.2</v>
      </c>
      <c r="AA45" s="13">
        <v>7</v>
      </c>
      <c r="AB45" s="13">
        <v>2</v>
      </c>
      <c r="AC45" s="13">
        <v>2</v>
      </c>
      <c r="AD45" s="13">
        <v>275.01</v>
      </c>
      <c r="AE45" s="13">
        <v>275.01</v>
      </c>
      <c r="AF45" s="26">
        <f t="shared" si="1"/>
        <v>110.004</v>
      </c>
      <c r="AG45" s="27" t="s">
        <v>1216</v>
      </c>
    </row>
    <row r="46" spans="1:33" ht="36" x14ac:dyDescent="0.35">
      <c r="A46" s="15">
        <v>57</v>
      </c>
      <c r="B46" s="16">
        <v>57</v>
      </c>
      <c r="C46" s="17" t="s">
        <v>124</v>
      </c>
      <c r="D46" s="18">
        <v>2016</v>
      </c>
      <c r="E46" s="19" t="s">
        <v>149</v>
      </c>
      <c r="F46" s="16" t="s">
        <v>150</v>
      </c>
      <c r="G46" s="7" t="s">
        <v>38</v>
      </c>
      <c r="H46" s="16" t="s">
        <v>39</v>
      </c>
      <c r="I46" s="20">
        <v>304500</v>
      </c>
      <c r="J46" s="21">
        <v>435</v>
      </c>
      <c r="K46" s="16">
        <f>(10*2+32*2)*1.8</f>
        <v>151.20000000000002</v>
      </c>
      <c r="L46" s="29">
        <f t="shared" si="3"/>
        <v>-65.241379310344826</v>
      </c>
      <c r="M46" s="28">
        <v>1</v>
      </c>
      <c r="N46" s="7">
        <v>0</v>
      </c>
      <c r="O46" s="7"/>
      <c r="P46" s="24"/>
      <c r="Q46" s="7" t="s">
        <v>48</v>
      </c>
      <c r="R46" s="25"/>
      <c r="S46" s="24"/>
      <c r="T46" s="24"/>
      <c r="U46" s="24"/>
      <c r="V46" s="25"/>
      <c r="W46" s="24"/>
      <c r="X46" s="25"/>
      <c r="Y46" s="13">
        <v>4675</v>
      </c>
      <c r="Z46" s="13">
        <v>6.6</v>
      </c>
      <c r="AA46" s="13">
        <v>7</v>
      </c>
      <c r="AB46" s="13">
        <v>2</v>
      </c>
      <c r="AC46" s="13">
        <v>2</v>
      </c>
      <c r="AD46" s="13">
        <v>349.77</v>
      </c>
      <c r="AE46" s="13">
        <v>349.77</v>
      </c>
      <c r="AF46" s="26">
        <f t="shared" si="1"/>
        <v>139.90799999999999</v>
      </c>
      <c r="AG46" s="27" t="s">
        <v>1217</v>
      </c>
    </row>
    <row r="47" spans="1:33" ht="36" x14ac:dyDescent="0.35">
      <c r="A47" s="15">
        <v>59</v>
      </c>
      <c r="B47" s="16">
        <v>59</v>
      </c>
      <c r="C47" s="17" t="s">
        <v>124</v>
      </c>
      <c r="D47" s="18">
        <v>2016</v>
      </c>
      <c r="E47" s="19" t="s">
        <v>151</v>
      </c>
      <c r="F47" s="16" t="s">
        <v>152</v>
      </c>
      <c r="G47" s="7" t="s">
        <v>38</v>
      </c>
      <c r="H47" s="16" t="s">
        <v>39</v>
      </c>
      <c r="I47" s="20">
        <v>301000</v>
      </c>
      <c r="J47" s="21">
        <v>430</v>
      </c>
      <c r="K47" s="16">
        <f>(10*2+32*2)*1.8</f>
        <v>151.20000000000002</v>
      </c>
      <c r="L47" s="29">
        <f t="shared" si="3"/>
        <v>-64.837209302325576</v>
      </c>
      <c r="M47" s="28">
        <v>1</v>
      </c>
      <c r="N47" s="7">
        <v>0</v>
      </c>
      <c r="O47" s="7"/>
      <c r="P47" s="24"/>
      <c r="Q47" s="7" t="s">
        <v>48</v>
      </c>
      <c r="R47" s="25"/>
      <c r="S47" s="24"/>
      <c r="T47" s="24"/>
      <c r="U47" s="24"/>
      <c r="V47" s="25"/>
      <c r="W47" s="24"/>
      <c r="X47" s="25"/>
      <c r="Y47" s="13">
        <v>4424</v>
      </c>
      <c r="Z47" s="13">
        <v>6.4</v>
      </c>
      <c r="AA47" s="13">
        <v>7</v>
      </c>
      <c r="AB47" s="13">
        <v>2</v>
      </c>
      <c r="AC47" s="13">
        <v>2</v>
      </c>
      <c r="AD47" s="13">
        <v>338.31</v>
      </c>
      <c r="AE47" s="13">
        <v>338.31</v>
      </c>
      <c r="AF47" s="26">
        <f t="shared" si="1"/>
        <v>135.32400000000001</v>
      </c>
      <c r="AG47" s="27" t="s">
        <v>1218</v>
      </c>
    </row>
    <row r="48" spans="1:33" ht="36" x14ac:dyDescent="0.35">
      <c r="A48" s="15">
        <v>61</v>
      </c>
      <c r="B48" s="16">
        <v>61</v>
      </c>
      <c r="C48" s="17" t="s">
        <v>124</v>
      </c>
      <c r="D48" s="18">
        <v>2017</v>
      </c>
      <c r="E48" s="19" t="s">
        <v>153</v>
      </c>
      <c r="F48" s="16" t="s">
        <v>154</v>
      </c>
      <c r="G48" s="7" t="s">
        <v>38</v>
      </c>
      <c r="H48" s="16" t="s">
        <v>39</v>
      </c>
      <c r="I48" s="20">
        <v>91840</v>
      </c>
      <c r="J48" s="21">
        <v>131.19999999999999</v>
      </c>
      <c r="K48" s="16">
        <f>(16*2+37*2)*1.8</f>
        <v>190.8</v>
      </c>
      <c r="L48" s="29">
        <f t="shared" si="3"/>
        <v>45.426829268292693</v>
      </c>
      <c r="M48" s="28"/>
      <c r="N48" s="7">
        <v>0</v>
      </c>
      <c r="O48" s="7"/>
      <c r="P48" s="24"/>
      <c r="Q48" s="7" t="s">
        <v>48</v>
      </c>
      <c r="R48" s="25"/>
      <c r="S48" s="24"/>
      <c r="T48" s="24"/>
      <c r="U48" s="24"/>
      <c r="V48" s="25"/>
      <c r="W48" s="24"/>
      <c r="X48" s="25"/>
      <c r="Y48" s="13">
        <v>5120</v>
      </c>
      <c r="Z48" s="13">
        <v>13.2</v>
      </c>
      <c r="AA48" s="13">
        <v>14</v>
      </c>
      <c r="AB48" s="13">
        <v>2</v>
      </c>
      <c r="AC48" s="13">
        <v>2</v>
      </c>
      <c r="AD48" s="13">
        <v>324.77999999999997</v>
      </c>
      <c r="AE48" s="13">
        <v>324.77999999999997</v>
      </c>
      <c r="AF48" s="26">
        <f t="shared" si="1"/>
        <v>129.91200000000001</v>
      </c>
      <c r="AG48" s="27" t="s">
        <v>1219</v>
      </c>
    </row>
    <row r="49" spans="1:33" ht="36" x14ac:dyDescent="0.35">
      <c r="A49" s="15">
        <v>62</v>
      </c>
      <c r="B49" s="16">
        <v>62</v>
      </c>
      <c r="C49" s="17" t="s">
        <v>124</v>
      </c>
      <c r="D49" s="18">
        <v>2017</v>
      </c>
      <c r="E49" s="19" t="s">
        <v>155</v>
      </c>
      <c r="F49" s="16" t="s">
        <v>156</v>
      </c>
      <c r="G49" s="7" t="s">
        <v>38</v>
      </c>
      <c r="H49" s="16" t="s">
        <v>39</v>
      </c>
      <c r="I49" s="20">
        <v>91840</v>
      </c>
      <c r="J49" s="21">
        <v>131.19999999999999</v>
      </c>
      <c r="K49" s="16">
        <f>(16*2+37*2)*1.8</f>
        <v>190.8</v>
      </c>
      <c r="L49" s="29">
        <f t="shared" si="3"/>
        <v>45.426829268292693</v>
      </c>
      <c r="M49" s="28"/>
      <c r="N49" s="7">
        <v>0</v>
      </c>
      <c r="O49" s="7"/>
      <c r="P49" s="24"/>
      <c r="Q49" s="7" t="s">
        <v>48</v>
      </c>
      <c r="R49" s="25"/>
      <c r="S49" s="24"/>
      <c r="T49" s="24"/>
      <c r="U49" s="24"/>
      <c r="V49" s="25"/>
      <c r="W49" s="24"/>
      <c r="X49" s="25"/>
      <c r="Y49" s="13">
        <v>5120</v>
      </c>
      <c r="Z49" s="13">
        <v>13.2</v>
      </c>
      <c r="AA49" s="13">
        <v>14</v>
      </c>
      <c r="AB49" s="13">
        <v>2</v>
      </c>
      <c r="AC49" s="13">
        <v>2</v>
      </c>
      <c r="AD49" s="13">
        <v>324.77999999999997</v>
      </c>
      <c r="AE49" s="13">
        <v>324.77999999999997</v>
      </c>
      <c r="AF49" s="26">
        <f t="shared" si="1"/>
        <v>129.91200000000001</v>
      </c>
      <c r="AG49" s="27" t="s">
        <v>1220</v>
      </c>
    </row>
    <row r="50" spans="1:33" ht="36" x14ac:dyDescent="0.35">
      <c r="A50" s="15">
        <v>63</v>
      </c>
      <c r="B50" s="16">
        <v>63</v>
      </c>
      <c r="C50" s="17" t="s">
        <v>124</v>
      </c>
      <c r="D50" s="18">
        <v>2017</v>
      </c>
      <c r="E50" s="19" t="s">
        <v>157</v>
      </c>
      <c r="F50" s="16" t="s">
        <v>158</v>
      </c>
      <c r="G50" s="7" t="s">
        <v>38</v>
      </c>
      <c r="H50" s="16" t="s">
        <v>39</v>
      </c>
      <c r="I50" s="20">
        <v>91840</v>
      </c>
      <c r="J50" s="21">
        <v>131.19999999999999</v>
      </c>
      <c r="K50" s="16">
        <f>(16*2+37*2)*1.8</f>
        <v>190.8</v>
      </c>
      <c r="L50" s="29">
        <f t="shared" si="3"/>
        <v>45.426829268292693</v>
      </c>
      <c r="M50" s="28"/>
      <c r="N50" s="7">
        <v>0</v>
      </c>
      <c r="O50" s="7"/>
      <c r="P50" s="24"/>
      <c r="Q50" s="7" t="s">
        <v>48</v>
      </c>
      <c r="R50" s="25"/>
      <c r="S50" s="24"/>
      <c r="T50" s="24"/>
      <c r="U50" s="24"/>
      <c r="V50" s="25"/>
      <c r="W50" s="24"/>
      <c r="X50" s="25"/>
      <c r="Y50" s="13">
        <v>5120</v>
      </c>
      <c r="Z50" s="13">
        <v>13.2</v>
      </c>
      <c r="AA50" s="13">
        <v>14</v>
      </c>
      <c r="AB50" s="13">
        <v>2</v>
      </c>
      <c r="AC50" s="13">
        <v>2</v>
      </c>
      <c r="AD50" s="13">
        <v>324.77999999999997</v>
      </c>
      <c r="AE50" s="13">
        <v>324.77999999999997</v>
      </c>
      <c r="AF50" s="26">
        <f t="shared" si="1"/>
        <v>129.91200000000001</v>
      </c>
      <c r="AG50" s="27" t="s">
        <v>1221</v>
      </c>
    </row>
    <row r="51" spans="1:33" ht="36" x14ac:dyDescent="0.35">
      <c r="A51" s="15">
        <v>64</v>
      </c>
      <c r="B51" s="16">
        <v>64</v>
      </c>
      <c r="C51" s="17" t="s">
        <v>124</v>
      </c>
      <c r="D51" s="18">
        <v>2018</v>
      </c>
      <c r="E51" s="19" t="s">
        <v>159</v>
      </c>
      <c r="F51" s="16" t="s">
        <v>160</v>
      </c>
      <c r="G51" s="7" t="s">
        <v>38</v>
      </c>
      <c r="H51" s="16" t="s">
        <v>39</v>
      </c>
      <c r="I51" s="20">
        <v>93324</v>
      </c>
      <c r="J51" s="21">
        <v>121.2</v>
      </c>
      <c r="K51" s="16">
        <f>(16*2+37*2)*1.8</f>
        <v>190.8</v>
      </c>
      <c r="L51" s="29">
        <f t="shared" si="3"/>
        <v>57.425742574257413</v>
      </c>
      <c r="M51" s="28"/>
      <c r="N51" s="7">
        <v>0</v>
      </c>
      <c r="O51" s="7"/>
      <c r="P51" s="24"/>
      <c r="Q51" s="7" t="s">
        <v>48</v>
      </c>
      <c r="R51" s="25"/>
      <c r="S51" s="24"/>
      <c r="T51" s="24"/>
      <c r="U51" s="24"/>
      <c r="V51" s="25"/>
      <c r="W51" s="24"/>
      <c r="X51" s="25"/>
      <c r="Y51" s="13">
        <v>5120</v>
      </c>
      <c r="Z51" s="13">
        <v>13.2</v>
      </c>
      <c r="AA51" s="13">
        <v>14</v>
      </c>
      <c r="AB51" s="13">
        <v>2</v>
      </c>
      <c r="AC51" s="13">
        <v>2</v>
      </c>
      <c r="AD51" s="13">
        <v>324.77999999999997</v>
      </c>
      <c r="AE51" s="13">
        <v>324.77999999999997</v>
      </c>
      <c r="AF51" s="26">
        <f t="shared" si="1"/>
        <v>129.91200000000001</v>
      </c>
      <c r="AG51" s="27" t="s">
        <v>1222</v>
      </c>
    </row>
    <row r="52" spans="1:33" ht="36" x14ac:dyDescent="0.35">
      <c r="A52" s="15">
        <v>66</v>
      </c>
      <c r="B52" s="16">
        <v>66</v>
      </c>
      <c r="C52" s="17" t="s">
        <v>124</v>
      </c>
      <c r="D52" s="18">
        <v>2017</v>
      </c>
      <c r="E52" s="19" t="s">
        <v>161</v>
      </c>
      <c r="F52" s="16" t="s">
        <v>162</v>
      </c>
      <c r="G52" s="7" t="s">
        <v>38</v>
      </c>
      <c r="H52" s="16" t="s">
        <v>39</v>
      </c>
      <c r="I52" s="20">
        <v>135800</v>
      </c>
      <c r="J52" s="21">
        <v>194</v>
      </c>
      <c r="K52" s="16">
        <f>(33*2+12+21+21+12)*1.8</f>
        <v>237.6</v>
      </c>
      <c r="L52" s="29">
        <f t="shared" si="3"/>
        <v>22.474226804123717</v>
      </c>
      <c r="M52" s="28"/>
      <c r="N52" s="7">
        <v>0</v>
      </c>
      <c r="O52" s="7"/>
      <c r="P52" s="24"/>
      <c r="Q52" s="7" t="s">
        <v>48</v>
      </c>
      <c r="R52" s="25"/>
      <c r="S52" s="24"/>
      <c r="T52" s="24"/>
      <c r="U52" s="24"/>
      <c r="V52" s="25"/>
      <c r="W52" s="24"/>
      <c r="X52" s="25"/>
      <c r="Y52" s="13">
        <v>4772</v>
      </c>
      <c r="Z52" s="13">
        <v>7.14</v>
      </c>
      <c r="AA52" s="13">
        <v>8</v>
      </c>
      <c r="AB52" s="13">
        <v>2</v>
      </c>
      <c r="AC52" s="13">
        <v>2</v>
      </c>
      <c r="AD52" s="13">
        <v>348.14</v>
      </c>
      <c r="AE52" s="13">
        <v>348.14</v>
      </c>
      <c r="AF52" s="26">
        <f t="shared" si="1"/>
        <v>139.256</v>
      </c>
      <c r="AG52" s="27" t="s">
        <v>1223</v>
      </c>
    </row>
    <row r="53" spans="1:33" ht="36" x14ac:dyDescent="0.35">
      <c r="A53" s="15">
        <v>67</v>
      </c>
      <c r="B53" s="16">
        <v>67</v>
      </c>
      <c r="C53" s="17" t="s">
        <v>124</v>
      </c>
      <c r="D53" s="18">
        <v>2017</v>
      </c>
      <c r="E53" s="19" t="s">
        <v>163</v>
      </c>
      <c r="F53" s="16" t="s">
        <v>164</v>
      </c>
      <c r="G53" s="7" t="s">
        <v>38</v>
      </c>
      <c r="H53" s="16" t="s">
        <v>39</v>
      </c>
      <c r="I53" s="20">
        <v>122766</v>
      </c>
      <c r="J53" s="21">
        <v>175.38</v>
      </c>
      <c r="K53" s="16">
        <f>(12*2+30*2)*1.8</f>
        <v>151.20000000000002</v>
      </c>
      <c r="L53" s="29">
        <f t="shared" si="3"/>
        <v>-13.787204926445426</v>
      </c>
      <c r="M53" s="28">
        <v>1</v>
      </c>
      <c r="N53" s="7">
        <v>0</v>
      </c>
      <c r="O53" s="7"/>
      <c r="P53" s="24"/>
      <c r="Q53" s="7" t="s">
        <v>48</v>
      </c>
      <c r="R53" s="25"/>
      <c r="S53" s="24"/>
      <c r="T53" s="24"/>
      <c r="U53" s="24"/>
      <c r="V53" s="25"/>
      <c r="W53" s="24"/>
      <c r="X53" s="25"/>
      <c r="Y53" s="13">
        <v>4562</v>
      </c>
      <c r="Z53" s="13">
        <v>10.9</v>
      </c>
      <c r="AA53" s="13">
        <v>11</v>
      </c>
      <c r="AB53" s="13">
        <v>3</v>
      </c>
      <c r="AC53" s="13">
        <v>2</v>
      </c>
      <c r="AD53" s="13">
        <v>395.12</v>
      </c>
      <c r="AE53" s="13">
        <v>395.12</v>
      </c>
      <c r="AF53" s="26">
        <f t="shared" si="1"/>
        <v>158.048</v>
      </c>
      <c r="AG53" s="30" t="s">
        <v>1224</v>
      </c>
    </row>
    <row r="54" spans="1:33" ht="36" x14ac:dyDescent="0.35">
      <c r="A54" s="15">
        <v>68</v>
      </c>
      <c r="B54" s="16">
        <v>68</v>
      </c>
      <c r="C54" s="17" t="s">
        <v>124</v>
      </c>
      <c r="D54" s="18">
        <v>2017</v>
      </c>
      <c r="E54" s="19" t="s">
        <v>165</v>
      </c>
      <c r="F54" s="16" t="s">
        <v>166</v>
      </c>
      <c r="G54" s="7" t="s">
        <v>38</v>
      </c>
      <c r="H54" s="16" t="s">
        <v>39</v>
      </c>
      <c r="I54" s="20">
        <v>122766</v>
      </c>
      <c r="J54" s="21">
        <v>175.38</v>
      </c>
      <c r="K54" s="16">
        <f>(12*2+30*2)*1.8</f>
        <v>151.20000000000002</v>
      </c>
      <c r="L54" s="29">
        <f t="shared" si="3"/>
        <v>-13.787204926445426</v>
      </c>
      <c r="M54" s="28">
        <v>1</v>
      </c>
      <c r="N54" s="7">
        <v>0</v>
      </c>
      <c r="O54" s="7"/>
      <c r="P54" s="24"/>
      <c r="Q54" s="7" t="s">
        <v>48</v>
      </c>
      <c r="R54" s="25"/>
      <c r="S54" s="24"/>
      <c r="T54" s="24"/>
      <c r="U54" s="24"/>
      <c r="V54" s="25"/>
      <c r="W54" s="24"/>
      <c r="X54" s="25"/>
      <c r="Y54" s="13">
        <v>4038</v>
      </c>
      <c r="Z54" s="13">
        <v>9.58</v>
      </c>
      <c r="AA54" s="13">
        <v>10</v>
      </c>
      <c r="AB54" s="13">
        <v>3</v>
      </c>
      <c r="AC54" s="13">
        <v>2</v>
      </c>
      <c r="AD54" s="13">
        <v>380.9</v>
      </c>
      <c r="AE54" s="13">
        <v>380.9</v>
      </c>
      <c r="AF54" s="26">
        <f t="shared" si="1"/>
        <v>152.35999999999999</v>
      </c>
      <c r="AG54" s="27" t="s">
        <v>1225</v>
      </c>
    </row>
    <row r="55" spans="1:33" ht="36" x14ac:dyDescent="0.35">
      <c r="A55" s="15">
        <v>69</v>
      </c>
      <c r="B55" s="16">
        <v>69</v>
      </c>
      <c r="C55" s="17" t="s">
        <v>124</v>
      </c>
      <c r="D55" s="18">
        <v>2018</v>
      </c>
      <c r="E55" s="19" t="s">
        <v>167</v>
      </c>
      <c r="F55" s="16" t="s">
        <v>168</v>
      </c>
      <c r="G55" s="7" t="s">
        <v>38</v>
      </c>
      <c r="H55" s="16" t="s">
        <v>39</v>
      </c>
      <c r="I55" s="20">
        <v>423369.1</v>
      </c>
      <c r="J55" s="21">
        <v>549.83000000000004</v>
      </c>
      <c r="K55" s="16">
        <f>(12*2+30*2)*1.8</f>
        <v>151.20000000000002</v>
      </c>
      <c r="L55" s="29">
        <f t="shared" si="3"/>
        <v>-72.500591091792003</v>
      </c>
      <c r="M55" s="28">
        <v>1</v>
      </c>
      <c r="N55" s="7">
        <v>0</v>
      </c>
      <c r="O55" s="7"/>
      <c r="P55" s="24"/>
      <c r="Q55" s="7" t="s">
        <v>48</v>
      </c>
      <c r="R55" s="25"/>
      <c r="S55" s="24"/>
      <c r="T55" s="24"/>
      <c r="U55" s="24"/>
      <c r="V55" s="25"/>
      <c r="W55" s="24"/>
      <c r="X55" s="25"/>
      <c r="Y55" s="13">
        <v>4473</v>
      </c>
      <c r="Z55" s="13">
        <v>10.63</v>
      </c>
      <c r="AA55" s="13">
        <v>11</v>
      </c>
      <c r="AB55" s="13">
        <v>3</v>
      </c>
      <c r="AC55" s="13">
        <v>2</v>
      </c>
      <c r="AD55" s="13">
        <v>391.67</v>
      </c>
      <c r="AE55" s="13">
        <v>391.67</v>
      </c>
      <c r="AF55" s="26">
        <f t="shared" si="1"/>
        <v>156.66800000000001</v>
      </c>
      <c r="AG55" s="27" t="s">
        <v>1226</v>
      </c>
    </row>
    <row r="56" spans="1:33" ht="36" x14ac:dyDescent="0.35">
      <c r="A56" s="15">
        <v>71</v>
      </c>
      <c r="B56" s="16">
        <v>71</v>
      </c>
      <c r="C56" s="17" t="s">
        <v>124</v>
      </c>
      <c r="D56" s="18">
        <v>2017</v>
      </c>
      <c r="E56" s="19" t="s">
        <v>169</v>
      </c>
      <c r="F56" s="16" t="s">
        <v>170</v>
      </c>
      <c r="G56" s="7" t="s">
        <v>38</v>
      </c>
      <c r="H56" s="16" t="s">
        <v>39</v>
      </c>
      <c r="I56" s="20">
        <v>203280</v>
      </c>
      <c r="J56" s="21">
        <v>290.39999999999998</v>
      </c>
      <c r="K56" s="16">
        <f>(33*2+(33-12)*2+12*2)*1.7</f>
        <v>224.4</v>
      </c>
      <c r="L56" s="22">
        <f t="shared" ref="L56:L93" si="4">(K56/J56)-1</f>
        <v>-0.22727272727272718</v>
      </c>
      <c r="M56" s="28">
        <v>1</v>
      </c>
      <c r="N56" s="7">
        <v>0</v>
      </c>
      <c r="O56" s="7"/>
      <c r="P56" s="24"/>
      <c r="Q56" s="7" t="s">
        <v>48</v>
      </c>
      <c r="R56" s="25"/>
      <c r="S56" s="24"/>
      <c r="T56" s="24"/>
      <c r="U56" s="24"/>
      <c r="V56" s="25"/>
      <c r="W56" s="24"/>
      <c r="X56" s="25"/>
      <c r="Y56" s="13">
        <v>6570</v>
      </c>
      <c r="Z56" s="13">
        <v>9.9499999999999993</v>
      </c>
      <c r="AA56" s="13">
        <v>10</v>
      </c>
      <c r="AB56" s="13">
        <v>3</v>
      </c>
      <c r="AC56" s="13">
        <v>2</v>
      </c>
      <c r="AD56" s="13">
        <v>482.68</v>
      </c>
      <c r="AE56" s="13">
        <v>482.68</v>
      </c>
      <c r="AF56" s="26">
        <f t="shared" si="1"/>
        <v>193.072</v>
      </c>
      <c r="AG56" s="27" t="s">
        <v>1227</v>
      </c>
    </row>
    <row r="57" spans="1:33" ht="36" x14ac:dyDescent="0.35">
      <c r="A57" s="15">
        <v>72</v>
      </c>
      <c r="B57" s="16">
        <v>72</v>
      </c>
      <c r="C57" s="17" t="s">
        <v>124</v>
      </c>
      <c r="D57" s="18">
        <v>2017</v>
      </c>
      <c r="E57" s="19" t="s">
        <v>171</v>
      </c>
      <c r="F57" s="16" t="s">
        <v>172</v>
      </c>
      <c r="G57" s="7" t="s">
        <v>38</v>
      </c>
      <c r="H57" s="16" t="s">
        <v>39</v>
      </c>
      <c r="I57" s="20">
        <v>158900</v>
      </c>
      <c r="J57" s="21">
        <v>227</v>
      </c>
      <c r="K57" s="16">
        <f>(50*2+11*2)*1.8</f>
        <v>219.6</v>
      </c>
      <c r="L57" s="22">
        <f t="shared" si="4"/>
        <v>-3.2599118942731264E-2</v>
      </c>
      <c r="M57" s="28">
        <v>1</v>
      </c>
      <c r="N57" s="7">
        <v>0</v>
      </c>
      <c r="O57" s="7"/>
      <c r="P57" s="24"/>
      <c r="Q57" s="7" t="s">
        <v>48</v>
      </c>
      <c r="R57" s="25"/>
      <c r="S57" s="24"/>
      <c r="T57" s="24"/>
      <c r="U57" s="24"/>
      <c r="V57" s="25"/>
      <c r="W57" s="24"/>
      <c r="X57" s="25"/>
      <c r="Y57" s="13">
        <v>2939</v>
      </c>
      <c r="Z57" s="13">
        <v>6</v>
      </c>
      <c r="AA57" s="13">
        <v>6</v>
      </c>
      <c r="AB57" s="13">
        <v>2</v>
      </c>
      <c r="AC57" s="13">
        <v>2</v>
      </c>
      <c r="AD57" s="13">
        <v>277.61</v>
      </c>
      <c r="AE57" s="13">
        <v>277.61</v>
      </c>
      <c r="AF57" s="26">
        <f t="shared" si="1"/>
        <v>111.04400000000001</v>
      </c>
      <c r="AG57" s="27" t="s">
        <v>1228</v>
      </c>
    </row>
    <row r="58" spans="1:33" ht="36" x14ac:dyDescent="0.35">
      <c r="A58" s="15">
        <v>73</v>
      </c>
      <c r="B58" s="16">
        <v>73</v>
      </c>
      <c r="C58" s="17" t="s">
        <v>124</v>
      </c>
      <c r="D58" s="18">
        <v>2018</v>
      </c>
      <c r="E58" s="19" t="s">
        <v>173</v>
      </c>
      <c r="F58" s="16" t="s">
        <v>174</v>
      </c>
      <c r="G58" s="7" t="s">
        <v>38</v>
      </c>
      <c r="H58" s="16" t="s">
        <v>39</v>
      </c>
      <c r="I58" s="20">
        <v>217602</v>
      </c>
      <c r="J58" s="21">
        <v>282.60000000000002</v>
      </c>
      <c r="K58" s="16">
        <f>(15*2+37*2)*1.8</f>
        <v>187.20000000000002</v>
      </c>
      <c r="L58" s="22">
        <f t="shared" si="4"/>
        <v>-0.33757961783439494</v>
      </c>
      <c r="M58" s="28">
        <v>1</v>
      </c>
      <c r="N58" s="7">
        <v>0</v>
      </c>
      <c r="O58" s="7"/>
      <c r="P58" s="24"/>
      <c r="Q58" s="7" t="s">
        <v>48</v>
      </c>
      <c r="R58" s="25"/>
      <c r="S58" s="24"/>
      <c r="T58" s="24"/>
      <c r="U58" s="24"/>
      <c r="V58" s="25"/>
      <c r="W58" s="24"/>
      <c r="X58" s="25"/>
      <c r="Y58" s="13">
        <v>4009</v>
      </c>
      <c r="Z58" s="13">
        <v>11</v>
      </c>
      <c r="AA58" s="13">
        <v>11</v>
      </c>
      <c r="AB58" s="13">
        <v>2</v>
      </c>
      <c r="AC58" s="13">
        <v>2</v>
      </c>
      <c r="AD58" s="13">
        <v>300.85000000000002</v>
      </c>
      <c r="AE58" s="13">
        <v>300.85000000000002</v>
      </c>
      <c r="AF58" s="26">
        <f t="shared" si="1"/>
        <v>120.34000000000002</v>
      </c>
      <c r="AG58" s="27" t="s">
        <v>1229</v>
      </c>
    </row>
    <row r="59" spans="1:33" ht="54" x14ac:dyDescent="0.35">
      <c r="A59" s="15">
        <v>75</v>
      </c>
      <c r="B59" s="16">
        <v>75</v>
      </c>
      <c r="C59" s="17" t="s">
        <v>124</v>
      </c>
      <c r="D59" s="18">
        <v>2016</v>
      </c>
      <c r="E59" s="19" t="s">
        <v>175</v>
      </c>
      <c r="F59" s="16" t="s">
        <v>176</v>
      </c>
      <c r="G59" s="7" t="s">
        <v>46</v>
      </c>
      <c r="H59" s="16" t="s">
        <v>47</v>
      </c>
      <c r="I59" s="20">
        <v>8505</v>
      </c>
      <c r="J59" s="21">
        <v>12.15</v>
      </c>
      <c r="K59" s="16">
        <f>2.4*0.95*10</f>
        <v>22.799999999999997</v>
      </c>
      <c r="L59" s="22">
        <f t="shared" si="4"/>
        <v>0.87654320987654288</v>
      </c>
      <c r="M59" s="28"/>
      <c r="N59" s="7">
        <v>0</v>
      </c>
      <c r="O59" s="7"/>
      <c r="P59" s="24"/>
      <c r="Q59" s="7" t="s">
        <v>48</v>
      </c>
      <c r="R59" s="25"/>
      <c r="S59" s="24"/>
      <c r="T59" s="24" t="s">
        <v>42</v>
      </c>
      <c r="U59" s="24" t="s">
        <v>42</v>
      </c>
      <c r="V59" s="25"/>
      <c r="W59" s="24"/>
      <c r="X59" s="25"/>
      <c r="Y59" s="13">
        <v>8785.92</v>
      </c>
      <c r="Z59" s="13">
        <v>8</v>
      </c>
      <c r="AA59" s="13">
        <v>8</v>
      </c>
      <c r="AB59" s="13">
        <v>2</v>
      </c>
      <c r="AC59" s="13">
        <v>2</v>
      </c>
      <c r="AD59" s="13">
        <v>467.99</v>
      </c>
      <c r="AE59" s="13">
        <v>467.99</v>
      </c>
      <c r="AF59" s="26">
        <f t="shared" si="1"/>
        <v>187.19600000000003</v>
      </c>
      <c r="AG59" s="27" t="s">
        <v>1230</v>
      </c>
    </row>
    <row r="60" spans="1:33" ht="36" x14ac:dyDescent="0.35">
      <c r="A60" s="15">
        <v>76</v>
      </c>
      <c r="B60" s="16">
        <v>76</v>
      </c>
      <c r="C60" s="17" t="s">
        <v>124</v>
      </c>
      <c r="D60" s="18">
        <v>2016</v>
      </c>
      <c r="E60" s="19" t="s">
        <v>175</v>
      </c>
      <c r="F60" s="16" t="s">
        <v>177</v>
      </c>
      <c r="G60" s="7" t="s">
        <v>134</v>
      </c>
      <c r="H60" s="16" t="s">
        <v>39</v>
      </c>
      <c r="I60" s="20">
        <v>16011.53</v>
      </c>
      <c r="J60" s="21">
        <v>140</v>
      </c>
      <c r="K60" s="16">
        <f>(40+30+15+8+25+(30-8))*1.8</f>
        <v>252</v>
      </c>
      <c r="L60" s="22">
        <f t="shared" si="4"/>
        <v>0.8</v>
      </c>
      <c r="M60" s="28"/>
      <c r="N60" s="7">
        <v>0</v>
      </c>
      <c r="O60" s="7"/>
      <c r="P60" s="24"/>
      <c r="Q60" s="7" t="s">
        <v>48</v>
      </c>
      <c r="R60" s="25"/>
      <c r="S60" s="24"/>
      <c r="T60" s="24"/>
      <c r="U60" s="24"/>
      <c r="V60" s="25"/>
      <c r="W60" s="24"/>
      <c r="X60" s="25"/>
      <c r="Y60" s="13">
        <v>8785.92</v>
      </c>
      <c r="Z60" s="13">
        <v>8</v>
      </c>
      <c r="AA60" s="13">
        <v>8</v>
      </c>
      <c r="AB60" s="13">
        <v>2</v>
      </c>
      <c r="AC60" s="13">
        <v>2</v>
      </c>
      <c r="AD60" s="13">
        <v>518.39</v>
      </c>
      <c r="AE60" s="13">
        <v>518.39</v>
      </c>
      <c r="AF60" s="26">
        <f t="shared" si="1"/>
        <v>207.35599999999999</v>
      </c>
      <c r="AG60" s="27" t="s">
        <v>1230</v>
      </c>
    </row>
    <row r="61" spans="1:33" ht="54" x14ac:dyDescent="0.35">
      <c r="A61" s="15">
        <v>77</v>
      </c>
      <c r="B61" s="16">
        <v>77</v>
      </c>
      <c r="C61" s="17" t="s">
        <v>124</v>
      </c>
      <c r="D61" s="18">
        <v>2016</v>
      </c>
      <c r="E61" s="19" t="s">
        <v>178</v>
      </c>
      <c r="F61" s="16" t="s">
        <v>179</v>
      </c>
      <c r="G61" s="7" t="s">
        <v>46</v>
      </c>
      <c r="H61" s="16" t="s">
        <v>47</v>
      </c>
      <c r="I61" s="20">
        <v>8505</v>
      </c>
      <c r="J61" s="21">
        <v>12.15</v>
      </c>
      <c r="K61" s="16">
        <f>2.4*0.95*10</f>
        <v>22.799999999999997</v>
      </c>
      <c r="L61" s="22">
        <f t="shared" si="4"/>
        <v>0.87654320987654288</v>
      </c>
      <c r="M61" s="28"/>
      <c r="N61" s="7">
        <v>0</v>
      </c>
      <c r="O61" s="7"/>
      <c r="P61" s="24"/>
      <c r="Q61" s="7" t="s">
        <v>48</v>
      </c>
      <c r="R61" s="25"/>
      <c r="S61" s="24"/>
      <c r="T61" s="24" t="s">
        <v>42</v>
      </c>
      <c r="U61" s="24" t="s">
        <v>42</v>
      </c>
      <c r="V61" s="25"/>
      <c r="W61" s="24"/>
      <c r="X61" s="25"/>
      <c r="Y61" s="13">
        <v>8785.92</v>
      </c>
      <c r="Z61" s="13">
        <v>8</v>
      </c>
      <c r="AA61" s="13">
        <v>8</v>
      </c>
      <c r="AB61" s="13">
        <v>2</v>
      </c>
      <c r="AC61" s="13">
        <v>2</v>
      </c>
      <c r="AD61" s="13">
        <v>467.99</v>
      </c>
      <c r="AE61" s="13">
        <v>467.99</v>
      </c>
      <c r="AF61" s="26">
        <f t="shared" si="1"/>
        <v>187.19600000000003</v>
      </c>
      <c r="AG61" s="27" t="s">
        <v>1231</v>
      </c>
    </row>
    <row r="62" spans="1:33" ht="36" x14ac:dyDescent="0.35">
      <c r="A62" s="15">
        <v>78</v>
      </c>
      <c r="B62" s="16">
        <v>78</v>
      </c>
      <c r="C62" s="17" t="s">
        <v>124</v>
      </c>
      <c r="D62" s="18">
        <v>2016</v>
      </c>
      <c r="E62" s="19" t="s">
        <v>178</v>
      </c>
      <c r="F62" s="16" t="s">
        <v>180</v>
      </c>
      <c r="G62" s="7" t="s">
        <v>134</v>
      </c>
      <c r="H62" s="16" t="s">
        <v>39</v>
      </c>
      <c r="I62" s="20">
        <v>16011.53</v>
      </c>
      <c r="J62" s="21">
        <v>140</v>
      </c>
      <c r="K62" s="16">
        <f>(40+30+15+8+25+(30-8))*1.8</f>
        <v>252</v>
      </c>
      <c r="L62" s="22">
        <f t="shared" si="4"/>
        <v>0.8</v>
      </c>
      <c r="M62" s="28"/>
      <c r="N62" s="7">
        <v>0</v>
      </c>
      <c r="O62" s="7"/>
      <c r="P62" s="24"/>
      <c r="Q62" s="7" t="s">
        <v>48</v>
      </c>
      <c r="R62" s="25"/>
      <c r="S62" s="24"/>
      <c r="T62" s="24"/>
      <c r="U62" s="24"/>
      <c r="V62" s="25"/>
      <c r="W62" s="24"/>
      <c r="X62" s="25"/>
      <c r="Y62" s="13">
        <v>8785.92</v>
      </c>
      <c r="Z62" s="13">
        <v>8</v>
      </c>
      <c r="AA62" s="13">
        <v>8</v>
      </c>
      <c r="AB62" s="13">
        <v>2</v>
      </c>
      <c r="AC62" s="13">
        <v>2</v>
      </c>
      <c r="AD62" s="13">
        <v>518.39</v>
      </c>
      <c r="AE62" s="13">
        <v>518.39</v>
      </c>
      <c r="AF62" s="26">
        <f t="shared" si="1"/>
        <v>207.35599999999999</v>
      </c>
      <c r="AG62" s="27" t="s">
        <v>1231</v>
      </c>
    </row>
    <row r="63" spans="1:33" ht="36" x14ac:dyDescent="0.35">
      <c r="A63" s="15">
        <v>79</v>
      </c>
      <c r="B63" s="16">
        <v>79</v>
      </c>
      <c r="C63" s="17" t="s">
        <v>124</v>
      </c>
      <c r="D63" s="18">
        <v>2016</v>
      </c>
      <c r="E63" s="19" t="s">
        <v>181</v>
      </c>
      <c r="F63" s="16" t="s">
        <v>182</v>
      </c>
      <c r="G63" s="7" t="s">
        <v>38</v>
      </c>
      <c r="H63" s="16" t="s">
        <v>39</v>
      </c>
      <c r="I63" s="20">
        <v>127400</v>
      </c>
      <c r="J63" s="21">
        <v>182</v>
      </c>
      <c r="K63" s="16">
        <f>(33*2+15*2)*2.4</f>
        <v>230.39999999999998</v>
      </c>
      <c r="L63" s="22">
        <f t="shared" si="4"/>
        <v>0.26593406593406588</v>
      </c>
      <c r="M63" s="28"/>
      <c r="N63" s="7">
        <v>0</v>
      </c>
      <c r="O63" s="7"/>
      <c r="P63" s="24"/>
      <c r="Q63" s="7" t="s">
        <v>48</v>
      </c>
      <c r="R63" s="25"/>
      <c r="S63" s="24"/>
      <c r="T63" s="24"/>
      <c r="U63" s="24"/>
      <c r="V63" s="25"/>
      <c r="W63" s="24"/>
      <c r="X63" s="25"/>
      <c r="Y63" s="13">
        <v>3185</v>
      </c>
      <c r="Z63" s="13">
        <v>6.74</v>
      </c>
      <c r="AA63" s="13">
        <v>7</v>
      </c>
      <c r="AB63" s="13">
        <v>2</v>
      </c>
      <c r="AC63" s="13">
        <v>2</v>
      </c>
      <c r="AD63" s="13">
        <v>284.74</v>
      </c>
      <c r="AE63" s="13">
        <v>284.74</v>
      </c>
      <c r="AF63" s="26">
        <f t="shared" si="1"/>
        <v>113.89600000000002</v>
      </c>
      <c r="AG63" s="27" t="s">
        <v>1232</v>
      </c>
    </row>
    <row r="64" spans="1:33" ht="54" x14ac:dyDescent="0.35">
      <c r="A64" s="15">
        <v>81</v>
      </c>
      <c r="B64" s="16">
        <v>81</v>
      </c>
      <c r="C64" s="17" t="s">
        <v>124</v>
      </c>
      <c r="D64" s="18">
        <v>2017</v>
      </c>
      <c r="E64" s="19" t="s">
        <v>183</v>
      </c>
      <c r="F64" s="16" t="s">
        <v>184</v>
      </c>
      <c r="G64" s="7" t="s">
        <v>46</v>
      </c>
      <c r="H64" s="16" t="s">
        <v>47</v>
      </c>
      <c r="I64" s="20">
        <v>24360</v>
      </c>
      <c r="J64" s="21">
        <v>34.799999999999997</v>
      </c>
      <c r="K64" s="16">
        <f>1.9*1*10</f>
        <v>19</v>
      </c>
      <c r="L64" s="22">
        <f t="shared" si="4"/>
        <v>-0.45402298850574707</v>
      </c>
      <c r="M64" s="28">
        <v>1</v>
      </c>
      <c r="N64" s="7">
        <v>0</v>
      </c>
      <c r="O64" s="7"/>
      <c r="P64" s="24"/>
      <c r="Q64" s="7" t="s">
        <v>48</v>
      </c>
      <c r="R64" s="25"/>
      <c r="S64" s="24"/>
      <c r="T64" s="24" t="s">
        <v>42</v>
      </c>
      <c r="U64" s="24" t="s">
        <v>42</v>
      </c>
      <c r="V64" s="25"/>
      <c r="W64" s="24"/>
      <c r="X64" s="25"/>
      <c r="Y64" s="13">
        <v>4038</v>
      </c>
      <c r="Z64" s="13">
        <v>9.58</v>
      </c>
      <c r="AA64" s="13">
        <v>10</v>
      </c>
      <c r="AB64" s="13">
        <v>3</v>
      </c>
      <c r="AC64" s="13">
        <v>2</v>
      </c>
      <c r="AD64" s="13">
        <v>300.43</v>
      </c>
      <c r="AE64" s="13">
        <v>300.43</v>
      </c>
      <c r="AF64" s="26">
        <f t="shared" si="1"/>
        <v>120.17200000000001</v>
      </c>
      <c r="AG64" s="27" t="s">
        <v>1225</v>
      </c>
    </row>
    <row r="65" spans="1:33" ht="54" x14ac:dyDescent="0.35">
      <c r="A65" s="15">
        <v>82</v>
      </c>
      <c r="B65" s="16">
        <v>82</v>
      </c>
      <c r="C65" s="17" t="s">
        <v>124</v>
      </c>
      <c r="D65" s="18">
        <v>2016</v>
      </c>
      <c r="E65" s="19" t="s">
        <v>185</v>
      </c>
      <c r="F65" s="16" t="s">
        <v>186</v>
      </c>
      <c r="G65" s="7" t="s">
        <v>46</v>
      </c>
      <c r="H65" s="16" t="s">
        <v>47</v>
      </c>
      <c r="I65" s="20">
        <v>17724</v>
      </c>
      <c r="J65" s="21">
        <v>25.32</v>
      </c>
      <c r="K65" s="16">
        <f>2.6*1*11</f>
        <v>28.6</v>
      </c>
      <c r="L65" s="22">
        <f t="shared" si="4"/>
        <v>0.12954186413902069</v>
      </c>
      <c r="M65" s="28">
        <v>1</v>
      </c>
      <c r="N65" s="7">
        <v>0</v>
      </c>
      <c r="O65" s="7"/>
      <c r="P65" s="24"/>
      <c r="Q65" s="7" t="s">
        <v>48</v>
      </c>
      <c r="R65" s="25"/>
      <c r="S65" s="24"/>
      <c r="T65" s="24" t="s">
        <v>42</v>
      </c>
      <c r="U65" s="24" t="s">
        <v>42</v>
      </c>
      <c r="V65" s="25"/>
      <c r="W65" s="24"/>
      <c r="X65" s="25"/>
      <c r="Y65" s="13">
        <v>4249</v>
      </c>
      <c r="Z65" s="13">
        <v>6.36</v>
      </c>
      <c r="AA65" s="13">
        <v>7</v>
      </c>
      <c r="AB65" s="13">
        <v>2</v>
      </c>
      <c r="AC65" s="13">
        <v>2</v>
      </c>
      <c r="AD65" s="13">
        <v>279.73</v>
      </c>
      <c r="AE65" s="13">
        <v>279.73</v>
      </c>
      <c r="AF65" s="26">
        <f t="shared" si="1"/>
        <v>111.89200000000001</v>
      </c>
      <c r="AG65" s="27" t="s">
        <v>1233</v>
      </c>
    </row>
    <row r="66" spans="1:33" ht="36" x14ac:dyDescent="0.35">
      <c r="A66" s="15">
        <v>83</v>
      </c>
      <c r="B66" s="16">
        <v>83</v>
      </c>
      <c r="C66" s="17" t="s">
        <v>124</v>
      </c>
      <c r="D66" s="18">
        <v>2016</v>
      </c>
      <c r="E66" s="19" t="s">
        <v>187</v>
      </c>
      <c r="F66" s="16" t="s">
        <v>188</v>
      </c>
      <c r="G66" s="7" t="s">
        <v>38</v>
      </c>
      <c r="H66" s="16" t="s">
        <v>39</v>
      </c>
      <c r="I66" s="20">
        <v>79100</v>
      </c>
      <c r="J66" s="21">
        <v>113</v>
      </c>
      <c r="K66" s="16">
        <f>(13*2+10*2)*1.8</f>
        <v>82.8</v>
      </c>
      <c r="L66" s="22">
        <f t="shared" si="4"/>
        <v>-0.26725663716814163</v>
      </c>
      <c r="M66" s="28" t="s">
        <v>99</v>
      </c>
      <c r="N66" s="7">
        <v>0</v>
      </c>
      <c r="O66" s="7"/>
      <c r="P66" s="24"/>
      <c r="Q66" s="7" t="s">
        <v>48</v>
      </c>
      <c r="R66" s="25"/>
      <c r="S66" s="24"/>
      <c r="T66" s="24"/>
      <c r="U66" s="24"/>
      <c r="V66" s="25"/>
      <c r="W66" s="24"/>
      <c r="X66" s="25"/>
      <c r="Y66" s="13">
        <v>1068</v>
      </c>
      <c r="Z66" s="13">
        <v>6.4</v>
      </c>
      <c r="AA66" s="13">
        <v>7</v>
      </c>
      <c r="AB66" s="13">
        <v>2</v>
      </c>
      <c r="AC66" s="13">
        <v>2</v>
      </c>
      <c r="AD66" s="13">
        <v>192.34</v>
      </c>
      <c r="AE66" s="13">
        <v>192.34</v>
      </c>
      <c r="AF66" s="26">
        <f t="shared" si="1"/>
        <v>76.936000000000007</v>
      </c>
      <c r="AG66" s="27" t="s">
        <v>1234</v>
      </c>
    </row>
    <row r="67" spans="1:33" ht="36" x14ac:dyDescent="0.35">
      <c r="A67" s="15">
        <v>85</v>
      </c>
      <c r="B67" s="16">
        <v>85</v>
      </c>
      <c r="C67" s="17" t="s">
        <v>124</v>
      </c>
      <c r="D67" s="18">
        <v>2016</v>
      </c>
      <c r="E67" s="19" t="s">
        <v>189</v>
      </c>
      <c r="F67" s="16" t="s">
        <v>190</v>
      </c>
      <c r="G67" s="7" t="s">
        <v>38</v>
      </c>
      <c r="H67" s="16" t="s">
        <v>39</v>
      </c>
      <c r="I67" s="20">
        <v>79100</v>
      </c>
      <c r="J67" s="21">
        <v>113</v>
      </c>
      <c r="K67" s="16">
        <f>(13*2+10*2)*1.8</f>
        <v>82.8</v>
      </c>
      <c r="L67" s="22">
        <f t="shared" si="4"/>
        <v>-0.26725663716814163</v>
      </c>
      <c r="M67" s="28" t="s">
        <v>99</v>
      </c>
      <c r="N67" s="7">
        <v>0</v>
      </c>
      <c r="O67" s="7"/>
      <c r="P67" s="24"/>
      <c r="Q67" s="7" t="s">
        <v>48</v>
      </c>
      <c r="R67" s="25"/>
      <c r="S67" s="24"/>
      <c r="T67" s="24"/>
      <c r="U67" s="24"/>
      <c r="V67" s="25"/>
      <c r="W67" s="24"/>
      <c r="X67" s="25"/>
      <c r="Y67" s="13">
        <v>1051</v>
      </c>
      <c r="Z67" s="13">
        <v>6.4</v>
      </c>
      <c r="AA67" s="13">
        <v>7</v>
      </c>
      <c r="AB67" s="13">
        <v>2</v>
      </c>
      <c r="AC67" s="13">
        <v>2</v>
      </c>
      <c r="AD67" s="13">
        <v>191.6</v>
      </c>
      <c r="AE67" s="13">
        <v>191.6</v>
      </c>
      <c r="AF67" s="26">
        <f t="shared" si="1"/>
        <v>76.64</v>
      </c>
      <c r="AG67" s="27" t="s">
        <v>1235</v>
      </c>
    </row>
    <row r="68" spans="1:33" ht="54" x14ac:dyDescent="0.35">
      <c r="A68" s="15">
        <v>87</v>
      </c>
      <c r="B68" s="16">
        <v>87</v>
      </c>
      <c r="C68" s="17" t="s">
        <v>124</v>
      </c>
      <c r="D68" s="18">
        <v>2016</v>
      </c>
      <c r="E68" s="19" t="s">
        <v>191</v>
      </c>
      <c r="F68" s="16" t="s">
        <v>192</v>
      </c>
      <c r="G68" s="7" t="s">
        <v>46</v>
      </c>
      <c r="H68" s="16" t="s">
        <v>47</v>
      </c>
      <c r="I68" s="20">
        <v>1890</v>
      </c>
      <c r="J68" s="21">
        <v>2.7</v>
      </c>
      <c r="K68" s="16">
        <f>2.6*1*2</f>
        <v>5.2</v>
      </c>
      <c r="L68" s="22">
        <f t="shared" si="4"/>
        <v>0.92592592592592582</v>
      </c>
      <c r="M68" s="28"/>
      <c r="N68" s="7">
        <v>0</v>
      </c>
      <c r="O68" s="7"/>
      <c r="P68" s="24"/>
      <c r="Q68" s="7" t="s">
        <v>48</v>
      </c>
      <c r="R68" s="25"/>
      <c r="S68" s="24"/>
      <c r="T68" s="24"/>
      <c r="U68" s="24"/>
      <c r="V68" s="25"/>
      <c r="W68" s="24"/>
      <c r="X68" s="25"/>
      <c r="Y68" s="13">
        <v>1046</v>
      </c>
      <c r="Z68" s="13">
        <v>6.4</v>
      </c>
      <c r="AA68" s="13">
        <v>7</v>
      </c>
      <c r="AB68" s="13">
        <v>2</v>
      </c>
      <c r="AC68" s="13">
        <v>2</v>
      </c>
      <c r="AD68" s="13">
        <v>138.08000000000001</v>
      </c>
      <c r="AE68" s="13">
        <v>138.08000000000001</v>
      </c>
      <c r="AF68" s="26">
        <f t="shared" ref="AF68:AF131" si="5">AE68*0.4</f>
        <v>55.232000000000006</v>
      </c>
      <c r="AG68" s="27" t="s">
        <v>1236</v>
      </c>
    </row>
    <row r="69" spans="1:33" ht="36" x14ac:dyDescent="0.35">
      <c r="A69" s="15">
        <v>88</v>
      </c>
      <c r="B69" s="16">
        <v>88</v>
      </c>
      <c r="C69" s="17" t="s">
        <v>124</v>
      </c>
      <c r="D69" s="18">
        <v>2016</v>
      </c>
      <c r="E69" s="19" t="s">
        <v>191</v>
      </c>
      <c r="F69" s="16" t="s">
        <v>193</v>
      </c>
      <c r="G69" s="7" t="s">
        <v>134</v>
      </c>
      <c r="H69" s="16" t="s">
        <v>39</v>
      </c>
      <c r="I69" s="20">
        <v>6496.11</v>
      </c>
      <c r="J69" s="21">
        <v>56.8</v>
      </c>
      <c r="K69" s="16">
        <f>(13*2+10*2)*1.7</f>
        <v>78.2</v>
      </c>
      <c r="L69" s="22">
        <f t="shared" si="4"/>
        <v>0.37676056338028174</v>
      </c>
      <c r="M69" s="28"/>
      <c r="N69" s="7">
        <v>0</v>
      </c>
      <c r="O69" s="7"/>
      <c r="P69" s="24"/>
      <c r="Q69" s="7" t="s">
        <v>48</v>
      </c>
      <c r="R69" s="25"/>
      <c r="S69" s="24"/>
      <c r="T69" s="24"/>
      <c r="U69" s="24"/>
      <c r="V69" s="25"/>
      <c r="W69" s="24"/>
      <c r="X69" s="25"/>
      <c r="Y69" s="13">
        <v>1046</v>
      </c>
      <c r="Z69" s="13">
        <v>6.4</v>
      </c>
      <c r="AA69" s="13">
        <v>7</v>
      </c>
      <c r="AB69" s="13">
        <v>2</v>
      </c>
      <c r="AC69" s="13">
        <v>2</v>
      </c>
      <c r="AD69" s="13">
        <v>191.38</v>
      </c>
      <c r="AE69" s="13">
        <v>191.38</v>
      </c>
      <c r="AF69" s="26">
        <f t="shared" si="5"/>
        <v>76.552000000000007</v>
      </c>
      <c r="AG69" s="27" t="s">
        <v>1236</v>
      </c>
    </row>
    <row r="70" spans="1:33" ht="36" x14ac:dyDescent="0.35">
      <c r="A70" s="15">
        <v>89</v>
      </c>
      <c r="B70" s="16">
        <v>89</v>
      </c>
      <c r="C70" s="17" t="s">
        <v>124</v>
      </c>
      <c r="D70" s="18">
        <v>2016</v>
      </c>
      <c r="E70" s="19" t="s">
        <v>194</v>
      </c>
      <c r="F70" s="16" t="s">
        <v>195</v>
      </c>
      <c r="G70" s="7" t="s">
        <v>38</v>
      </c>
      <c r="H70" s="16" t="s">
        <v>39</v>
      </c>
      <c r="I70" s="20">
        <v>78960</v>
      </c>
      <c r="J70" s="21">
        <v>112.8</v>
      </c>
      <c r="K70" s="16">
        <f>(13*2+10*2)*1.7</f>
        <v>78.2</v>
      </c>
      <c r="L70" s="22">
        <f t="shared" si="4"/>
        <v>-0.30673758865248224</v>
      </c>
      <c r="M70" s="28" t="s">
        <v>99</v>
      </c>
      <c r="N70" s="7">
        <v>0</v>
      </c>
      <c r="O70" s="7"/>
      <c r="P70" s="24"/>
      <c r="Q70" s="7" t="s">
        <v>48</v>
      </c>
      <c r="R70" s="25"/>
      <c r="S70" s="24"/>
      <c r="T70" s="24"/>
      <c r="U70" s="24"/>
      <c r="V70" s="25"/>
      <c r="W70" s="24"/>
      <c r="X70" s="25"/>
      <c r="Y70" s="13">
        <v>1055</v>
      </c>
      <c r="Z70" s="13">
        <v>6.4</v>
      </c>
      <c r="AA70" s="13">
        <v>7</v>
      </c>
      <c r="AB70" s="13">
        <v>2</v>
      </c>
      <c r="AC70" s="13">
        <v>2</v>
      </c>
      <c r="AD70" s="13">
        <v>191.78</v>
      </c>
      <c r="AE70" s="13">
        <v>191.78</v>
      </c>
      <c r="AF70" s="26">
        <f t="shared" si="5"/>
        <v>76.712000000000003</v>
      </c>
      <c r="AG70" s="27" t="s">
        <v>1237</v>
      </c>
    </row>
    <row r="71" spans="1:33" ht="36" x14ac:dyDescent="0.35">
      <c r="A71" s="15">
        <v>91</v>
      </c>
      <c r="B71" s="16">
        <v>91</v>
      </c>
      <c r="C71" s="17" t="s">
        <v>124</v>
      </c>
      <c r="D71" s="18">
        <v>2016</v>
      </c>
      <c r="E71" s="19" t="s">
        <v>196</v>
      </c>
      <c r="F71" s="16" t="s">
        <v>197</v>
      </c>
      <c r="G71" s="7" t="s">
        <v>38</v>
      </c>
      <c r="H71" s="16" t="s">
        <v>39</v>
      </c>
      <c r="I71" s="20">
        <v>78890</v>
      </c>
      <c r="J71" s="21">
        <v>112.7</v>
      </c>
      <c r="K71" s="16">
        <f>(13*2+10*2)*1.7</f>
        <v>78.2</v>
      </c>
      <c r="L71" s="22">
        <f t="shared" si="4"/>
        <v>-0.30612244897959184</v>
      </c>
      <c r="M71" s="28" t="s">
        <v>99</v>
      </c>
      <c r="N71" s="7">
        <v>0</v>
      </c>
      <c r="O71" s="7"/>
      <c r="P71" s="24"/>
      <c r="Q71" s="7" t="s">
        <v>48</v>
      </c>
      <c r="R71" s="25"/>
      <c r="S71" s="24"/>
      <c r="T71" s="24"/>
      <c r="U71" s="24"/>
      <c r="V71" s="25"/>
      <c r="W71" s="24"/>
      <c r="X71" s="25"/>
      <c r="Y71" s="13">
        <v>1073</v>
      </c>
      <c r="Z71" s="13">
        <v>6.4</v>
      </c>
      <c r="AA71" s="13">
        <v>7</v>
      </c>
      <c r="AB71" s="13">
        <v>2</v>
      </c>
      <c r="AC71" s="13">
        <v>2</v>
      </c>
      <c r="AD71" s="13">
        <v>192.56</v>
      </c>
      <c r="AE71" s="13">
        <v>192.56</v>
      </c>
      <c r="AF71" s="26">
        <f t="shared" si="5"/>
        <v>77.024000000000001</v>
      </c>
      <c r="AG71" s="27" t="s">
        <v>1238</v>
      </c>
    </row>
    <row r="72" spans="1:33" ht="36" x14ac:dyDescent="0.35">
      <c r="A72" s="15">
        <v>93</v>
      </c>
      <c r="B72" s="16">
        <v>93</v>
      </c>
      <c r="C72" s="17" t="s">
        <v>124</v>
      </c>
      <c r="D72" s="18">
        <v>2016</v>
      </c>
      <c r="E72" s="19" t="s">
        <v>198</v>
      </c>
      <c r="F72" s="16" t="s">
        <v>199</v>
      </c>
      <c r="G72" s="7" t="s">
        <v>38</v>
      </c>
      <c r="H72" s="16" t="s">
        <v>39</v>
      </c>
      <c r="I72" s="20">
        <v>79100</v>
      </c>
      <c r="J72" s="21">
        <v>113</v>
      </c>
      <c r="K72" s="16">
        <f>(13*2+10*2)*1.7</f>
        <v>78.2</v>
      </c>
      <c r="L72" s="22">
        <f t="shared" si="4"/>
        <v>-0.30796460176991147</v>
      </c>
      <c r="M72" s="28" t="s">
        <v>99</v>
      </c>
      <c r="N72" s="7">
        <v>0</v>
      </c>
      <c r="O72" s="7"/>
      <c r="P72" s="24"/>
      <c r="Q72" s="7" t="s">
        <v>48</v>
      </c>
      <c r="R72" s="25"/>
      <c r="S72" s="24"/>
      <c r="T72" s="24"/>
      <c r="U72" s="24"/>
      <c r="V72" s="25"/>
      <c r="W72" s="24"/>
      <c r="X72" s="25"/>
      <c r="Y72" s="13">
        <v>1085</v>
      </c>
      <c r="Z72" s="13">
        <v>6.4</v>
      </c>
      <c r="AA72" s="13">
        <v>7</v>
      </c>
      <c r="AB72" s="13">
        <v>2</v>
      </c>
      <c r="AC72" s="13">
        <v>2</v>
      </c>
      <c r="AD72" s="13">
        <v>193.09</v>
      </c>
      <c r="AE72" s="13">
        <v>193.09</v>
      </c>
      <c r="AF72" s="26">
        <f t="shared" si="5"/>
        <v>77.236000000000004</v>
      </c>
      <c r="AG72" s="27" t="s">
        <v>1239</v>
      </c>
    </row>
    <row r="73" spans="1:33" ht="36" x14ac:dyDescent="0.35">
      <c r="A73" s="15">
        <v>95</v>
      </c>
      <c r="B73" s="16">
        <v>95</v>
      </c>
      <c r="C73" s="17" t="s">
        <v>124</v>
      </c>
      <c r="D73" s="18">
        <v>2016</v>
      </c>
      <c r="E73" s="19" t="s">
        <v>200</v>
      </c>
      <c r="F73" s="16" t="s">
        <v>201</v>
      </c>
      <c r="G73" s="7" t="s">
        <v>134</v>
      </c>
      <c r="H73" s="16" t="s">
        <v>39</v>
      </c>
      <c r="I73" s="20">
        <v>15833.12</v>
      </c>
      <c r="J73" s="21">
        <v>138.44</v>
      </c>
      <c r="K73" s="16">
        <f>33*4*1.8</f>
        <v>237.6</v>
      </c>
      <c r="L73" s="22">
        <f t="shared" si="4"/>
        <v>0.71626697486275637</v>
      </c>
      <c r="M73" s="28"/>
      <c r="N73" s="7">
        <v>0</v>
      </c>
      <c r="O73" s="7"/>
      <c r="P73" s="24"/>
      <c r="Q73" s="7" t="s">
        <v>48</v>
      </c>
      <c r="R73" s="25"/>
      <c r="S73" s="24"/>
      <c r="T73" s="24"/>
      <c r="U73" s="24"/>
      <c r="V73" s="25"/>
      <c r="W73" s="24"/>
      <c r="X73" s="25"/>
      <c r="Y73" s="13">
        <v>6970</v>
      </c>
      <c r="Z73" s="13">
        <v>10.3</v>
      </c>
      <c r="AA73" s="13">
        <v>10</v>
      </c>
      <c r="AB73" s="13">
        <v>3</v>
      </c>
      <c r="AC73" s="13">
        <v>2</v>
      </c>
      <c r="AD73" s="13">
        <v>498.75</v>
      </c>
      <c r="AE73" s="13">
        <v>498.75</v>
      </c>
      <c r="AF73" s="26">
        <f t="shared" si="5"/>
        <v>199.5</v>
      </c>
      <c r="AG73" s="27" t="s">
        <v>1240</v>
      </c>
    </row>
    <row r="74" spans="1:33" ht="54" x14ac:dyDescent="0.35">
      <c r="A74" s="15">
        <v>96</v>
      </c>
      <c r="B74" s="16">
        <v>96</v>
      </c>
      <c r="C74" s="17" t="s">
        <v>124</v>
      </c>
      <c r="D74" s="18">
        <v>2016</v>
      </c>
      <c r="E74" s="19" t="s">
        <v>202</v>
      </c>
      <c r="F74" s="16" t="s">
        <v>203</v>
      </c>
      <c r="G74" s="7" t="s">
        <v>46</v>
      </c>
      <c r="H74" s="16" t="s">
        <v>47</v>
      </c>
      <c r="I74" s="20">
        <v>24038</v>
      </c>
      <c r="J74" s="21">
        <v>34.340000000000003</v>
      </c>
      <c r="K74" s="16">
        <f>2.6*1*14</f>
        <v>36.4</v>
      </c>
      <c r="L74" s="22">
        <f t="shared" si="4"/>
        <v>5.9988351776353976E-2</v>
      </c>
      <c r="M74" s="28">
        <v>1</v>
      </c>
      <c r="N74" s="7">
        <v>0</v>
      </c>
      <c r="O74" s="7"/>
      <c r="P74" s="24"/>
      <c r="Q74" s="7" t="s">
        <v>48</v>
      </c>
      <c r="R74" s="25"/>
      <c r="S74" s="24"/>
      <c r="T74" s="24" t="s">
        <v>42</v>
      </c>
      <c r="U74" s="24" t="s">
        <v>42</v>
      </c>
      <c r="V74" s="25"/>
      <c r="W74" s="24"/>
      <c r="X74" s="25"/>
      <c r="Y74" s="13">
        <v>6970</v>
      </c>
      <c r="Z74" s="13">
        <v>10.3</v>
      </c>
      <c r="AA74" s="13">
        <v>10</v>
      </c>
      <c r="AB74" s="13">
        <v>3</v>
      </c>
      <c r="AC74" s="13">
        <v>2</v>
      </c>
      <c r="AD74" s="13">
        <v>418.56</v>
      </c>
      <c r="AE74" s="13">
        <v>418.56</v>
      </c>
      <c r="AF74" s="26">
        <f t="shared" si="5"/>
        <v>167.42400000000001</v>
      </c>
      <c r="AG74" s="27" t="s">
        <v>1240</v>
      </c>
    </row>
    <row r="75" spans="1:33" ht="54" x14ac:dyDescent="0.35">
      <c r="A75" s="15">
        <v>97</v>
      </c>
      <c r="B75" s="16">
        <v>97</v>
      </c>
      <c r="C75" s="17" t="s">
        <v>124</v>
      </c>
      <c r="D75" s="18">
        <v>2016</v>
      </c>
      <c r="E75" s="19" t="s">
        <v>204</v>
      </c>
      <c r="F75" s="16" t="s">
        <v>205</v>
      </c>
      <c r="G75" s="7" t="s">
        <v>46</v>
      </c>
      <c r="H75" s="16" t="s">
        <v>47</v>
      </c>
      <c r="I75" s="20">
        <v>18025</v>
      </c>
      <c r="J75" s="21">
        <v>25.75</v>
      </c>
      <c r="K75" s="16">
        <f>2.4*1*2+2.2*1*10</f>
        <v>26.8</v>
      </c>
      <c r="L75" s="22">
        <f t="shared" si="4"/>
        <v>4.0776699029126284E-2</v>
      </c>
      <c r="M75" s="28">
        <v>1</v>
      </c>
      <c r="N75" s="7">
        <v>0</v>
      </c>
      <c r="O75" s="7"/>
      <c r="P75" s="24"/>
      <c r="Q75" s="7" t="s">
        <v>48</v>
      </c>
      <c r="R75" s="25"/>
      <c r="S75" s="24"/>
      <c r="T75" s="24"/>
      <c r="U75" s="24"/>
      <c r="V75" s="25"/>
      <c r="W75" s="24"/>
      <c r="X75" s="25"/>
      <c r="Y75" s="13">
        <v>467</v>
      </c>
      <c r="Z75" s="13">
        <v>10.95</v>
      </c>
      <c r="AA75" s="13">
        <v>11</v>
      </c>
      <c r="AB75" s="13">
        <v>3</v>
      </c>
      <c r="AC75" s="13">
        <v>2</v>
      </c>
      <c r="AD75" s="13">
        <v>155.74</v>
      </c>
      <c r="AE75" s="13">
        <v>155.74</v>
      </c>
      <c r="AF75" s="26">
        <f t="shared" si="5"/>
        <v>62.296000000000006</v>
      </c>
      <c r="AG75" s="27" t="s">
        <v>1241</v>
      </c>
    </row>
    <row r="76" spans="1:33" ht="54" x14ac:dyDescent="0.35">
      <c r="A76" s="15">
        <v>98</v>
      </c>
      <c r="B76" s="16">
        <v>98</v>
      </c>
      <c r="C76" s="17" t="s">
        <v>124</v>
      </c>
      <c r="D76" s="18">
        <v>2016</v>
      </c>
      <c r="E76" s="19" t="s">
        <v>204</v>
      </c>
      <c r="F76" s="16" t="s">
        <v>206</v>
      </c>
      <c r="G76" s="7" t="s">
        <v>134</v>
      </c>
      <c r="H76" s="16" t="s">
        <v>207</v>
      </c>
      <c r="I76" s="20">
        <v>8417.49</v>
      </c>
      <c r="J76" s="21">
        <v>73.599999999999994</v>
      </c>
      <c r="K76" s="16">
        <f>(30*2+12*2)*1.7</f>
        <v>142.79999999999998</v>
      </c>
      <c r="L76" s="22">
        <f t="shared" si="4"/>
        <v>0.94021739130434767</v>
      </c>
      <c r="M76" s="28"/>
      <c r="N76" s="7">
        <v>0</v>
      </c>
      <c r="O76" s="7"/>
      <c r="P76" s="24"/>
      <c r="Q76" s="7" t="s">
        <v>48</v>
      </c>
      <c r="R76" s="25"/>
      <c r="S76" s="24"/>
      <c r="T76" s="24"/>
      <c r="U76" s="24"/>
      <c r="V76" s="25"/>
      <c r="W76" s="24"/>
      <c r="X76" s="25"/>
      <c r="Y76" s="13">
        <v>467</v>
      </c>
      <c r="Z76" s="13">
        <v>10.95</v>
      </c>
      <c r="AA76" s="13">
        <v>11</v>
      </c>
      <c r="AB76" s="13">
        <v>3</v>
      </c>
      <c r="AC76" s="13">
        <v>2</v>
      </c>
      <c r="AD76" s="13">
        <v>236.67</v>
      </c>
      <c r="AE76" s="13">
        <v>236.67</v>
      </c>
      <c r="AF76" s="26">
        <f t="shared" si="5"/>
        <v>94.668000000000006</v>
      </c>
      <c r="AG76" s="27" t="s">
        <v>1241</v>
      </c>
    </row>
    <row r="77" spans="1:33" ht="36" x14ac:dyDescent="0.35">
      <c r="A77" s="15">
        <v>99</v>
      </c>
      <c r="B77" s="16">
        <v>99</v>
      </c>
      <c r="C77" s="17" t="s">
        <v>124</v>
      </c>
      <c r="D77" s="18">
        <v>2016</v>
      </c>
      <c r="E77" s="19" t="s">
        <v>208</v>
      </c>
      <c r="F77" s="16" t="s">
        <v>209</v>
      </c>
      <c r="G77" s="7" t="s">
        <v>38</v>
      </c>
      <c r="H77" s="16" t="s">
        <v>39</v>
      </c>
      <c r="I77" s="20">
        <v>173600</v>
      </c>
      <c r="J77" s="21">
        <v>248</v>
      </c>
      <c r="K77" s="16">
        <f>(50*2+11*2)*1.8</f>
        <v>219.6</v>
      </c>
      <c r="L77" s="22">
        <f t="shared" si="4"/>
        <v>-0.11451612903225805</v>
      </c>
      <c r="M77" s="28">
        <v>1</v>
      </c>
      <c r="N77" s="7">
        <v>0</v>
      </c>
      <c r="O77" s="7"/>
      <c r="P77" s="24"/>
      <c r="Q77" s="7" t="s">
        <v>48</v>
      </c>
      <c r="R77" s="25"/>
      <c r="S77" s="24"/>
      <c r="T77" s="24"/>
      <c r="U77" s="24"/>
      <c r="V77" s="25"/>
      <c r="W77" s="24"/>
      <c r="X77" s="25"/>
      <c r="Y77" s="13">
        <v>2887</v>
      </c>
      <c r="Z77" s="13">
        <v>6</v>
      </c>
      <c r="AA77" s="13">
        <v>6</v>
      </c>
      <c r="AB77" s="13">
        <v>2</v>
      </c>
      <c r="AC77" s="13">
        <v>2</v>
      </c>
      <c r="AD77" s="13">
        <v>275.27999999999997</v>
      </c>
      <c r="AE77" s="13">
        <v>275.27999999999997</v>
      </c>
      <c r="AF77" s="26">
        <f t="shared" si="5"/>
        <v>110.11199999999999</v>
      </c>
      <c r="AG77" s="27" t="s">
        <v>1242</v>
      </c>
    </row>
    <row r="78" spans="1:33" ht="36" x14ac:dyDescent="0.35">
      <c r="A78" s="15">
        <v>101</v>
      </c>
      <c r="B78" s="16">
        <v>101</v>
      </c>
      <c r="C78" s="17" t="s">
        <v>124</v>
      </c>
      <c r="D78" s="18">
        <v>2016</v>
      </c>
      <c r="E78" s="19" t="s">
        <v>210</v>
      </c>
      <c r="F78" s="16" t="s">
        <v>211</v>
      </c>
      <c r="G78" s="7" t="s">
        <v>38</v>
      </c>
      <c r="H78" s="16" t="s">
        <v>39</v>
      </c>
      <c r="I78" s="20">
        <v>79100</v>
      </c>
      <c r="J78" s="21">
        <v>113</v>
      </c>
      <c r="K78" s="16">
        <f>(13*2+10*2)*2</f>
        <v>92</v>
      </c>
      <c r="L78" s="22">
        <f t="shared" si="4"/>
        <v>-0.18584070796460173</v>
      </c>
      <c r="M78" s="28">
        <v>1</v>
      </c>
      <c r="N78" s="7">
        <v>0</v>
      </c>
      <c r="O78" s="7"/>
      <c r="P78" s="24"/>
      <c r="Q78" s="7" t="s">
        <v>48</v>
      </c>
      <c r="R78" s="25"/>
      <c r="S78" s="24"/>
      <c r="T78" s="24"/>
      <c r="U78" s="24"/>
      <c r="V78" s="25"/>
      <c r="W78" s="24"/>
      <c r="X78" s="25"/>
      <c r="Y78" s="13">
        <v>1066</v>
      </c>
      <c r="Z78" s="13">
        <v>6.4</v>
      </c>
      <c r="AA78" s="13">
        <v>7</v>
      </c>
      <c r="AB78" s="13">
        <v>2</v>
      </c>
      <c r="AC78" s="13">
        <v>2</v>
      </c>
      <c r="AD78" s="13">
        <v>192.26</v>
      </c>
      <c r="AE78" s="13">
        <v>192.26</v>
      </c>
      <c r="AF78" s="26">
        <f t="shared" si="5"/>
        <v>76.903999999999996</v>
      </c>
      <c r="AG78" s="27" t="s">
        <v>1243</v>
      </c>
    </row>
    <row r="79" spans="1:33" ht="54" x14ac:dyDescent="0.35">
      <c r="A79" s="15">
        <v>103</v>
      </c>
      <c r="B79" s="16">
        <v>103</v>
      </c>
      <c r="C79" s="17" t="s">
        <v>124</v>
      </c>
      <c r="D79" s="18">
        <v>2016</v>
      </c>
      <c r="E79" s="19" t="s">
        <v>212</v>
      </c>
      <c r="F79" s="16" t="s">
        <v>213</v>
      </c>
      <c r="G79" s="7" t="s">
        <v>46</v>
      </c>
      <c r="H79" s="16" t="s">
        <v>47</v>
      </c>
      <c r="I79" s="20">
        <v>1890</v>
      </c>
      <c r="J79" s="21">
        <v>2.7</v>
      </c>
      <c r="K79" s="16">
        <f>2.6*1*2</f>
        <v>5.2</v>
      </c>
      <c r="L79" s="22">
        <f t="shared" si="4"/>
        <v>0.92592592592592582</v>
      </c>
      <c r="M79" s="28"/>
      <c r="N79" s="7">
        <v>0</v>
      </c>
      <c r="O79" s="7"/>
      <c r="P79" s="24"/>
      <c r="Q79" s="7" t="s">
        <v>48</v>
      </c>
      <c r="R79" s="25"/>
      <c r="S79" s="24"/>
      <c r="T79" s="24" t="s">
        <v>42</v>
      </c>
      <c r="U79" s="24" t="s">
        <v>42</v>
      </c>
      <c r="V79" s="25"/>
      <c r="W79" s="24"/>
      <c r="X79" s="25"/>
      <c r="Y79" s="13">
        <v>1066</v>
      </c>
      <c r="Z79" s="13">
        <v>6.4</v>
      </c>
      <c r="AA79" s="13">
        <v>7</v>
      </c>
      <c r="AB79" s="13">
        <v>2</v>
      </c>
      <c r="AC79" s="13">
        <v>2</v>
      </c>
      <c r="AD79" s="13">
        <v>138.97</v>
      </c>
      <c r="AE79" s="13">
        <v>138.97</v>
      </c>
      <c r="AF79" s="26">
        <f t="shared" si="5"/>
        <v>55.588000000000001</v>
      </c>
      <c r="AG79" s="27" t="s">
        <v>1244</v>
      </c>
    </row>
    <row r="80" spans="1:33" ht="36" x14ac:dyDescent="0.35">
      <c r="A80" s="15">
        <v>104</v>
      </c>
      <c r="B80" s="16">
        <v>104</v>
      </c>
      <c r="C80" s="17" t="s">
        <v>124</v>
      </c>
      <c r="D80" s="18">
        <v>2016</v>
      </c>
      <c r="E80" s="19" t="s">
        <v>212</v>
      </c>
      <c r="F80" s="16" t="s">
        <v>214</v>
      </c>
      <c r="G80" s="7" t="s">
        <v>134</v>
      </c>
      <c r="H80" s="16" t="s">
        <v>39</v>
      </c>
      <c r="I80" s="20">
        <v>6496.11</v>
      </c>
      <c r="J80" s="21">
        <v>56.8</v>
      </c>
      <c r="K80" s="16">
        <f>(13*2+10*2)*1.7</f>
        <v>78.2</v>
      </c>
      <c r="L80" s="22">
        <f t="shared" si="4"/>
        <v>0.37676056338028174</v>
      </c>
      <c r="M80" s="28"/>
      <c r="N80" s="7">
        <v>0</v>
      </c>
      <c r="O80" s="7"/>
      <c r="P80" s="24"/>
      <c r="Q80" s="7" t="s">
        <v>48</v>
      </c>
      <c r="R80" s="25"/>
      <c r="S80" s="24"/>
      <c r="T80" s="24"/>
      <c r="U80" s="24"/>
      <c r="V80" s="25"/>
      <c r="W80" s="24"/>
      <c r="X80" s="25"/>
      <c r="Y80" s="13">
        <v>1066</v>
      </c>
      <c r="Z80" s="13">
        <v>6.4</v>
      </c>
      <c r="AA80" s="13">
        <v>7</v>
      </c>
      <c r="AB80" s="13">
        <v>2</v>
      </c>
      <c r="AC80" s="13">
        <v>2</v>
      </c>
      <c r="AD80" s="13">
        <v>192.26</v>
      </c>
      <c r="AE80" s="13">
        <v>192.26</v>
      </c>
      <c r="AF80" s="26">
        <f t="shared" si="5"/>
        <v>76.903999999999996</v>
      </c>
      <c r="AG80" s="27" t="s">
        <v>1244</v>
      </c>
    </row>
    <row r="81" spans="1:33" ht="54" x14ac:dyDescent="0.35">
      <c r="A81" s="15">
        <v>105</v>
      </c>
      <c r="B81" s="16">
        <v>105</v>
      </c>
      <c r="C81" s="17" t="s">
        <v>124</v>
      </c>
      <c r="D81" s="18">
        <v>2016</v>
      </c>
      <c r="E81" s="19" t="s">
        <v>215</v>
      </c>
      <c r="F81" s="16" t="s">
        <v>216</v>
      </c>
      <c r="G81" s="7" t="s">
        <v>46</v>
      </c>
      <c r="H81" s="16" t="s">
        <v>47</v>
      </c>
      <c r="I81" s="20">
        <v>1890</v>
      </c>
      <c r="J81" s="21">
        <v>2.7</v>
      </c>
      <c r="K81" s="16">
        <f>2.6*1*2</f>
        <v>5.2</v>
      </c>
      <c r="L81" s="22">
        <f t="shared" si="4"/>
        <v>0.92592592592592582</v>
      </c>
      <c r="M81" s="28"/>
      <c r="N81" s="7">
        <v>0</v>
      </c>
      <c r="O81" s="7"/>
      <c r="P81" s="24"/>
      <c r="Q81" s="7" t="s">
        <v>48</v>
      </c>
      <c r="R81" s="25"/>
      <c r="S81" s="24"/>
      <c r="T81" s="24" t="s">
        <v>42</v>
      </c>
      <c r="U81" s="24" t="s">
        <v>42</v>
      </c>
      <c r="V81" s="25"/>
      <c r="W81" s="24"/>
      <c r="X81" s="25"/>
      <c r="Y81" s="13">
        <v>1066</v>
      </c>
      <c r="Z81" s="13">
        <v>6.4</v>
      </c>
      <c r="AA81" s="13">
        <v>7</v>
      </c>
      <c r="AB81" s="13">
        <v>2</v>
      </c>
      <c r="AC81" s="13">
        <v>2</v>
      </c>
      <c r="AD81" s="13">
        <v>138.97</v>
      </c>
      <c r="AE81" s="13">
        <v>138.97</v>
      </c>
      <c r="AF81" s="26">
        <f t="shared" si="5"/>
        <v>55.588000000000001</v>
      </c>
      <c r="AG81" s="27" t="s">
        <v>1245</v>
      </c>
    </row>
    <row r="82" spans="1:33" ht="36" x14ac:dyDescent="0.35">
      <c r="A82" s="15">
        <v>106</v>
      </c>
      <c r="B82" s="16">
        <v>106</v>
      </c>
      <c r="C82" s="17" t="s">
        <v>124</v>
      </c>
      <c r="D82" s="18">
        <v>2016</v>
      </c>
      <c r="E82" s="19" t="s">
        <v>215</v>
      </c>
      <c r="F82" s="16" t="s">
        <v>217</v>
      </c>
      <c r="G82" s="7" t="s">
        <v>134</v>
      </c>
      <c r="H82" s="16" t="s">
        <v>39</v>
      </c>
      <c r="I82" s="20">
        <v>6496.11</v>
      </c>
      <c r="J82" s="21">
        <v>56.8</v>
      </c>
      <c r="K82" s="16">
        <f>(13*2+10*2)*1.7</f>
        <v>78.2</v>
      </c>
      <c r="L82" s="22">
        <f t="shared" si="4"/>
        <v>0.37676056338028174</v>
      </c>
      <c r="M82" s="28"/>
      <c r="N82" s="7">
        <v>0</v>
      </c>
      <c r="O82" s="7"/>
      <c r="P82" s="24"/>
      <c r="Q82" s="7" t="s">
        <v>48</v>
      </c>
      <c r="R82" s="25"/>
      <c r="S82" s="24"/>
      <c r="T82" s="24"/>
      <c r="U82" s="24"/>
      <c r="V82" s="25"/>
      <c r="W82" s="24"/>
      <c r="X82" s="25"/>
      <c r="Y82" s="13">
        <v>1066</v>
      </c>
      <c r="Z82" s="13">
        <v>6.4</v>
      </c>
      <c r="AA82" s="13">
        <v>7</v>
      </c>
      <c r="AB82" s="13">
        <v>2</v>
      </c>
      <c r="AC82" s="13">
        <v>2</v>
      </c>
      <c r="AD82" s="13">
        <v>192.26</v>
      </c>
      <c r="AE82" s="13">
        <v>192.26</v>
      </c>
      <c r="AF82" s="26">
        <f t="shared" si="5"/>
        <v>76.903999999999996</v>
      </c>
      <c r="AG82" s="27" t="s">
        <v>1245</v>
      </c>
    </row>
    <row r="83" spans="1:33" ht="36" x14ac:dyDescent="0.35">
      <c r="A83" s="15">
        <v>107</v>
      </c>
      <c r="B83" s="16">
        <v>107</v>
      </c>
      <c r="C83" s="17" t="s">
        <v>124</v>
      </c>
      <c r="D83" s="18">
        <v>2016</v>
      </c>
      <c r="E83" s="19" t="s">
        <v>218</v>
      </c>
      <c r="F83" s="16" t="s">
        <v>219</v>
      </c>
      <c r="G83" s="7" t="s">
        <v>38</v>
      </c>
      <c r="H83" s="16" t="s">
        <v>39</v>
      </c>
      <c r="I83" s="20">
        <v>140000</v>
      </c>
      <c r="J83" s="21">
        <v>200</v>
      </c>
      <c r="K83" s="16">
        <f>(12*2+30*2)*2.4</f>
        <v>201.6</v>
      </c>
      <c r="L83" s="22">
        <f t="shared" si="4"/>
        <v>8.0000000000000071E-3</v>
      </c>
      <c r="M83" s="28">
        <v>1</v>
      </c>
      <c r="N83" s="7">
        <v>0</v>
      </c>
      <c r="O83" s="7"/>
      <c r="P83" s="24"/>
      <c r="Q83" s="7" t="s">
        <v>48</v>
      </c>
      <c r="R83" s="25"/>
      <c r="S83" s="24"/>
      <c r="T83" s="24"/>
      <c r="U83" s="24"/>
      <c r="V83" s="25"/>
      <c r="W83" s="24"/>
      <c r="X83" s="25"/>
      <c r="Y83" s="13">
        <v>4302</v>
      </c>
      <c r="Z83" s="13">
        <v>10.25</v>
      </c>
      <c r="AA83" s="13">
        <v>11</v>
      </c>
      <c r="AB83" s="13">
        <v>3</v>
      </c>
      <c r="AC83" s="13">
        <v>2</v>
      </c>
      <c r="AD83" s="13">
        <v>385.06</v>
      </c>
      <c r="AE83" s="13">
        <v>385.06</v>
      </c>
      <c r="AF83" s="26">
        <f t="shared" si="5"/>
        <v>154.024</v>
      </c>
      <c r="AG83" s="27" t="s">
        <v>1246</v>
      </c>
    </row>
    <row r="84" spans="1:33" ht="36" x14ac:dyDescent="0.35">
      <c r="A84" s="15">
        <v>109</v>
      </c>
      <c r="B84" s="16">
        <v>109</v>
      </c>
      <c r="C84" s="17" t="s">
        <v>124</v>
      </c>
      <c r="D84" s="18">
        <v>2016</v>
      </c>
      <c r="E84" s="19" t="s">
        <v>220</v>
      </c>
      <c r="F84" s="16" t="s">
        <v>221</v>
      </c>
      <c r="G84" s="7" t="s">
        <v>38</v>
      </c>
      <c r="H84" s="16" t="s">
        <v>39</v>
      </c>
      <c r="I84" s="20">
        <v>78960</v>
      </c>
      <c r="J84" s="21">
        <v>112.8</v>
      </c>
      <c r="K84" s="16">
        <f>(13*2+10*2)*1.7</f>
        <v>78.2</v>
      </c>
      <c r="L84" s="22">
        <f t="shared" si="4"/>
        <v>-0.30673758865248224</v>
      </c>
      <c r="M84" s="28">
        <v>1</v>
      </c>
      <c r="N84" s="7">
        <v>0</v>
      </c>
      <c r="O84" s="7"/>
      <c r="P84" s="24"/>
      <c r="Q84" s="7" t="s">
        <v>48</v>
      </c>
      <c r="R84" s="25"/>
      <c r="S84" s="24"/>
      <c r="T84" s="24"/>
      <c r="U84" s="24"/>
      <c r="V84" s="25"/>
      <c r="W84" s="24"/>
      <c r="X84" s="25"/>
      <c r="Y84" s="13">
        <v>1066</v>
      </c>
      <c r="Z84" s="13">
        <v>6.4</v>
      </c>
      <c r="AA84" s="13">
        <v>7</v>
      </c>
      <c r="AB84" s="13">
        <v>2</v>
      </c>
      <c r="AC84" s="13">
        <v>2</v>
      </c>
      <c r="AD84" s="13">
        <v>192.26</v>
      </c>
      <c r="AE84" s="13">
        <v>192.26</v>
      </c>
      <c r="AF84" s="26">
        <f t="shared" si="5"/>
        <v>76.903999999999996</v>
      </c>
      <c r="AG84" s="27" t="s">
        <v>1247</v>
      </c>
    </row>
    <row r="85" spans="1:33" ht="36" x14ac:dyDescent="0.35">
      <c r="A85" s="15">
        <v>111</v>
      </c>
      <c r="B85" s="16">
        <v>111</v>
      </c>
      <c r="C85" s="17" t="s">
        <v>124</v>
      </c>
      <c r="D85" s="18">
        <v>2016</v>
      </c>
      <c r="E85" s="19" t="s">
        <v>222</v>
      </c>
      <c r="F85" s="16" t="s">
        <v>223</v>
      </c>
      <c r="G85" s="7" t="s">
        <v>38</v>
      </c>
      <c r="H85" s="16" t="s">
        <v>39</v>
      </c>
      <c r="I85" s="20">
        <v>140070</v>
      </c>
      <c r="J85" s="21">
        <v>200.1</v>
      </c>
      <c r="K85" s="16">
        <f>(12*2+30*2)*2.4</f>
        <v>201.6</v>
      </c>
      <c r="L85" s="22">
        <f t="shared" si="4"/>
        <v>7.496251874062887E-3</v>
      </c>
      <c r="M85" s="28">
        <v>1</v>
      </c>
      <c r="N85" s="7">
        <v>0</v>
      </c>
      <c r="O85" s="7"/>
      <c r="P85" s="24"/>
      <c r="Q85" s="7" t="s">
        <v>48</v>
      </c>
      <c r="R85" s="25"/>
      <c r="S85" s="24"/>
      <c r="T85" s="24"/>
      <c r="U85" s="24"/>
      <c r="V85" s="25"/>
      <c r="W85" s="24"/>
      <c r="X85" s="25"/>
      <c r="Y85" s="13">
        <v>4442</v>
      </c>
      <c r="Z85" s="13">
        <v>10.5</v>
      </c>
      <c r="AA85" s="13">
        <v>11</v>
      </c>
      <c r="AB85" s="13">
        <v>3</v>
      </c>
      <c r="AC85" s="13">
        <v>2</v>
      </c>
      <c r="AD85" s="13">
        <v>390.47</v>
      </c>
      <c r="AE85" s="13">
        <v>390.47</v>
      </c>
      <c r="AF85" s="26">
        <f t="shared" si="5"/>
        <v>156.18800000000002</v>
      </c>
      <c r="AG85" s="27" t="s">
        <v>1248</v>
      </c>
    </row>
    <row r="86" spans="1:33" ht="64.8" customHeight="1" x14ac:dyDescent="0.35">
      <c r="A86" s="15">
        <v>113</v>
      </c>
      <c r="B86" s="16">
        <v>113</v>
      </c>
      <c r="C86" s="17" t="s">
        <v>124</v>
      </c>
      <c r="D86" s="18">
        <v>2016</v>
      </c>
      <c r="E86" s="19" t="s">
        <v>224</v>
      </c>
      <c r="F86" s="16" t="s">
        <v>225</v>
      </c>
      <c r="G86" s="7" t="s">
        <v>46</v>
      </c>
      <c r="H86" s="16" t="s">
        <v>47</v>
      </c>
      <c r="I86" s="20">
        <v>63000</v>
      </c>
      <c r="J86" s="21">
        <v>90</v>
      </c>
      <c r="K86" s="16">
        <f>3.2*0.8*40</f>
        <v>102.40000000000002</v>
      </c>
      <c r="L86" s="22">
        <f t="shared" si="4"/>
        <v>0.137777777777778</v>
      </c>
      <c r="M86" s="28">
        <v>1</v>
      </c>
      <c r="N86" s="7" t="s">
        <v>53</v>
      </c>
      <c r="O86" s="7" t="s">
        <v>40</v>
      </c>
      <c r="P86" s="24"/>
      <c r="Q86" s="7" t="s">
        <v>41</v>
      </c>
      <c r="R86" s="25"/>
      <c r="S86" s="24"/>
      <c r="T86" s="24"/>
      <c r="U86" s="24"/>
      <c r="V86" s="25"/>
      <c r="W86" s="24" t="s">
        <v>43</v>
      </c>
      <c r="X86" s="25">
        <v>6275549.4000000004</v>
      </c>
      <c r="Y86" s="13">
        <v>9689</v>
      </c>
      <c r="Z86" s="13">
        <v>14.25</v>
      </c>
      <c r="AA86" s="13">
        <v>15</v>
      </c>
      <c r="AB86" s="13">
        <v>5</v>
      </c>
      <c r="AC86" s="13">
        <v>2</v>
      </c>
      <c r="AD86" s="13">
        <v>598.85</v>
      </c>
      <c r="AE86" s="13"/>
      <c r="AF86" s="26">
        <f t="shared" si="5"/>
        <v>0</v>
      </c>
      <c r="AG86" s="27" t="s">
        <v>1249</v>
      </c>
    </row>
    <row r="87" spans="1:33" ht="36" x14ac:dyDescent="0.35">
      <c r="A87" s="15">
        <v>114</v>
      </c>
      <c r="B87" s="16">
        <v>114</v>
      </c>
      <c r="C87" s="17" t="s">
        <v>124</v>
      </c>
      <c r="D87" s="18">
        <v>2016</v>
      </c>
      <c r="E87" s="19" t="s">
        <v>226</v>
      </c>
      <c r="F87" s="16" t="s">
        <v>227</v>
      </c>
      <c r="G87" s="7" t="s">
        <v>38</v>
      </c>
      <c r="H87" s="16" t="s">
        <v>39</v>
      </c>
      <c r="I87" s="20">
        <v>168000</v>
      </c>
      <c r="J87" s="21">
        <v>240</v>
      </c>
      <c r="K87" s="16">
        <f>(50*2+11*2)*2.2</f>
        <v>268.40000000000003</v>
      </c>
      <c r="L87" s="22">
        <f t="shared" si="4"/>
        <v>0.1183333333333334</v>
      </c>
      <c r="M87" s="28">
        <v>1</v>
      </c>
      <c r="N87" s="7">
        <v>0</v>
      </c>
      <c r="O87" s="7"/>
      <c r="P87" s="24"/>
      <c r="Q87" s="7" t="s">
        <v>48</v>
      </c>
      <c r="R87" s="25"/>
      <c r="S87" s="24"/>
      <c r="T87" s="24"/>
      <c r="U87" s="24"/>
      <c r="V87" s="25"/>
      <c r="W87" s="24"/>
      <c r="X87" s="25"/>
      <c r="Y87" s="13">
        <v>2994</v>
      </c>
      <c r="Z87" s="13">
        <v>6</v>
      </c>
      <c r="AA87" s="13">
        <v>6</v>
      </c>
      <c r="AB87" s="13">
        <v>2</v>
      </c>
      <c r="AC87" s="13">
        <v>2</v>
      </c>
      <c r="AD87" s="13">
        <v>280.08</v>
      </c>
      <c r="AE87" s="13">
        <v>280.08</v>
      </c>
      <c r="AF87" s="26">
        <f t="shared" si="5"/>
        <v>112.032</v>
      </c>
      <c r="AG87" s="27" t="s">
        <v>1250</v>
      </c>
    </row>
    <row r="88" spans="1:33" ht="36" x14ac:dyDescent="0.35">
      <c r="A88" s="15">
        <v>116</v>
      </c>
      <c r="B88" s="16">
        <v>116</v>
      </c>
      <c r="C88" s="17" t="s">
        <v>124</v>
      </c>
      <c r="D88" s="18">
        <v>2016</v>
      </c>
      <c r="E88" s="19" t="s">
        <v>228</v>
      </c>
      <c r="F88" s="16" t="s">
        <v>229</v>
      </c>
      <c r="G88" s="7" t="s">
        <v>38</v>
      </c>
      <c r="H88" s="16" t="s">
        <v>39</v>
      </c>
      <c r="I88" s="20">
        <v>168000</v>
      </c>
      <c r="J88" s="21">
        <v>240</v>
      </c>
      <c r="K88" s="16">
        <f>(50*2+11*2)*2.2</f>
        <v>268.40000000000003</v>
      </c>
      <c r="L88" s="22">
        <f t="shared" si="4"/>
        <v>0.1183333333333334</v>
      </c>
      <c r="M88" s="28">
        <v>1</v>
      </c>
      <c r="N88" s="7">
        <v>0</v>
      </c>
      <c r="O88" s="7"/>
      <c r="P88" s="24"/>
      <c r="Q88" s="7" t="s">
        <v>48</v>
      </c>
      <c r="R88" s="25"/>
      <c r="S88" s="24"/>
      <c r="T88" s="24"/>
      <c r="U88" s="24"/>
      <c r="V88" s="25"/>
      <c r="W88" s="24"/>
      <c r="X88" s="25"/>
      <c r="Y88" s="13">
        <v>2936</v>
      </c>
      <c r="Z88" s="13">
        <v>6</v>
      </c>
      <c r="AA88" s="13">
        <v>6</v>
      </c>
      <c r="AB88" s="13">
        <v>2</v>
      </c>
      <c r="AC88" s="13">
        <v>2</v>
      </c>
      <c r="AD88" s="13">
        <v>277.48</v>
      </c>
      <c r="AE88" s="13">
        <v>277.48</v>
      </c>
      <c r="AF88" s="26">
        <f t="shared" si="5"/>
        <v>110.99200000000002</v>
      </c>
      <c r="AG88" s="27" t="s">
        <v>1251</v>
      </c>
    </row>
    <row r="89" spans="1:33" ht="36" x14ac:dyDescent="0.35">
      <c r="A89" s="15">
        <v>118</v>
      </c>
      <c r="B89" s="16">
        <v>118</v>
      </c>
      <c r="C89" s="17" t="s">
        <v>124</v>
      </c>
      <c r="D89" s="18">
        <v>2016</v>
      </c>
      <c r="E89" s="19" t="s">
        <v>230</v>
      </c>
      <c r="F89" s="16" t="s">
        <v>231</v>
      </c>
      <c r="G89" s="7" t="s">
        <v>38</v>
      </c>
      <c r="H89" s="16" t="s">
        <v>39</v>
      </c>
      <c r="I89" s="20">
        <v>168000</v>
      </c>
      <c r="J89" s="21">
        <v>240</v>
      </c>
      <c r="K89" s="16">
        <f>(50*2+11*2)*2.2</f>
        <v>268.40000000000003</v>
      </c>
      <c r="L89" s="22">
        <f t="shared" si="4"/>
        <v>0.1183333333333334</v>
      </c>
      <c r="M89" s="28">
        <v>1</v>
      </c>
      <c r="N89" s="7">
        <v>0</v>
      </c>
      <c r="O89" s="7"/>
      <c r="P89" s="24"/>
      <c r="Q89" s="7" t="s">
        <v>48</v>
      </c>
      <c r="R89" s="25"/>
      <c r="S89" s="24"/>
      <c r="T89" s="24"/>
      <c r="U89" s="24"/>
      <c r="V89" s="25"/>
      <c r="W89" s="24"/>
      <c r="X89" s="25"/>
      <c r="Y89" s="13">
        <v>12217</v>
      </c>
      <c r="Z89" s="13">
        <v>17.43</v>
      </c>
      <c r="AA89" s="13">
        <v>18</v>
      </c>
      <c r="AB89" s="13">
        <v>5</v>
      </c>
      <c r="AC89" s="13">
        <v>2</v>
      </c>
      <c r="AD89" s="13">
        <v>811.34</v>
      </c>
      <c r="AE89" s="13">
        <v>811.34</v>
      </c>
      <c r="AF89" s="26">
        <f t="shared" si="5"/>
        <v>324.53600000000006</v>
      </c>
      <c r="AG89" s="27" t="s">
        <v>1252</v>
      </c>
    </row>
    <row r="90" spans="1:33" ht="36" x14ac:dyDescent="0.35">
      <c r="A90" s="15">
        <v>120</v>
      </c>
      <c r="B90" s="16">
        <v>120</v>
      </c>
      <c r="C90" s="17" t="s">
        <v>124</v>
      </c>
      <c r="D90" s="18">
        <v>2016</v>
      </c>
      <c r="E90" s="19" t="s">
        <v>232</v>
      </c>
      <c r="F90" s="16" t="s">
        <v>233</v>
      </c>
      <c r="G90" s="7" t="s">
        <v>38</v>
      </c>
      <c r="H90" s="16" t="s">
        <v>39</v>
      </c>
      <c r="I90" s="20">
        <v>168000</v>
      </c>
      <c r="J90" s="21">
        <v>240</v>
      </c>
      <c r="K90" s="16">
        <f>(37*2+15*2)*2.2</f>
        <v>228.8</v>
      </c>
      <c r="L90" s="22">
        <f t="shared" si="4"/>
        <v>-4.6666666666666634E-2</v>
      </c>
      <c r="M90" s="28">
        <v>1</v>
      </c>
      <c r="N90" s="7">
        <v>0</v>
      </c>
      <c r="O90" s="7"/>
      <c r="P90" s="24"/>
      <c r="Q90" s="7" t="s">
        <v>48</v>
      </c>
      <c r="R90" s="25"/>
      <c r="S90" s="24"/>
      <c r="T90" s="24"/>
      <c r="U90" s="24"/>
      <c r="V90" s="25"/>
      <c r="W90" s="24"/>
      <c r="X90" s="25"/>
      <c r="Y90" s="13">
        <v>4019</v>
      </c>
      <c r="Z90" s="13">
        <v>6.7</v>
      </c>
      <c r="AA90" s="13">
        <v>7</v>
      </c>
      <c r="AB90" s="13">
        <v>2</v>
      </c>
      <c r="AC90" s="13">
        <v>2</v>
      </c>
      <c r="AD90" s="13">
        <v>321.14</v>
      </c>
      <c r="AE90" s="13">
        <v>321.14</v>
      </c>
      <c r="AF90" s="26">
        <f t="shared" si="5"/>
        <v>128.45599999999999</v>
      </c>
      <c r="AG90" s="27" t="s">
        <v>1253</v>
      </c>
    </row>
    <row r="91" spans="1:33" ht="36" x14ac:dyDescent="0.35">
      <c r="A91" s="15">
        <v>122</v>
      </c>
      <c r="B91" s="16">
        <v>122</v>
      </c>
      <c r="C91" s="17" t="s">
        <v>124</v>
      </c>
      <c r="D91" s="18">
        <v>2018</v>
      </c>
      <c r="E91" s="19" t="s">
        <v>234</v>
      </c>
      <c r="F91" s="16" t="s">
        <v>235</v>
      </c>
      <c r="G91" s="7" t="s">
        <v>38</v>
      </c>
      <c r="H91" s="16" t="s">
        <v>39</v>
      </c>
      <c r="I91" s="20">
        <v>130900</v>
      </c>
      <c r="J91" s="21">
        <v>170</v>
      </c>
      <c r="K91" s="16">
        <f>(32*2+12*2)*1.8</f>
        <v>158.4</v>
      </c>
      <c r="L91" s="22">
        <f t="shared" si="4"/>
        <v>-6.8235294117647061E-2</v>
      </c>
      <c r="M91" s="28" t="s">
        <v>99</v>
      </c>
      <c r="N91" s="7">
        <v>0</v>
      </c>
      <c r="O91" s="7"/>
      <c r="P91" s="24"/>
      <c r="Q91" s="7" t="s">
        <v>48</v>
      </c>
      <c r="R91" s="25"/>
      <c r="S91" s="24"/>
      <c r="T91" s="24"/>
      <c r="U91" s="24"/>
      <c r="V91" s="25"/>
      <c r="W91" s="24"/>
      <c r="X91" s="25"/>
      <c r="Y91" s="13">
        <v>2548</v>
      </c>
      <c r="Z91" s="13">
        <v>4.92</v>
      </c>
      <c r="AA91" s="13">
        <v>6</v>
      </c>
      <c r="AB91" s="13">
        <v>2</v>
      </c>
      <c r="AC91" s="13">
        <v>2</v>
      </c>
      <c r="AD91" s="13">
        <v>260.07</v>
      </c>
      <c r="AE91" s="13">
        <v>260.07</v>
      </c>
      <c r="AF91" s="26">
        <f t="shared" si="5"/>
        <v>104.02800000000001</v>
      </c>
      <c r="AG91" s="27" t="s">
        <v>1254</v>
      </c>
    </row>
    <row r="92" spans="1:33" ht="36" x14ac:dyDescent="0.35">
      <c r="A92" s="15">
        <v>123</v>
      </c>
      <c r="B92" s="16">
        <v>123</v>
      </c>
      <c r="C92" s="17" t="s">
        <v>124</v>
      </c>
      <c r="D92" s="18">
        <v>2016</v>
      </c>
      <c r="E92" s="19" t="s">
        <v>236</v>
      </c>
      <c r="F92" s="16" t="s">
        <v>237</v>
      </c>
      <c r="G92" s="7" t="s">
        <v>79</v>
      </c>
      <c r="H92" s="16" t="s">
        <v>80</v>
      </c>
      <c r="I92" s="20">
        <v>11276.69</v>
      </c>
      <c r="J92" s="21">
        <v>98.6</v>
      </c>
      <c r="K92" s="16">
        <f>(33*2+12*2)*1</f>
        <v>90</v>
      </c>
      <c r="L92" s="22">
        <f t="shared" si="4"/>
        <v>-8.7221095334685583E-2</v>
      </c>
      <c r="M92" s="28" t="s">
        <v>81</v>
      </c>
      <c r="N92" s="7">
        <v>0</v>
      </c>
      <c r="O92" s="7"/>
      <c r="P92" s="24"/>
      <c r="Q92" s="7" t="s">
        <v>48</v>
      </c>
      <c r="R92" s="25"/>
      <c r="S92" s="24"/>
      <c r="T92" s="24"/>
      <c r="U92" s="24"/>
      <c r="V92" s="25"/>
      <c r="W92" s="24"/>
      <c r="X92" s="25"/>
      <c r="Y92" s="13">
        <v>1066</v>
      </c>
      <c r="Z92" s="13">
        <v>6.4</v>
      </c>
      <c r="AA92" s="13">
        <v>7</v>
      </c>
      <c r="AB92" s="13">
        <v>2</v>
      </c>
      <c r="AC92" s="13">
        <v>2</v>
      </c>
      <c r="AD92" s="13"/>
      <c r="AE92" s="13">
        <v>10.324999999999999</v>
      </c>
      <c r="AF92" s="26">
        <v>4.13</v>
      </c>
      <c r="AG92" s="27" t="s">
        <v>1255</v>
      </c>
    </row>
    <row r="93" spans="1:33" ht="54" x14ac:dyDescent="0.35">
      <c r="A93" s="15">
        <v>124</v>
      </c>
      <c r="B93" s="16">
        <v>124</v>
      </c>
      <c r="C93" s="17" t="s">
        <v>124</v>
      </c>
      <c r="D93" s="18">
        <v>2016</v>
      </c>
      <c r="E93" s="19" t="s">
        <v>236</v>
      </c>
      <c r="F93" s="16" t="s">
        <v>238</v>
      </c>
      <c r="G93" s="7" t="s">
        <v>46</v>
      </c>
      <c r="H93" s="16" t="s">
        <v>47</v>
      </c>
      <c r="I93" s="20">
        <v>1890</v>
      </c>
      <c r="J93" s="21">
        <v>2.7</v>
      </c>
      <c r="K93" s="16">
        <f>2.6*1*2</f>
        <v>5.2</v>
      </c>
      <c r="L93" s="22">
        <f t="shared" si="4"/>
        <v>0.92592592592592582</v>
      </c>
      <c r="M93" s="28"/>
      <c r="N93" s="7">
        <v>0</v>
      </c>
      <c r="O93" s="7"/>
      <c r="P93" s="24"/>
      <c r="Q93" s="7" t="s">
        <v>48</v>
      </c>
      <c r="R93" s="25"/>
      <c r="S93" s="24"/>
      <c r="T93" s="24" t="s">
        <v>42</v>
      </c>
      <c r="U93" s="24" t="s">
        <v>42</v>
      </c>
      <c r="V93" s="25"/>
      <c r="W93" s="24"/>
      <c r="X93" s="25"/>
      <c r="Y93" s="13">
        <v>1066</v>
      </c>
      <c r="Z93" s="13">
        <v>6.4</v>
      </c>
      <c r="AA93" s="13">
        <v>7</v>
      </c>
      <c r="AB93" s="13">
        <v>2</v>
      </c>
      <c r="AC93" s="13">
        <v>2</v>
      </c>
      <c r="AD93" s="13">
        <v>138.97</v>
      </c>
      <c r="AE93" s="13">
        <v>138.97</v>
      </c>
      <c r="AF93" s="26">
        <f t="shared" si="5"/>
        <v>55.588000000000001</v>
      </c>
      <c r="AG93" s="27" t="s">
        <v>1255</v>
      </c>
    </row>
    <row r="94" spans="1:33" ht="36" x14ac:dyDescent="0.35">
      <c r="A94" s="15">
        <v>125</v>
      </c>
      <c r="B94" s="16">
        <v>125</v>
      </c>
      <c r="C94" s="17" t="s">
        <v>124</v>
      </c>
      <c r="D94" s="18">
        <v>2016</v>
      </c>
      <c r="E94" s="19" t="s">
        <v>239</v>
      </c>
      <c r="F94" s="16" t="s">
        <v>240</v>
      </c>
      <c r="G94" s="7" t="s">
        <v>38</v>
      </c>
      <c r="H94" s="16" t="s">
        <v>39</v>
      </c>
      <c r="I94" s="20">
        <v>78890</v>
      </c>
      <c r="J94" s="21">
        <v>112.7</v>
      </c>
      <c r="K94" s="16"/>
      <c r="L94" s="22"/>
      <c r="M94" s="28" t="s">
        <v>99</v>
      </c>
      <c r="N94" s="7">
        <v>0</v>
      </c>
      <c r="O94" s="7"/>
      <c r="P94" s="24"/>
      <c r="Q94" s="7" t="s">
        <v>48</v>
      </c>
      <c r="R94" s="25"/>
      <c r="S94" s="24"/>
      <c r="T94" s="24"/>
      <c r="U94" s="24"/>
      <c r="V94" s="25"/>
      <c r="W94" s="24"/>
      <c r="X94" s="25"/>
      <c r="Y94" s="13">
        <v>1066</v>
      </c>
      <c r="Z94" s="13">
        <v>6.4</v>
      </c>
      <c r="AA94" s="13">
        <v>7</v>
      </c>
      <c r="AB94" s="13">
        <v>2</v>
      </c>
      <c r="AC94" s="13">
        <v>2</v>
      </c>
      <c r="AD94" s="13">
        <v>192.26</v>
      </c>
      <c r="AE94" s="13">
        <v>192.26</v>
      </c>
      <c r="AF94" s="26">
        <f t="shared" si="5"/>
        <v>76.903999999999996</v>
      </c>
      <c r="AG94" s="27" t="s">
        <v>1256</v>
      </c>
    </row>
    <row r="95" spans="1:33" ht="57" customHeight="1" x14ac:dyDescent="0.35">
      <c r="A95" s="15">
        <v>127</v>
      </c>
      <c r="B95" s="16">
        <v>127</v>
      </c>
      <c r="C95" s="17" t="s">
        <v>241</v>
      </c>
      <c r="D95" s="18">
        <v>2016</v>
      </c>
      <c r="E95" s="19" t="s">
        <v>242</v>
      </c>
      <c r="F95" s="16" t="s">
        <v>243</v>
      </c>
      <c r="G95" s="7" t="s">
        <v>46</v>
      </c>
      <c r="H95" s="16" t="s">
        <v>47</v>
      </c>
      <c r="I95" s="20">
        <v>47110</v>
      </c>
      <c r="J95" s="21">
        <v>67.3</v>
      </c>
      <c r="K95" s="16">
        <v>10.78</v>
      </c>
      <c r="L95" s="28"/>
      <c r="M95" s="28"/>
      <c r="N95" s="7" t="s">
        <v>53</v>
      </c>
      <c r="O95" s="7" t="s">
        <v>54</v>
      </c>
      <c r="P95" s="24"/>
      <c r="Q95" s="7" t="s">
        <v>40</v>
      </c>
      <c r="R95" s="25">
        <v>198386.21</v>
      </c>
      <c r="S95" s="24"/>
      <c r="T95" s="24" t="s">
        <v>42</v>
      </c>
      <c r="U95" s="24" t="s">
        <v>42</v>
      </c>
      <c r="V95" s="25"/>
      <c r="W95" s="24"/>
      <c r="X95" s="25">
        <v>193386.21</v>
      </c>
      <c r="Y95" s="13"/>
      <c r="Z95" s="13"/>
      <c r="AA95" s="13"/>
      <c r="AB95" s="13"/>
      <c r="AC95" s="13">
        <v>2</v>
      </c>
      <c r="AD95" s="13"/>
      <c r="AE95" s="13"/>
      <c r="AF95" s="26">
        <f t="shared" si="5"/>
        <v>0</v>
      </c>
    </row>
    <row r="96" spans="1:33" ht="57" customHeight="1" x14ac:dyDescent="0.35">
      <c r="A96" s="15">
        <v>128</v>
      </c>
      <c r="B96" s="16">
        <v>128</v>
      </c>
      <c r="C96" s="17" t="s">
        <v>241</v>
      </c>
      <c r="D96" s="18">
        <v>2016</v>
      </c>
      <c r="E96" s="19" t="s">
        <v>244</v>
      </c>
      <c r="F96" s="16" t="s">
        <v>245</v>
      </c>
      <c r="G96" s="7" t="s">
        <v>46</v>
      </c>
      <c r="H96" s="16" t="s">
        <v>47</v>
      </c>
      <c r="I96" s="20">
        <v>49000</v>
      </c>
      <c r="J96" s="21">
        <v>70</v>
      </c>
      <c r="K96" s="16">
        <v>10.78</v>
      </c>
      <c r="L96" s="28"/>
      <c r="M96" s="28"/>
      <c r="N96" s="7" t="s">
        <v>53</v>
      </c>
      <c r="O96" s="7" t="s">
        <v>54</v>
      </c>
      <c r="P96" s="24" t="s">
        <v>88</v>
      </c>
      <c r="Q96" s="7" t="s">
        <v>54</v>
      </c>
      <c r="R96" s="25">
        <v>198386.21</v>
      </c>
      <c r="S96" s="24"/>
      <c r="T96" s="24" t="s">
        <v>42</v>
      </c>
      <c r="U96" s="24" t="s">
        <v>42</v>
      </c>
      <c r="V96" s="25"/>
      <c r="W96" s="24"/>
      <c r="X96" s="25">
        <v>193386.21</v>
      </c>
      <c r="Y96" s="13"/>
      <c r="Z96" s="13"/>
      <c r="AA96" s="13"/>
      <c r="AB96" s="13"/>
      <c r="AC96" s="13">
        <v>2</v>
      </c>
      <c r="AD96" s="13"/>
      <c r="AE96" s="13"/>
      <c r="AF96" s="26">
        <f t="shared" si="5"/>
        <v>0</v>
      </c>
    </row>
    <row r="97" spans="1:33" ht="57" customHeight="1" x14ac:dyDescent="0.35">
      <c r="A97" s="15">
        <v>129</v>
      </c>
      <c r="B97" s="16">
        <v>129</v>
      </c>
      <c r="C97" s="17" t="s">
        <v>241</v>
      </c>
      <c r="D97" s="18">
        <v>2016</v>
      </c>
      <c r="E97" s="19" t="s">
        <v>246</v>
      </c>
      <c r="F97" s="16" t="s">
        <v>247</v>
      </c>
      <c r="G97" s="7" t="s">
        <v>46</v>
      </c>
      <c r="H97" s="16" t="s">
        <v>47</v>
      </c>
      <c r="I97" s="20">
        <v>45500</v>
      </c>
      <c r="J97" s="21">
        <v>65</v>
      </c>
      <c r="K97" s="16"/>
      <c r="L97" s="28"/>
      <c r="M97" s="28"/>
      <c r="N97" s="7" t="s">
        <v>53</v>
      </c>
      <c r="O97" s="7" t="s">
        <v>54</v>
      </c>
      <c r="P97" s="24"/>
      <c r="Q97" s="7" t="s">
        <v>54</v>
      </c>
      <c r="R97" s="25"/>
      <c r="S97" s="24"/>
      <c r="T97" s="24" t="s">
        <v>42</v>
      </c>
      <c r="U97" s="24" t="s">
        <v>42</v>
      </c>
      <c r="V97" s="25"/>
      <c r="W97" s="24"/>
      <c r="X97" s="25">
        <v>2556698.1</v>
      </c>
      <c r="Y97" s="13"/>
      <c r="Z97" s="13"/>
      <c r="AA97" s="13"/>
      <c r="AB97" s="13"/>
      <c r="AC97" s="13">
        <v>2</v>
      </c>
      <c r="AD97" s="13"/>
      <c r="AE97" s="13"/>
      <c r="AF97" s="26">
        <f t="shared" si="5"/>
        <v>0</v>
      </c>
    </row>
    <row r="98" spans="1:33" ht="57" customHeight="1" x14ac:dyDescent="0.35">
      <c r="A98" s="15">
        <v>130</v>
      </c>
      <c r="B98" s="16">
        <v>130</v>
      </c>
      <c r="C98" s="17" t="s">
        <v>241</v>
      </c>
      <c r="D98" s="18">
        <v>2016</v>
      </c>
      <c r="E98" s="19" t="s">
        <v>248</v>
      </c>
      <c r="F98" s="16" t="s">
        <v>249</v>
      </c>
      <c r="G98" s="7" t="s">
        <v>46</v>
      </c>
      <c r="H98" s="16" t="s">
        <v>47</v>
      </c>
      <c r="I98" s="20">
        <v>49840</v>
      </c>
      <c r="J98" s="21">
        <v>71.2</v>
      </c>
      <c r="K98" s="16">
        <v>44.9</v>
      </c>
      <c r="L98" s="28"/>
      <c r="M98" s="28"/>
      <c r="N98" s="7" t="s">
        <v>87</v>
      </c>
      <c r="O98" s="7" t="s">
        <v>54</v>
      </c>
      <c r="P98" s="24" t="s">
        <v>88</v>
      </c>
      <c r="Q98" s="7" t="s">
        <v>54</v>
      </c>
      <c r="R98" s="25">
        <v>963222.96</v>
      </c>
      <c r="S98" s="24"/>
      <c r="T98" s="24"/>
      <c r="U98" s="24"/>
      <c r="V98" s="25"/>
      <c r="W98" s="24"/>
      <c r="X98" s="25"/>
      <c r="Y98" s="13">
        <v>3698</v>
      </c>
      <c r="Z98" s="13">
        <v>6.6</v>
      </c>
      <c r="AA98" s="13">
        <v>7</v>
      </c>
      <c r="AB98" s="13">
        <v>2</v>
      </c>
      <c r="AC98" s="13">
        <v>2</v>
      </c>
      <c r="AD98" s="13">
        <v>255.36</v>
      </c>
      <c r="AE98" s="13">
        <v>255.36</v>
      </c>
      <c r="AF98" s="26">
        <f t="shared" si="5"/>
        <v>102.14400000000001</v>
      </c>
      <c r="AG98" s="27" t="s">
        <v>1257</v>
      </c>
    </row>
    <row r="99" spans="1:33" ht="54" x14ac:dyDescent="0.35">
      <c r="A99" s="15">
        <v>131</v>
      </c>
      <c r="B99" s="16">
        <v>131</v>
      </c>
      <c r="C99" s="17" t="s">
        <v>241</v>
      </c>
      <c r="D99" s="18">
        <v>2016</v>
      </c>
      <c r="E99" s="19" t="s">
        <v>250</v>
      </c>
      <c r="F99" s="16" t="s">
        <v>251</v>
      </c>
      <c r="G99" s="7" t="s">
        <v>46</v>
      </c>
      <c r="H99" s="16" t="s">
        <v>47</v>
      </c>
      <c r="I99" s="20">
        <v>47880</v>
      </c>
      <c r="J99" s="21">
        <v>68.400000000000006</v>
      </c>
      <c r="K99" s="16"/>
      <c r="L99" s="22"/>
      <c r="M99" s="28" t="s">
        <v>99</v>
      </c>
      <c r="N99" s="7">
        <v>0</v>
      </c>
      <c r="O99" s="7"/>
      <c r="P99" s="24"/>
      <c r="Q99" s="7" t="s">
        <v>48</v>
      </c>
      <c r="R99" s="25"/>
      <c r="S99" s="24"/>
      <c r="T99" s="24"/>
      <c r="U99" s="24"/>
      <c r="V99" s="25"/>
      <c r="W99" s="24"/>
      <c r="X99" s="25"/>
      <c r="Y99" s="13">
        <v>6804</v>
      </c>
      <c r="Z99" s="13">
        <v>10</v>
      </c>
      <c r="AA99" s="13">
        <v>10</v>
      </c>
      <c r="AB99" s="13">
        <v>3</v>
      </c>
      <c r="AC99" s="13">
        <v>2</v>
      </c>
      <c r="AD99" s="13">
        <v>411.88</v>
      </c>
      <c r="AE99" s="13">
        <v>411.88</v>
      </c>
      <c r="AF99" s="26">
        <f t="shared" si="5"/>
        <v>164.75200000000001</v>
      </c>
      <c r="AG99" s="27" t="s">
        <v>1258</v>
      </c>
    </row>
    <row r="100" spans="1:33" ht="54" x14ac:dyDescent="0.35">
      <c r="A100" s="15">
        <v>132</v>
      </c>
      <c r="B100" s="16">
        <v>132</v>
      </c>
      <c r="C100" s="17" t="s">
        <v>241</v>
      </c>
      <c r="D100" s="18">
        <v>2016</v>
      </c>
      <c r="E100" s="19" t="s">
        <v>252</v>
      </c>
      <c r="F100" s="16" t="s">
        <v>253</v>
      </c>
      <c r="G100" s="7" t="s">
        <v>46</v>
      </c>
      <c r="H100" s="16" t="s">
        <v>47</v>
      </c>
      <c r="I100" s="20">
        <v>43610</v>
      </c>
      <c r="J100" s="21">
        <v>62.3</v>
      </c>
      <c r="K100" s="16"/>
      <c r="L100" s="22"/>
      <c r="M100" s="28" t="s">
        <v>99</v>
      </c>
      <c r="N100" s="7">
        <v>0</v>
      </c>
      <c r="O100" s="7"/>
      <c r="P100" s="24"/>
      <c r="Q100" s="7" t="s">
        <v>48</v>
      </c>
      <c r="R100" s="25"/>
      <c r="S100" s="24"/>
      <c r="T100" s="24"/>
      <c r="U100" s="24"/>
      <c r="V100" s="25"/>
      <c r="W100" s="24"/>
      <c r="X100" s="25"/>
      <c r="Y100" s="13">
        <v>14409</v>
      </c>
      <c r="Z100" s="13">
        <v>14.85</v>
      </c>
      <c r="AA100" s="13">
        <v>15</v>
      </c>
      <c r="AB100" s="13">
        <v>5</v>
      </c>
      <c r="AC100" s="13">
        <v>2</v>
      </c>
      <c r="AD100" s="13">
        <v>753.9</v>
      </c>
      <c r="AE100" s="13">
        <v>753.9</v>
      </c>
      <c r="AF100" s="26">
        <f t="shared" si="5"/>
        <v>301.56</v>
      </c>
      <c r="AG100" s="27" t="s">
        <v>1259</v>
      </c>
    </row>
    <row r="101" spans="1:33" ht="54" x14ac:dyDescent="0.35">
      <c r="A101" s="15">
        <v>133</v>
      </c>
      <c r="B101" s="16">
        <v>133</v>
      </c>
      <c r="C101" s="17" t="s">
        <v>241</v>
      </c>
      <c r="D101" s="18">
        <v>2016</v>
      </c>
      <c r="E101" s="19" t="s">
        <v>254</v>
      </c>
      <c r="F101" s="16" t="s">
        <v>255</v>
      </c>
      <c r="G101" s="7" t="s">
        <v>46</v>
      </c>
      <c r="H101" s="16" t="s">
        <v>47</v>
      </c>
      <c r="I101" s="20">
        <v>50400</v>
      </c>
      <c r="J101" s="21">
        <v>72</v>
      </c>
      <c r="K101" s="16"/>
      <c r="L101" s="22"/>
      <c r="M101" s="28" t="s">
        <v>99</v>
      </c>
      <c r="N101" s="7">
        <v>0</v>
      </c>
      <c r="O101" s="7"/>
      <c r="P101" s="24"/>
      <c r="Q101" s="7" t="s">
        <v>48</v>
      </c>
      <c r="R101" s="25"/>
      <c r="S101" s="24"/>
      <c r="T101" s="24"/>
      <c r="U101" s="24"/>
      <c r="V101" s="25"/>
      <c r="W101" s="24"/>
      <c r="X101" s="25"/>
      <c r="Y101" s="13">
        <v>5898</v>
      </c>
      <c r="Z101" s="13">
        <v>8.6999999999999993</v>
      </c>
      <c r="AA101" s="13">
        <v>9</v>
      </c>
      <c r="AB101" s="13">
        <v>3</v>
      </c>
      <c r="AC101" s="13">
        <v>2</v>
      </c>
      <c r="AD101" s="13">
        <v>381.93</v>
      </c>
      <c r="AE101" s="13">
        <v>381.93</v>
      </c>
      <c r="AF101" s="26">
        <f t="shared" si="5"/>
        <v>152.77200000000002</v>
      </c>
      <c r="AG101" s="27" t="s">
        <v>1260</v>
      </c>
    </row>
    <row r="102" spans="1:33" ht="54" x14ac:dyDescent="0.35">
      <c r="A102" s="15">
        <v>134</v>
      </c>
      <c r="B102" s="16">
        <v>134</v>
      </c>
      <c r="C102" s="17" t="s">
        <v>241</v>
      </c>
      <c r="D102" s="18">
        <v>2016</v>
      </c>
      <c r="E102" s="19" t="s">
        <v>256</v>
      </c>
      <c r="F102" s="16" t="s">
        <v>257</v>
      </c>
      <c r="G102" s="7" t="s">
        <v>46</v>
      </c>
      <c r="H102" s="16" t="s">
        <v>47</v>
      </c>
      <c r="I102" s="20">
        <v>45500</v>
      </c>
      <c r="J102" s="21">
        <v>65</v>
      </c>
      <c r="K102" s="16"/>
      <c r="L102" s="22"/>
      <c r="M102" s="28" t="s">
        <v>99</v>
      </c>
      <c r="N102" s="7">
        <v>0</v>
      </c>
      <c r="O102" s="7"/>
      <c r="P102" s="24"/>
      <c r="Q102" s="7" t="s">
        <v>48</v>
      </c>
      <c r="R102" s="25"/>
      <c r="S102" s="24"/>
      <c r="T102" s="24"/>
      <c r="U102" s="24"/>
      <c r="V102" s="25"/>
      <c r="W102" s="24"/>
      <c r="X102" s="25"/>
      <c r="Y102" s="13">
        <v>5898</v>
      </c>
      <c r="Z102" s="13">
        <v>8.6999999999999993</v>
      </c>
      <c r="AA102" s="13">
        <v>9</v>
      </c>
      <c r="AB102" s="13">
        <v>3</v>
      </c>
      <c r="AC102" s="13">
        <v>2</v>
      </c>
      <c r="AD102" s="13">
        <v>381.93</v>
      </c>
      <c r="AE102" s="13">
        <v>381.93</v>
      </c>
      <c r="AF102" s="26">
        <f t="shared" si="5"/>
        <v>152.77200000000002</v>
      </c>
      <c r="AG102" s="27" t="s">
        <v>1261</v>
      </c>
    </row>
    <row r="103" spans="1:33" ht="59.4" customHeight="1" x14ac:dyDescent="0.35">
      <c r="A103" s="15">
        <v>135</v>
      </c>
      <c r="B103" s="16">
        <v>135</v>
      </c>
      <c r="C103" s="17" t="s">
        <v>241</v>
      </c>
      <c r="D103" s="18">
        <v>2016</v>
      </c>
      <c r="E103" s="19" t="s">
        <v>258</v>
      </c>
      <c r="F103" s="16" t="s">
        <v>259</v>
      </c>
      <c r="G103" s="7" t="s">
        <v>46</v>
      </c>
      <c r="H103" s="16" t="s">
        <v>47</v>
      </c>
      <c r="I103" s="20">
        <v>45290</v>
      </c>
      <c r="J103" s="21">
        <v>64.7</v>
      </c>
      <c r="K103" s="16">
        <v>29.39</v>
      </c>
      <c r="L103" s="28"/>
      <c r="M103" s="28"/>
      <c r="N103" s="7" t="s">
        <v>53</v>
      </c>
      <c r="O103" s="7" t="s">
        <v>54</v>
      </c>
      <c r="P103" s="24" t="s">
        <v>88</v>
      </c>
      <c r="Q103" s="7" t="s">
        <v>41</v>
      </c>
      <c r="R103" s="25">
        <v>643892.54</v>
      </c>
      <c r="S103" s="24"/>
      <c r="T103" s="24"/>
      <c r="U103" s="24"/>
      <c r="V103" s="25">
        <v>643892.54</v>
      </c>
      <c r="W103" s="24" t="s">
        <v>43</v>
      </c>
      <c r="X103" s="25"/>
      <c r="Y103" s="13">
        <v>2195</v>
      </c>
      <c r="Z103" s="13">
        <v>6.6</v>
      </c>
      <c r="AA103" s="13">
        <v>7</v>
      </c>
      <c r="AB103" s="13">
        <v>2</v>
      </c>
      <c r="AC103" s="13">
        <v>2</v>
      </c>
      <c r="AD103" s="13">
        <v>188.89</v>
      </c>
      <c r="AE103" s="13">
        <v>188.89</v>
      </c>
      <c r="AF103" s="26">
        <f t="shared" si="5"/>
        <v>75.555999999999997</v>
      </c>
      <c r="AG103" s="27" t="s">
        <v>1262</v>
      </c>
    </row>
    <row r="104" spans="1:33" ht="64.8" customHeight="1" x14ac:dyDescent="0.35">
      <c r="A104" s="15">
        <v>136</v>
      </c>
      <c r="B104" s="16">
        <v>136</v>
      </c>
      <c r="C104" s="17" t="s">
        <v>241</v>
      </c>
      <c r="D104" s="18">
        <v>2016</v>
      </c>
      <c r="E104" s="19" t="s">
        <v>260</v>
      </c>
      <c r="F104" s="16" t="s">
        <v>261</v>
      </c>
      <c r="G104" s="7" t="s">
        <v>46</v>
      </c>
      <c r="H104" s="16" t="s">
        <v>47</v>
      </c>
      <c r="I104" s="20">
        <v>48370</v>
      </c>
      <c r="J104" s="21">
        <v>69.099999999999994</v>
      </c>
      <c r="K104" s="16"/>
      <c r="L104" s="28"/>
      <c r="M104" s="28"/>
      <c r="N104" s="7" t="s">
        <v>87</v>
      </c>
      <c r="O104" s="7" t="s">
        <v>54</v>
      </c>
      <c r="P104" s="24" t="s">
        <v>88</v>
      </c>
      <c r="Q104" s="7" t="s">
        <v>54</v>
      </c>
      <c r="R104" s="25">
        <v>961802.35</v>
      </c>
      <c r="S104" s="24"/>
      <c r="T104" s="24" t="s">
        <v>42</v>
      </c>
      <c r="U104" s="24" t="s">
        <v>42</v>
      </c>
      <c r="V104" s="25"/>
      <c r="W104" s="24"/>
      <c r="X104" s="25">
        <v>956802.35</v>
      </c>
      <c r="Y104" s="13"/>
      <c r="Z104" s="13"/>
      <c r="AA104" s="13"/>
      <c r="AB104" s="13"/>
      <c r="AC104" s="13">
        <v>2</v>
      </c>
      <c r="AD104" s="13"/>
      <c r="AE104" s="13"/>
      <c r="AF104" s="26">
        <f t="shared" si="5"/>
        <v>0</v>
      </c>
    </row>
    <row r="105" spans="1:33" ht="52.2" customHeight="1" x14ac:dyDescent="0.35">
      <c r="A105" s="15">
        <v>137</v>
      </c>
      <c r="B105" s="16">
        <v>137</v>
      </c>
      <c r="C105" s="17" t="s">
        <v>241</v>
      </c>
      <c r="D105" s="18">
        <v>2016</v>
      </c>
      <c r="E105" s="19" t="s">
        <v>262</v>
      </c>
      <c r="F105" s="16" t="s">
        <v>263</v>
      </c>
      <c r="G105" s="7" t="s">
        <v>46</v>
      </c>
      <c r="H105" s="16" t="s">
        <v>47</v>
      </c>
      <c r="I105" s="20">
        <v>50400</v>
      </c>
      <c r="J105" s="21">
        <v>72</v>
      </c>
      <c r="K105" s="16"/>
      <c r="L105" s="28"/>
      <c r="M105" s="28"/>
      <c r="N105" s="7" t="s">
        <v>87</v>
      </c>
      <c r="O105" s="7" t="s">
        <v>54</v>
      </c>
      <c r="P105" s="24" t="s">
        <v>88</v>
      </c>
      <c r="Q105" s="7" t="s">
        <v>54</v>
      </c>
      <c r="R105" s="25">
        <v>961802.35</v>
      </c>
      <c r="S105" s="24"/>
      <c r="T105" s="24" t="s">
        <v>42</v>
      </c>
      <c r="U105" s="24" t="s">
        <v>42</v>
      </c>
      <c r="V105" s="25"/>
      <c r="W105" s="24"/>
      <c r="X105" s="25">
        <v>956802.96</v>
      </c>
      <c r="Y105" s="13"/>
      <c r="Z105" s="13"/>
      <c r="AA105" s="13"/>
      <c r="AB105" s="13"/>
      <c r="AC105" s="13">
        <v>2</v>
      </c>
      <c r="AD105" s="13"/>
      <c r="AE105" s="13"/>
      <c r="AF105" s="26">
        <f t="shared" si="5"/>
        <v>0</v>
      </c>
    </row>
    <row r="106" spans="1:33" ht="52.2" customHeight="1" x14ac:dyDescent="0.35">
      <c r="A106" s="15">
        <v>138</v>
      </c>
      <c r="B106" s="16">
        <v>138</v>
      </c>
      <c r="C106" s="17" t="s">
        <v>241</v>
      </c>
      <c r="D106" s="18">
        <v>2016</v>
      </c>
      <c r="E106" s="19" t="s">
        <v>264</v>
      </c>
      <c r="F106" s="16" t="s">
        <v>265</v>
      </c>
      <c r="G106" s="7" t="s">
        <v>46</v>
      </c>
      <c r="H106" s="16" t="s">
        <v>47</v>
      </c>
      <c r="I106" s="20">
        <v>48370</v>
      </c>
      <c r="J106" s="21">
        <v>69.099999999999994</v>
      </c>
      <c r="K106" s="16"/>
      <c r="L106" s="28"/>
      <c r="M106" s="28"/>
      <c r="N106" s="7" t="s">
        <v>53</v>
      </c>
      <c r="O106" s="7" t="s">
        <v>54</v>
      </c>
      <c r="P106" s="24" t="s">
        <v>88</v>
      </c>
      <c r="Q106" s="7" t="s">
        <v>54</v>
      </c>
      <c r="R106" s="25">
        <v>956946.48</v>
      </c>
      <c r="S106" s="24"/>
      <c r="T106" s="24" t="s">
        <v>42</v>
      </c>
      <c r="U106" s="24" t="s">
        <v>42</v>
      </c>
      <c r="V106" s="25"/>
      <c r="W106" s="24"/>
      <c r="X106" s="25">
        <v>951946.48</v>
      </c>
      <c r="Y106" s="13"/>
      <c r="Z106" s="13"/>
      <c r="AA106" s="13"/>
      <c r="AB106" s="13"/>
      <c r="AC106" s="13">
        <v>2</v>
      </c>
      <c r="AD106" s="13"/>
      <c r="AE106" s="13"/>
      <c r="AF106" s="26">
        <f t="shared" si="5"/>
        <v>0</v>
      </c>
    </row>
    <row r="107" spans="1:33" ht="52.2" customHeight="1" x14ac:dyDescent="0.35">
      <c r="A107" s="15">
        <v>139</v>
      </c>
      <c r="B107" s="16">
        <v>139</v>
      </c>
      <c r="C107" s="17" t="s">
        <v>241</v>
      </c>
      <c r="D107" s="18">
        <v>2016</v>
      </c>
      <c r="E107" s="19" t="s">
        <v>266</v>
      </c>
      <c r="F107" s="16" t="s">
        <v>267</v>
      </c>
      <c r="G107" s="7" t="s">
        <v>46</v>
      </c>
      <c r="H107" s="16" t="s">
        <v>47</v>
      </c>
      <c r="I107" s="20">
        <v>45486</v>
      </c>
      <c r="J107" s="21">
        <v>64.98</v>
      </c>
      <c r="K107" s="16"/>
      <c r="L107" s="28"/>
      <c r="M107" s="28"/>
      <c r="N107" s="7" t="s">
        <v>87</v>
      </c>
      <c r="O107" s="7" t="s">
        <v>54</v>
      </c>
      <c r="P107" s="24" t="s">
        <v>88</v>
      </c>
      <c r="Q107" s="7" t="s">
        <v>54</v>
      </c>
      <c r="R107" s="25">
        <v>643892.96</v>
      </c>
      <c r="S107" s="24"/>
      <c r="T107" s="24" t="s">
        <v>42</v>
      </c>
      <c r="U107" s="24" t="s">
        <v>42</v>
      </c>
      <c r="V107" s="25"/>
      <c r="W107" s="24"/>
      <c r="X107" s="25">
        <v>638892.54</v>
      </c>
      <c r="Y107" s="13"/>
      <c r="Z107" s="13"/>
      <c r="AA107" s="13"/>
      <c r="AB107" s="13"/>
      <c r="AC107" s="13">
        <v>2</v>
      </c>
      <c r="AD107" s="13"/>
      <c r="AE107" s="13"/>
      <c r="AF107" s="26">
        <f t="shared" si="5"/>
        <v>0</v>
      </c>
    </row>
    <row r="108" spans="1:33" ht="52.2" customHeight="1" x14ac:dyDescent="0.35">
      <c r="A108" s="15">
        <v>140</v>
      </c>
      <c r="B108" s="16">
        <v>140</v>
      </c>
      <c r="C108" s="17" t="s">
        <v>241</v>
      </c>
      <c r="D108" s="18">
        <v>2016</v>
      </c>
      <c r="E108" s="19" t="s">
        <v>268</v>
      </c>
      <c r="F108" s="16" t="s">
        <v>269</v>
      </c>
      <c r="G108" s="7" t="s">
        <v>46</v>
      </c>
      <c r="H108" s="16" t="s">
        <v>47</v>
      </c>
      <c r="I108" s="20">
        <v>48370</v>
      </c>
      <c r="J108" s="21">
        <v>69.099999999999994</v>
      </c>
      <c r="K108" s="16"/>
      <c r="L108" s="22"/>
      <c r="M108" s="28" t="s">
        <v>99</v>
      </c>
      <c r="N108" s="7">
        <v>0</v>
      </c>
      <c r="O108" s="7"/>
      <c r="P108" s="24"/>
      <c r="Q108" s="7" t="s">
        <v>48</v>
      </c>
      <c r="R108" s="25"/>
      <c r="S108" s="24"/>
      <c r="T108" s="24"/>
      <c r="U108" s="24"/>
      <c r="V108" s="25"/>
      <c r="W108" s="24"/>
      <c r="X108" s="25"/>
      <c r="Y108" s="13">
        <v>12810</v>
      </c>
      <c r="Z108" s="13">
        <v>13.7</v>
      </c>
      <c r="AA108" s="13">
        <v>14</v>
      </c>
      <c r="AB108" s="13">
        <v>5</v>
      </c>
      <c r="AC108" s="13">
        <v>2</v>
      </c>
      <c r="AD108" s="13">
        <v>719.8</v>
      </c>
      <c r="AE108" s="13">
        <v>719.8</v>
      </c>
      <c r="AF108" s="26">
        <f t="shared" si="5"/>
        <v>287.92</v>
      </c>
      <c r="AG108" s="27" t="s">
        <v>1263</v>
      </c>
    </row>
    <row r="109" spans="1:33" ht="52.2" customHeight="1" x14ac:dyDescent="0.35">
      <c r="A109" s="15">
        <v>141</v>
      </c>
      <c r="B109" s="16">
        <v>141</v>
      </c>
      <c r="C109" s="17" t="s">
        <v>241</v>
      </c>
      <c r="D109" s="18">
        <v>2016</v>
      </c>
      <c r="E109" s="19" t="s">
        <v>270</v>
      </c>
      <c r="F109" s="16" t="s">
        <v>271</v>
      </c>
      <c r="G109" s="7" t="s">
        <v>46</v>
      </c>
      <c r="H109" s="16" t="s">
        <v>47</v>
      </c>
      <c r="I109" s="20">
        <v>46620</v>
      </c>
      <c r="J109" s="21">
        <v>66.599999999999994</v>
      </c>
      <c r="K109" s="16"/>
      <c r="L109" s="28"/>
      <c r="M109" s="28"/>
      <c r="N109" s="7" t="s">
        <v>87</v>
      </c>
      <c r="O109" s="7" t="s">
        <v>54</v>
      </c>
      <c r="P109" s="24" t="s">
        <v>88</v>
      </c>
      <c r="Q109" s="7" t="s">
        <v>54</v>
      </c>
      <c r="R109" s="25">
        <v>961802.96</v>
      </c>
      <c r="S109" s="24"/>
      <c r="T109" s="24" t="s">
        <v>42</v>
      </c>
      <c r="U109" s="24" t="s">
        <v>42</v>
      </c>
      <c r="V109" s="25"/>
      <c r="W109" s="24"/>
      <c r="X109" s="25">
        <v>956802.96</v>
      </c>
      <c r="Y109" s="13"/>
      <c r="Z109" s="13"/>
      <c r="AA109" s="13"/>
      <c r="AB109" s="13"/>
      <c r="AC109" s="13">
        <v>2</v>
      </c>
      <c r="AD109" s="13"/>
      <c r="AE109" s="13"/>
      <c r="AF109" s="26">
        <f t="shared" si="5"/>
        <v>0</v>
      </c>
    </row>
    <row r="110" spans="1:33" ht="57" customHeight="1" x14ac:dyDescent="0.35">
      <c r="A110" s="15">
        <v>142</v>
      </c>
      <c r="B110" s="16">
        <v>142</v>
      </c>
      <c r="C110" s="17" t="s">
        <v>241</v>
      </c>
      <c r="D110" s="18">
        <v>2016</v>
      </c>
      <c r="E110" s="19" t="s">
        <v>272</v>
      </c>
      <c r="F110" s="16" t="s">
        <v>273</v>
      </c>
      <c r="G110" s="7" t="s">
        <v>46</v>
      </c>
      <c r="H110" s="16" t="s">
        <v>47</v>
      </c>
      <c r="I110" s="20">
        <v>45500</v>
      </c>
      <c r="J110" s="21">
        <v>65</v>
      </c>
      <c r="K110" s="16"/>
      <c r="L110" s="28"/>
      <c r="M110" s="28"/>
      <c r="N110" s="7" t="s">
        <v>87</v>
      </c>
      <c r="O110" s="7" t="s">
        <v>54</v>
      </c>
      <c r="P110" s="24" t="s">
        <v>88</v>
      </c>
      <c r="Q110" s="7" t="s">
        <v>54</v>
      </c>
      <c r="R110" s="25">
        <v>957909.25</v>
      </c>
      <c r="S110" s="24"/>
      <c r="T110" s="24" t="s">
        <v>42</v>
      </c>
      <c r="U110" s="24" t="s">
        <v>42</v>
      </c>
      <c r="V110" s="25"/>
      <c r="W110" s="24"/>
      <c r="X110" s="25">
        <v>952909.25</v>
      </c>
      <c r="Y110" s="13"/>
      <c r="Z110" s="13"/>
      <c r="AA110" s="13"/>
      <c r="AB110" s="13"/>
      <c r="AC110" s="13">
        <v>2</v>
      </c>
      <c r="AD110" s="13"/>
      <c r="AE110" s="13"/>
      <c r="AF110" s="26">
        <f t="shared" si="5"/>
        <v>0</v>
      </c>
    </row>
    <row r="111" spans="1:33" ht="54" x14ac:dyDescent="0.35">
      <c r="A111" s="15">
        <v>143</v>
      </c>
      <c r="B111" s="16">
        <v>143</v>
      </c>
      <c r="C111" s="17" t="s">
        <v>241</v>
      </c>
      <c r="D111" s="18">
        <v>2016</v>
      </c>
      <c r="E111" s="19" t="s">
        <v>274</v>
      </c>
      <c r="F111" s="16" t="s">
        <v>275</v>
      </c>
      <c r="G111" s="7" t="s">
        <v>46</v>
      </c>
      <c r="H111" s="16" t="s">
        <v>47</v>
      </c>
      <c r="I111" s="20">
        <v>46830</v>
      </c>
      <c r="J111" s="21">
        <v>66.900000000000006</v>
      </c>
      <c r="K111" s="16"/>
      <c r="L111" s="22"/>
      <c r="M111" s="28" t="s">
        <v>99</v>
      </c>
      <c r="N111" s="7">
        <v>0</v>
      </c>
      <c r="O111" s="7"/>
      <c r="P111" s="24"/>
      <c r="Q111" s="7" t="s">
        <v>48</v>
      </c>
      <c r="R111" s="25"/>
      <c r="S111" s="24"/>
      <c r="T111" s="24"/>
      <c r="U111" s="24"/>
      <c r="V111" s="25"/>
      <c r="W111" s="24"/>
      <c r="X111" s="25"/>
      <c r="Y111" s="13">
        <v>6404</v>
      </c>
      <c r="Z111" s="13">
        <v>8.4</v>
      </c>
      <c r="AA111" s="13">
        <v>9</v>
      </c>
      <c r="AB111" s="13">
        <v>3</v>
      </c>
      <c r="AC111" s="13">
        <v>2</v>
      </c>
      <c r="AD111" s="13">
        <v>402.88</v>
      </c>
      <c r="AE111" s="13">
        <v>402.88</v>
      </c>
      <c r="AF111" s="26">
        <f t="shared" si="5"/>
        <v>161.15200000000002</v>
      </c>
      <c r="AG111" s="27" t="s">
        <v>1264</v>
      </c>
    </row>
    <row r="112" spans="1:33" ht="54" x14ac:dyDescent="0.35">
      <c r="A112" s="15">
        <v>144</v>
      </c>
      <c r="B112" s="16">
        <v>144</v>
      </c>
      <c r="C112" s="17" t="s">
        <v>241</v>
      </c>
      <c r="D112" s="18">
        <v>2016</v>
      </c>
      <c r="E112" s="19" t="s">
        <v>276</v>
      </c>
      <c r="F112" s="16" t="s">
        <v>277</v>
      </c>
      <c r="G112" s="7" t="s">
        <v>46</v>
      </c>
      <c r="H112" s="16" t="s">
        <v>47</v>
      </c>
      <c r="I112" s="20">
        <v>42840</v>
      </c>
      <c r="J112" s="21">
        <v>61.2</v>
      </c>
      <c r="K112" s="16"/>
      <c r="L112" s="22"/>
      <c r="M112" s="28" t="s">
        <v>99</v>
      </c>
      <c r="N112" s="7">
        <v>0</v>
      </c>
      <c r="O112" s="7"/>
      <c r="P112" s="24"/>
      <c r="Q112" s="7" t="s">
        <v>48</v>
      </c>
      <c r="R112" s="25"/>
      <c r="S112" s="24"/>
      <c r="T112" s="24"/>
      <c r="U112" s="24"/>
      <c r="V112" s="25"/>
      <c r="W112" s="24"/>
      <c r="X112" s="25"/>
      <c r="Y112" s="13">
        <v>13022</v>
      </c>
      <c r="Z112" s="13">
        <v>13.7</v>
      </c>
      <c r="AA112" s="13">
        <v>14</v>
      </c>
      <c r="AB112" s="13">
        <v>5</v>
      </c>
      <c r="AC112" s="13">
        <v>2</v>
      </c>
      <c r="AD112" s="13">
        <v>727.06</v>
      </c>
      <c r="AE112" s="13">
        <v>727.06</v>
      </c>
      <c r="AF112" s="26">
        <f t="shared" si="5"/>
        <v>290.82400000000001</v>
      </c>
      <c r="AG112" s="27" t="s">
        <v>1265</v>
      </c>
    </row>
    <row r="113" spans="1:33" ht="54" x14ac:dyDescent="0.35">
      <c r="A113" s="15">
        <v>145</v>
      </c>
      <c r="B113" s="16">
        <v>145</v>
      </c>
      <c r="C113" s="17" t="s">
        <v>241</v>
      </c>
      <c r="D113" s="18">
        <v>2016</v>
      </c>
      <c r="E113" s="19" t="s">
        <v>278</v>
      </c>
      <c r="F113" s="16" t="s">
        <v>279</v>
      </c>
      <c r="G113" s="7" t="s">
        <v>46</v>
      </c>
      <c r="H113" s="16" t="s">
        <v>47</v>
      </c>
      <c r="I113" s="20">
        <v>48370</v>
      </c>
      <c r="J113" s="21">
        <v>69.099999999999994</v>
      </c>
      <c r="K113" s="16"/>
      <c r="L113" s="22"/>
      <c r="M113" s="28" t="s">
        <v>99</v>
      </c>
      <c r="N113" s="7">
        <v>0</v>
      </c>
      <c r="O113" s="7"/>
      <c r="P113" s="24"/>
      <c r="Q113" s="7" t="s">
        <v>48</v>
      </c>
      <c r="R113" s="25"/>
      <c r="S113" s="24"/>
      <c r="T113" s="24"/>
      <c r="U113" s="24"/>
      <c r="V113" s="25"/>
      <c r="W113" s="24"/>
      <c r="X113" s="25"/>
      <c r="Y113" s="13">
        <v>17807</v>
      </c>
      <c r="Z113" s="13">
        <v>16</v>
      </c>
      <c r="AA113" s="13">
        <v>16</v>
      </c>
      <c r="AB113" s="13">
        <v>5</v>
      </c>
      <c r="AC113" s="13">
        <v>2</v>
      </c>
      <c r="AD113" s="13">
        <v>839.63</v>
      </c>
      <c r="AE113" s="13">
        <v>839.63</v>
      </c>
      <c r="AF113" s="26">
        <f t="shared" si="5"/>
        <v>335.85200000000003</v>
      </c>
      <c r="AG113" s="27" t="s">
        <v>1266</v>
      </c>
    </row>
    <row r="114" spans="1:33" ht="36" x14ac:dyDescent="0.35">
      <c r="A114" s="15">
        <v>146</v>
      </c>
      <c r="B114" s="16">
        <v>146</v>
      </c>
      <c r="C114" s="17" t="s">
        <v>241</v>
      </c>
      <c r="D114" s="18">
        <v>2016</v>
      </c>
      <c r="E114" s="19" t="s">
        <v>280</v>
      </c>
      <c r="F114" s="16" t="s">
        <v>281</v>
      </c>
      <c r="G114" s="7" t="s">
        <v>38</v>
      </c>
      <c r="H114" s="16" t="s">
        <v>39</v>
      </c>
      <c r="I114" s="20">
        <v>91000</v>
      </c>
      <c r="J114" s="21">
        <v>130</v>
      </c>
      <c r="K114" s="16">
        <f>(50.9*2+13.7*2)*1.8</f>
        <v>232.55999999999997</v>
      </c>
      <c r="L114" s="22">
        <f t="shared" ref="L114:L138" si="6">(K114/J114)-1</f>
        <v>0.78892307692307662</v>
      </c>
      <c r="N114" s="7">
        <v>0</v>
      </c>
      <c r="O114" s="7"/>
      <c r="P114" s="24"/>
      <c r="Q114" s="7" t="s">
        <v>48</v>
      </c>
      <c r="R114" s="25"/>
      <c r="S114" s="24"/>
      <c r="T114" s="24"/>
      <c r="U114" s="24"/>
      <c r="V114" s="25"/>
      <c r="W114" s="24"/>
      <c r="X114" s="25"/>
      <c r="Y114" s="13">
        <v>6676</v>
      </c>
      <c r="Z114" s="13">
        <v>10.1</v>
      </c>
      <c r="AA114" s="13">
        <v>10</v>
      </c>
      <c r="AB114" s="13">
        <v>3</v>
      </c>
      <c r="AC114" s="13">
        <v>2</v>
      </c>
      <c r="AD114" s="13">
        <v>486.94</v>
      </c>
      <c r="AE114" s="13">
        <v>486.94</v>
      </c>
      <c r="AF114" s="26">
        <f t="shared" si="5"/>
        <v>194.77600000000001</v>
      </c>
      <c r="AG114" s="27" t="s">
        <v>1267</v>
      </c>
    </row>
    <row r="115" spans="1:33" ht="36" x14ac:dyDescent="0.35">
      <c r="A115" s="15">
        <v>147</v>
      </c>
      <c r="B115" s="16">
        <v>147</v>
      </c>
      <c r="C115" s="17" t="s">
        <v>241</v>
      </c>
      <c r="D115" s="18">
        <v>2017</v>
      </c>
      <c r="E115" s="19" t="s">
        <v>282</v>
      </c>
      <c r="F115" s="16" t="s">
        <v>283</v>
      </c>
      <c r="G115" s="7" t="s">
        <v>79</v>
      </c>
      <c r="H115" s="16" t="s">
        <v>80</v>
      </c>
      <c r="I115" s="20">
        <v>17544.46</v>
      </c>
      <c r="J115" s="21">
        <v>160</v>
      </c>
      <c r="K115" s="16"/>
      <c r="L115" s="22">
        <f t="shared" si="6"/>
        <v>-1</v>
      </c>
      <c r="M115" s="28" t="s">
        <v>284</v>
      </c>
      <c r="N115" s="7">
        <v>0</v>
      </c>
      <c r="O115" s="7"/>
      <c r="P115" s="24"/>
      <c r="Q115" s="7" t="s">
        <v>48</v>
      </c>
      <c r="R115" s="25"/>
      <c r="S115" s="24"/>
      <c r="T115" s="24"/>
      <c r="U115" s="24"/>
      <c r="V115" s="25"/>
      <c r="W115" s="24"/>
      <c r="X115" s="25"/>
      <c r="Y115" s="13">
        <v>11052</v>
      </c>
      <c r="Z115" s="13">
        <v>13.75</v>
      </c>
      <c r="AA115" s="13">
        <v>14</v>
      </c>
      <c r="AB115" s="13">
        <v>4</v>
      </c>
      <c r="AC115" s="13">
        <v>2</v>
      </c>
      <c r="AD115" s="13"/>
      <c r="AE115" s="13">
        <v>52.475000000000001</v>
      </c>
      <c r="AF115" s="26">
        <v>20.99</v>
      </c>
      <c r="AG115" s="27" t="s">
        <v>1268</v>
      </c>
    </row>
    <row r="116" spans="1:33" ht="36" x14ac:dyDescent="0.35">
      <c r="A116" s="15">
        <v>148</v>
      </c>
      <c r="B116" s="16">
        <v>148</v>
      </c>
      <c r="C116" s="17" t="s">
        <v>241</v>
      </c>
      <c r="D116" s="18">
        <v>2017</v>
      </c>
      <c r="E116" s="19" t="s">
        <v>285</v>
      </c>
      <c r="F116" s="16" t="s">
        <v>286</v>
      </c>
      <c r="G116" s="7" t="s">
        <v>38</v>
      </c>
      <c r="H116" s="16" t="s">
        <v>39</v>
      </c>
      <c r="I116" s="20">
        <v>61950</v>
      </c>
      <c r="J116" s="21">
        <v>88.5</v>
      </c>
      <c r="K116" s="16"/>
      <c r="L116" s="22">
        <f t="shared" si="6"/>
        <v>-1</v>
      </c>
      <c r="M116" s="28"/>
      <c r="N116" s="7">
        <v>0</v>
      </c>
      <c r="O116" s="7"/>
      <c r="P116" s="24"/>
      <c r="Q116" s="7" t="s">
        <v>48</v>
      </c>
      <c r="R116" s="25"/>
      <c r="S116" s="24"/>
      <c r="T116" s="24"/>
      <c r="U116" s="24"/>
      <c r="V116" s="25"/>
      <c r="W116" s="24"/>
      <c r="X116" s="25"/>
      <c r="Y116" s="13">
        <v>2378</v>
      </c>
      <c r="Z116" s="13">
        <v>5.53</v>
      </c>
      <c r="AA116" s="13">
        <v>6</v>
      </c>
      <c r="AB116" s="13">
        <v>2</v>
      </c>
      <c r="AC116" s="13">
        <v>2</v>
      </c>
      <c r="AD116" s="13">
        <v>252.44</v>
      </c>
      <c r="AE116" s="13">
        <v>252.44</v>
      </c>
      <c r="AF116" s="26">
        <f t="shared" si="5"/>
        <v>100.976</v>
      </c>
      <c r="AG116" s="27" t="s">
        <v>1269</v>
      </c>
    </row>
    <row r="117" spans="1:33" ht="36" x14ac:dyDescent="0.35">
      <c r="A117" s="15">
        <v>150</v>
      </c>
      <c r="B117" s="16">
        <v>150</v>
      </c>
      <c r="C117" s="17" t="s">
        <v>287</v>
      </c>
      <c r="D117" s="18">
        <v>2017</v>
      </c>
      <c r="E117" s="19" t="s">
        <v>288</v>
      </c>
      <c r="F117" s="16" t="s">
        <v>289</v>
      </c>
      <c r="G117" s="7" t="s">
        <v>38</v>
      </c>
      <c r="H117" s="16" t="s">
        <v>39</v>
      </c>
      <c r="I117" s="20">
        <v>49000</v>
      </c>
      <c r="J117" s="21">
        <v>70</v>
      </c>
      <c r="K117" s="16">
        <f>(47.6*2+13.6*2)*1.8</f>
        <v>220.32000000000002</v>
      </c>
      <c r="L117" s="22">
        <f t="shared" si="6"/>
        <v>2.1474285714285717</v>
      </c>
      <c r="M117" s="28"/>
      <c r="N117" s="7">
        <v>0</v>
      </c>
      <c r="O117" s="7"/>
      <c r="P117" s="24"/>
      <c r="Q117" s="7" t="s">
        <v>48</v>
      </c>
      <c r="R117" s="25"/>
      <c r="S117" s="24"/>
      <c r="T117" s="24"/>
      <c r="U117" s="24"/>
      <c r="V117" s="25"/>
      <c r="W117" s="24"/>
      <c r="X117" s="25"/>
      <c r="Y117" s="13">
        <v>3190</v>
      </c>
      <c r="Z117" s="13">
        <v>5.65</v>
      </c>
      <c r="AA117" s="13">
        <v>6</v>
      </c>
      <c r="AB117" s="13">
        <v>2</v>
      </c>
      <c r="AC117" s="13">
        <v>2</v>
      </c>
      <c r="AD117" s="13">
        <v>288.88</v>
      </c>
      <c r="AE117" s="13">
        <v>288.88</v>
      </c>
      <c r="AF117" s="26">
        <f t="shared" si="5"/>
        <v>115.55200000000001</v>
      </c>
      <c r="AG117" s="27" t="s">
        <v>1270</v>
      </c>
    </row>
    <row r="118" spans="1:33" ht="36" x14ac:dyDescent="0.35">
      <c r="A118" s="15">
        <v>151</v>
      </c>
      <c r="B118" s="16">
        <v>151</v>
      </c>
      <c r="C118" s="17" t="s">
        <v>287</v>
      </c>
      <c r="D118" s="18">
        <v>2017</v>
      </c>
      <c r="E118" s="19" t="s">
        <v>290</v>
      </c>
      <c r="F118" s="16" t="s">
        <v>291</v>
      </c>
      <c r="G118" s="7" t="s">
        <v>38</v>
      </c>
      <c r="H118" s="16" t="s">
        <v>39</v>
      </c>
      <c r="I118" s="20">
        <v>56000</v>
      </c>
      <c r="J118" s="21">
        <v>80</v>
      </c>
      <c r="K118" s="16">
        <f>(54.6*2+12.6*2)*1.8</f>
        <v>241.92000000000002</v>
      </c>
      <c r="L118" s="22">
        <f t="shared" si="6"/>
        <v>2.024</v>
      </c>
      <c r="M118" s="28"/>
      <c r="N118" s="7">
        <v>0</v>
      </c>
      <c r="O118" s="7"/>
      <c r="P118" s="24"/>
      <c r="Q118" s="7" t="s">
        <v>48</v>
      </c>
      <c r="R118" s="25"/>
      <c r="S118" s="24"/>
      <c r="T118" s="24"/>
      <c r="U118" s="24"/>
      <c r="V118" s="25"/>
      <c r="W118" s="24"/>
      <c r="X118" s="25"/>
      <c r="Y118" s="13">
        <v>3831</v>
      </c>
      <c r="Z118" s="13">
        <v>5.85</v>
      </c>
      <c r="AA118" s="13">
        <v>6</v>
      </c>
      <c r="AB118" s="13">
        <v>2</v>
      </c>
      <c r="AC118" s="13">
        <v>2</v>
      </c>
      <c r="AD118" s="13">
        <v>317.64</v>
      </c>
      <c r="AE118" s="13">
        <v>317.64</v>
      </c>
      <c r="AF118" s="26">
        <f t="shared" si="5"/>
        <v>127.056</v>
      </c>
      <c r="AG118" s="27" t="s">
        <v>1271</v>
      </c>
    </row>
    <row r="119" spans="1:33" ht="36" x14ac:dyDescent="0.35">
      <c r="A119" s="15">
        <v>152</v>
      </c>
      <c r="B119" s="16">
        <v>152</v>
      </c>
      <c r="C119" s="17" t="s">
        <v>287</v>
      </c>
      <c r="D119" s="18">
        <v>2018</v>
      </c>
      <c r="E119" s="19" t="s">
        <v>292</v>
      </c>
      <c r="F119" s="16" t="s">
        <v>293</v>
      </c>
      <c r="G119" s="7" t="s">
        <v>38</v>
      </c>
      <c r="H119" s="16" t="s">
        <v>39</v>
      </c>
      <c r="I119" s="20">
        <v>51590</v>
      </c>
      <c r="J119" s="21">
        <v>67</v>
      </c>
      <c r="K119" s="16">
        <f>(25.4*2+8.4*2)*1.8</f>
        <v>121.67999999999999</v>
      </c>
      <c r="L119" s="22">
        <f t="shared" si="6"/>
        <v>0.81611940298507446</v>
      </c>
      <c r="M119" s="28"/>
      <c r="N119" s="7">
        <v>0</v>
      </c>
      <c r="O119" s="7"/>
      <c r="P119" s="24"/>
      <c r="Q119" s="7" t="s">
        <v>48</v>
      </c>
      <c r="R119" s="25"/>
      <c r="S119" s="24"/>
      <c r="T119" s="24"/>
      <c r="U119" s="24"/>
      <c r="V119" s="25"/>
      <c r="W119" s="24"/>
      <c r="X119" s="25"/>
      <c r="Y119" s="13">
        <v>1114</v>
      </c>
      <c r="Z119" s="13">
        <v>6.75</v>
      </c>
      <c r="AA119" s="13">
        <v>7</v>
      </c>
      <c r="AB119" s="13">
        <v>2</v>
      </c>
      <c r="AC119" s="13">
        <v>2</v>
      </c>
      <c r="AD119" s="13">
        <v>194.35</v>
      </c>
      <c r="AE119" s="13">
        <v>194.35</v>
      </c>
      <c r="AF119" s="26">
        <f t="shared" si="5"/>
        <v>77.740000000000009</v>
      </c>
      <c r="AG119" s="27" t="s">
        <v>1272</v>
      </c>
    </row>
    <row r="120" spans="1:33" ht="36" x14ac:dyDescent="0.35">
      <c r="A120" s="15">
        <v>154</v>
      </c>
      <c r="B120" s="16">
        <v>154</v>
      </c>
      <c r="C120" s="17" t="s">
        <v>287</v>
      </c>
      <c r="D120" s="18">
        <v>2017</v>
      </c>
      <c r="E120" s="19" t="s">
        <v>294</v>
      </c>
      <c r="F120" s="16" t="s">
        <v>295</v>
      </c>
      <c r="G120" s="7" t="s">
        <v>79</v>
      </c>
      <c r="H120" s="16" t="s">
        <v>80</v>
      </c>
      <c r="I120" s="20">
        <v>16447.939999999999</v>
      </c>
      <c r="J120" s="21">
        <v>150</v>
      </c>
      <c r="K120" s="16">
        <f>(73.5*2+13.5*2)*0.9</f>
        <v>156.6</v>
      </c>
      <c r="L120" s="22">
        <f t="shared" si="6"/>
        <v>4.4000000000000039E-2</v>
      </c>
      <c r="M120" s="28">
        <v>1</v>
      </c>
      <c r="N120" s="7">
        <v>0</v>
      </c>
      <c r="O120" s="7"/>
      <c r="P120" s="24"/>
      <c r="Q120" s="7" t="s">
        <v>48</v>
      </c>
      <c r="R120" s="25"/>
      <c r="S120" s="24"/>
      <c r="T120" s="24"/>
      <c r="U120" s="24"/>
      <c r="V120" s="25"/>
      <c r="W120" s="24"/>
      <c r="X120" s="25"/>
      <c r="Y120" s="13">
        <v>12206</v>
      </c>
      <c r="Z120" s="13">
        <v>13.94</v>
      </c>
      <c r="AA120" s="13">
        <v>14</v>
      </c>
      <c r="AB120" s="13">
        <v>5</v>
      </c>
      <c r="AC120" s="13">
        <v>2</v>
      </c>
      <c r="AD120" s="13"/>
      <c r="AE120" s="13">
        <v>61.05</v>
      </c>
      <c r="AF120" s="26">
        <v>24.42</v>
      </c>
      <c r="AG120" s="27" t="s">
        <v>1273</v>
      </c>
    </row>
    <row r="121" spans="1:33" ht="54" x14ac:dyDescent="0.35">
      <c r="A121" s="15">
        <v>155</v>
      </c>
      <c r="B121" s="16">
        <v>155</v>
      </c>
      <c r="C121" s="17" t="s">
        <v>287</v>
      </c>
      <c r="D121" s="18">
        <v>2017</v>
      </c>
      <c r="E121" s="19" t="s">
        <v>296</v>
      </c>
      <c r="F121" s="16" t="s">
        <v>297</v>
      </c>
      <c r="G121" s="7" t="s">
        <v>46</v>
      </c>
      <c r="H121" s="16" t="s">
        <v>47</v>
      </c>
      <c r="I121" s="20">
        <v>28615.06</v>
      </c>
      <c r="J121" s="21">
        <v>60</v>
      </c>
      <c r="K121" s="16"/>
      <c r="L121" s="22">
        <f t="shared" si="6"/>
        <v>-1</v>
      </c>
      <c r="M121" s="28" t="s">
        <v>298</v>
      </c>
      <c r="N121" s="7">
        <v>0</v>
      </c>
      <c r="O121" s="7"/>
      <c r="P121" s="24"/>
      <c r="Q121" s="7" t="s">
        <v>48</v>
      </c>
      <c r="R121" s="25"/>
      <c r="S121" s="24"/>
      <c r="T121" s="24"/>
      <c r="U121" s="24"/>
      <c r="V121" s="25"/>
      <c r="W121" s="24"/>
      <c r="X121" s="25"/>
      <c r="Y121" s="13">
        <v>1800</v>
      </c>
      <c r="Z121" s="13">
        <v>6.33</v>
      </c>
      <c r="AA121" s="13">
        <v>7</v>
      </c>
      <c r="AB121" s="13">
        <v>2</v>
      </c>
      <c r="AC121" s="13">
        <v>2</v>
      </c>
      <c r="AD121" s="13">
        <v>171.43</v>
      </c>
      <c r="AE121" s="13">
        <v>171.43</v>
      </c>
      <c r="AF121" s="26">
        <f t="shared" si="5"/>
        <v>68.572000000000003</v>
      </c>
      <c r="AG121" s="27" t="s">
        <v>1274</v>
      </c>
    </row>
    <row r="122" spans="1:33" ht="37.200000000000003" customHeight="1" x14ac:dyDescent="0.35">
      <c r="A122" s="15">
        <v>156</v>
      </c>
      <c r="B122" s="16">
        <v>156</v>
      </c>
      <c r="C122" s="17" t="s">
        <v>287</v>
      </c>
      <c r="D122" s="18">
        <v>2017</v>
      </c>
      <c r="E122" s="19" t="s">
        <v>296</v>
      </c>
      <c r="F122" s="16" t="s">
        <v>299</v>
      </c>
      <c r="G122" s="7" t="s">
        <v>79</v>
      </c>
      <c r="H122" s="16" t="s">
        <v>80</v>
      </c>
      <c r="I122" s="20">
        <v>5482.65</v>
      </c>
      <c r="J122" s="21">
        <v>50</v>
      </c>
      <c r="K122" s="16"/>
      <c r="L122" s="22">
        <f t="shared" si="6"/>
        <v>-1</v>
      </c>
      <c r="M122" s="28" t="s">
        <v>298</v>
      </c>
      <c r="N122" s="7">
        <v>0</v>
      </c>
      <c r="O122" s="7"/>
      <c r="P122" s="24"/>
      <c r="Q122" s="7" t="s">
        <v>48</v>
      </c>
      <c r="R122" s="25"/>
      <c r="S122" s="24"/>
      <c r="T122" s="24"/>
      <c r="U122" s="24"/>
      <c r="V122" s="25"/>
      <c r="W122" s="24"/>
      <c r="X122" s="25"/>
      <c r="Y122" s="13">
        <v>1800</v>
      </c>
      <c r="Z122" s="13">
        <v>6.33</v>
      </c>
      <c r="AA122" s="13">
        <v>7</v>
      </c>
      <c r="AB122" s="13">
        <v>2</v>
      </c>
      <c r="AC122" s="13">
        <v>2</v>
      </c>
      <c r="AD122" s="13"/>
      <c r="AE122" s="13">
        <v>13.9</v>
      </c>
      <c r="AF122" s="26">
        <v>5.56</v>
      </c>
      <c r="AG122" s="27" t="s">
        <v>1275</v>
      </c>
    </row>
    <row r="123" spans="1:33" ht="52.2" customHeight="1" x14ac:dyDescent="0.35">
      <c r="A123" s="15">
        <v>157</v>
      </c>
      <c r="B123" s="16">
        <v>157</v>
      </c>
      <c r="C123" s="17" t="s">
        <v>300</v>
      </c>
      <c r="D123" s="18">
        <v>2017</v>
      </c>
      <c r="E123" s="19" t="s">
        <v>301</v>
      </c>
      <c r="F123" s="16" t="s">
        <v>302</v>
      </c>
      <c r="G123" s="7" t="s">
        <v>38</v>
      </c>
      <c r="H123" s="16" t="s">
        <v>39</v>
      </c>
      <c r="I123" s="20">
        <v>70000</v>
      </c>
      <c r="J123" s="21">
        <v>100</v>
      </c>
      <c r="K123" s="16">
        <f>(68.6*2+12.4*2)*2.4</f>
        <v>388.8</v>
      </c>
      <c r="L123" s="22">
        <f t="shared" si="6"/>
        <v>2.8879999999999999</v>
      </c>
      <c r="M123" s="28"/>
      <c r="N123" s="7">
        <v>0</v>
      </c>
      <c r="O123" s="7" t="s">
        <v>41</v>
      </c>
      <c r="P123" s="24"/>
      <c r="Q123" s="7" t="s">
        <v>41</v>
      </c>
      <c r="R123" s="25"/>
      <c r="S123" s="24"/>
      <c r="T123" s="24" t="s">
        <v>42</v>
      </c>
      <c r="U123" s="24" t="s">
        <v>42</v>
      </c>
      <c r="V123" s="25"/>
      <c r="W123" s="24"/>
      <c r="X123" s="25">
        <v>8050561.7999999998</v>
      </c>
      <c r="Y123" s="13">
        <v>5505.5</v>
      </c>
      <c r="Z123" s="13">
        <v>13.75</v>
      </c>
      <c r="AA123" s="13">
        <v>14</v>
      </c>
      <c r="AB123" s="13">
        <v>5</v>
      </c>
      <c r="AC123" s="13">
        <v>2</v>
      </c>
      <c r="AD123" s="13"/>
      <c r="AE123" s="13"/>
      <c r="AF123" s="26">
        <f t="shared" si="5"/>
        <v>0</v>
      </c>
      <c r="AG123" s="27" t="s">
        <v>1276</v>
      </c>
    </row>
    <row r="124" spans="1:33" ht="54" x14ac:dyDescent="0.35">
      <c r="A124" s="15">
        <v>158</v>
      </c>
      <c r="B124" s="16">
        <v>158</v>
      </c>
      <c r="C124" s="17" t="s">
        <v>300</v>
      </c>
      <c r="D124" s="18">
        <v>2017</v>
      </c>
      <c r="E124" s="19" t="s">
        <v>303</v>
      </c>
      <c r="F124" s="16" t="s">
        <v>304</v>
      </c>
      <c r="G124" s="7" t="s">
        <v>46</v>
      </c>
      <c r="H124" s="16" t="s">
        <v>47</v>
      </c>
      <c r="I124" s="20">
        <v>16215.2</v>
      </c>
      <c r="J124" s="21">
        <v>34</v>
      </c>
      <c r="K124" s="16">
        <f>3.2*1*12+2.8*1*7</f>
        <v>58</v>
      </c>
      <c r="L124" s="22">
        <f t="shared" si="6"/>
        <v>0.70588235294117641</v>
      </c>
      <c r="M124" s="28" t="s">
        <v>305</v>
      </c>
      <c r="N124" s="7">
        <v>0</v>
      </c>
      <c r="O124" s="7"/>
      <c r="P124" s="24"/>
      <c r="Q124" s="7" t="s">
        <v>48</v>
      </c>
      <c r="R124" s="25"/>
      <c r="S124" s="24"/>
      <c r="T124" s="24"/>
      <c r="U124" s="24"/>
      <c r="V124" s="25"/>
      <c r="W124" s="24"/>
      <c r="X124" s="25"/>
      <c r="Y124" s="13">
        <v>10014</v>
      </c>
      <c r="Z124" s="13">
        <v>13.4</v>
      </c>
      <c r="AA124" s="13">
        <v>14</v>
      </c>
      <c r="AB124" s="13">
        <v>4</v>
      </c>
      <c r="AC124" s="13">
        <v>2</v>
      </c>
      <c r="AD124" s="13">
        <v>547.41</v>
      </c>
      <c r="AE124" s="13">
        <v>547.41</v>
      </c>
      <c r="AF124" s="26">
        <f t="shared" si="5"/>
        <v>218.964</v>
      </c>
      <c r="AG124" s="27" t="s">
        <v>1277</v>
      </c>
    </row>
    <row r="125" spans="1:33" ht="54" x14ac:dyDescent="0.35">
      <c r="A125" s="15">
        <v>159</v>
      </c>
      <c r="B125" s="16">
        <v>159</v>
      </c>
      <c r="C125" s="17" t="s">
        <v>300</v>
      </c>
      <c r="D125" s="18">
        <v>2017</v>
      </c>
      <c r="E125" s="19" t="s">
        <v>306</v>
      </c>
      <c r="F125" s="16" t="s">
        <v>307</v>
      </c>
      <c r="G125" s="7" t="s">
        <v>46</v>
      </c>
      <c r="H125" s="16" t="s">
        <v>47</v>
      </c>
      <c r="I125" s="20">
        <v>41014.92</v>
      </c>
      <c r="J125" s="21">
        <v>86</v>
      </c>
      <c r="K125" s="16">
        <f>3.2*1*20+2.8*1*20</f>
        <v>120</v>
      </c>
      <c r="L125" s="22">
        <f t="shared" si="6"/>
        <v>0.39534883720930236</v>
      </c>
      <c r="M125" s="28" t="s">
        <v>305</v>
      </c>
      <c r="N125" s="7">
        <v>0</v>
      </c>
      <c r="O125" s="7"/>
      <c r="P125" s="24"/>
      <c r="Q125" s="7" t="s">
        <v>48</v>
      </c>
      <c r="R125" s="25"/>
      <c r="S125" s="24"/>
      <c r="T125" s="24"/>
      <c r="U125" s="24"/>
      <c r="V125" s="25"/>
      <c r="W125" s="24"/>
      <c r="X125" s="25"/>
      <c r="Y125" s="13">
        <v>21868</v>
      </c>
      <c r="Z125" s="13">
        <v>14.75</v>
      </c>
      <c r="AA125" s="13">
        <v>15</v>
      </c>
      <c r="AB125" s="13">
        <v>4</v>
      </c>
      <c r="AC125" s="13">
        <v>2</v>
      </c>
      <c r="AD125" s="13">
        <v>922.4</v>
      </c>
      <c r="AE125" s="13">
        <v>922.4</v>
      </c>
      <c r="AF125" s="26">
        <f t="shared" si="5"/>
        <v>368.96000000000004</v>
      </c>
      <c r="AG125" s="27" t="s">
        <v>1278</v>
      </c>
    </row>
    <row r="126" spans="1:33" ht="54" x14ac:dyDescent="0.35">
      <c r="A126" s="15">
        <v>160</v>
      </c>
      <c r="B126" s="16">
        <v>160</v>
      </c>
      <c r="C126" s="17" t="s">
        <v>300</v>
      </c>
      <c r="D126" s="18">
        <v>2017</v>
      </c>
      <c r="E126" s="19" t="s">
        <v>308</v>
      </c>
      <c r="F126" s="16" t="s">
        <v>309</v>
      </c>
      <c r="G126" s="7" t="s">
        <v>46</v>
      </c>
      <c r="H126" s="16" t="s">
        <v>47</v>
      </c>
      <c r="I126" s="20">
        <v>47834.85</v>
      </c>
      <c r="J126" s="21">
        <v>100.3</v>
      </c>
      <c r="K126" s="16">
        <f>3.2*1*41+2.8*1*3</f>
        <v>139.60000000000002</v>
      </c>
      <c r="L126" s="22">
        <f t="shared" si="6"/>
        <v>0.39182452642073806</v>
      </c>
      <c r="M126" s="28"/>
      <c r="N126" s="7">
        <v>0</v>
      </c>
      <c r="O126" s="7"/>
      <c r="P126" s="24"/>
      <c r="Q126" s="7" t="s">
        <v>48</v>
      </c>
      <c r="R126" s="25"/>
      <c r="S126" s="24"/>
      <c r="T126" s="24"/>
      <c r="U126" s="24"/>
      <c r="V126" s="25"/>
      <c r="W126" s="24"/>
      <c r="X126" s="25"/>
      <c r="Y126" s="13">
        <v>25067.1</v>
      </c>
      <c r="Z126" s="13">
        <v>17</v>
      </c>
      <c r="AA126" s="13">
        <v>17</v>
      </c>
      <c r="AB126" s="13">
        <v>5</v>
      </c>
      <c r="AC126" s="13">
        <v>2</v>
      </c>
      <c r="AD126" s="13">
        <v>1031.96</v>
      </c>
      <c r="AE126" s="13">
        <v>1031.96</v>
      </c>
      <c r="AF126" s="26">
        <f t="shared" si="5"/>
        <v>412.78400000000005</v>
      </c>
      <c r="AG126" s="27" t="s">
        <v>1279</v>
      </c>
    </row>
    <row r="127" spans="1:33" ht="54" x14ac:dyDescent="0.35">
      <c r="A127" s="15">
        <v>161</v>
      </c>
      <c r="B127" s="16">
        <v>161</v>
      </c>
      <c r="C127" s="17" t="s">
        <v>300</v>
      </c>
      <c r="D127" s="18">
        <v>2017</v>
      </c>
      <c r="E127" s="19" t="s">
        <v>310</v>
      </c>
      <c r="F127" s="16" t="s">
        <v>311</v>
      </c>
      <c r="G127" s="7" t="s">
        <v>46</v>
      </c>
      <c r="H127" s="16" t="s">
        <v>47</v>
      </c>
      <c r="I127" s="20">
        <v>41014.92</v>
      </c>
      <c r="J127" s="21">
        <v>86</v>
      </c>
      <c r="K127" s="16">
        <f>2.4*1*16+4.5*1.2</f>
        <v>43.8</v>
      </c>
      <c r="L127" s="22">
        <f t="shared" si="6"/>
        <v>-0.49069767441860468</v>
      </c>
      <c r="M127" s="28">
        <v>1</v>
      </c>
      <c r="N127" s="7">
        <v>0</v>
      </c>
      <c r="O127" s="7"/>
      <c r="P127" s="24"/>
      <c r="Q127" s="7" t="s">
        <v>48</v>
      </c>
      <c r="R127" s="25"/>
      <c r="S127" s="24"/>
      <c r="T127" s="24"/>
      <c r="U127" s="24"/>
      <c r="V127" s="25"/>
      <c r="W127" s="24"/>
      <c r="X127" s="25"/>
      <c r="Y127" s="13">
        <v>22842</v>
      </c>
      <c r="Z127" s="13">
        <v>14.1</v>
      </c>
      <c r="AA127" s="13">
        <v>15</v>
      </c>
      <c r="AB127" s="13">
        <v>4</v>
      </c>
      <c r="AC127" s="13">
        <v>2</v>
      </c>
      <c r="AD127" s="13">
        <v>954.39</v>
      </c>
      <c r="AE127" s="13">
        <v>954.39</v>
      </c>
      <c r="AF127" s="26">
        <f t="shared" si="5"/>
        <v>381.75600000000003</v>
      </c>
      <c r="AG127" s="27" t="s">
        <v>1280</v>
      </c>
    </row>
    <row r="128" spans="1:33" ht="54" x14ac:dyDescent="0.35">
      <c r="A128" s="15">
        <v>162</v>
      </c>
      <c r="B128" s="16">
        <v>162</v>
      </c>
      <c r="C128" s="17" t="s">
        <v>312</v>
      </c>
      <c r="D128" s="18">
        <v>2017</v>
      </c>
      <c r="E128" s="19" t="s">
        <v>313</v>
      </c>
      <c r="F128" s="16" t="s">
        <v>314</v>
      </c>
      <c r="G128" s="7" t="s">
        <v>46</v>
      </c>
      <c r="H128" s="16" t="s">
        <v>47</v>
      </c>
      <c r="I128" s="20">
        <v>45500</v>
      </c>
      <c r="J128" s="21">
        <v>65</v>
      </c>
      <c r="K128" s="16"/>
      <c r="L128" s="22">
        <f t="shared" si="6"/>
        <v>-1</v>
      </c>
      <c r="M128" s="28" t="s">
        <v>315</v>
      </c>
      <c r="N128" s="7">
        <v>0</v>
      </c>
      <c r="O128" s="7"/>
      <c r="P128" s="24"/>
      <c r="Q128" s="7" t="s">
        <v>48</v>
      </c>
      <c r="R128" s="25"/>
      <c r="S128" s="24"/>
      <c r="T128" s="24"/>
      <c r="U128" s="24"/>
      <c r="V128" s="25"/>
      <c r="W128" s="24"/>
      <c r="X128" s="25"/>
      <c r="Y128" s="13">
        <v>34400</v>
      </c>
      <c r="Z128" s="13">
        <v>30</v>
      </c>
      <c r="AA128" s="13">
        <v>21</v>
      </c>
      <c r="AB128" s="13">
        <v>9</v>
      </c>
      <c r="AC128" s="13">
        <v>2</v>
      </c>
      <c r="AD128" s="13">
        <v>1294.47</v>
      </c>
      <c r="AE128" s="13">
        <v>1294.47</v>
      </c>
      <c r="AF128" s="26">
        <f t="shared" si="5"/>
        <v>517.78800000000001</v>
      </c>
      <c r="AG128" s="27" t="s">
        <v>1281</v>
      </c>
    </row>
    <row r="129" spans="1:33" ht="54" x14ac:dyDescent="0.35">
      <c r="A129" s="15">
        <v>164</v>
      </c>
      <c r="B129" s="16">
        <v>164</v>
      </c>
      <c r="C129" s="17" t="s">
        <v>312</v>
      </c>
      <c r="D129" s="18">
        <v>2017</v>
      </c>
      <c r="E129" s="19" t="s">
        <v>316</v>
      </c>
      <c r="F129" s="16" t="s">
        <v>317</v>
      </c>
      <c r="G129" s="7" t="s">
        <v>46</v>
      </c>
      <c r="H129" s="16" t="s">
        <v>47</v>
      </c>
      <c r="I129" s="20">
        <v>47600</v>
      </c>
      <c r="J129" s="21">
        <v>68</v>
      </c>
      <c r="K129" s="16"/>
      <c r="L129" s="22">
        <f t="shared" si="6"/>
        <v>-1</v>
      </c>
      <c r="M129" s="28" t="s">
        <v>315</v>
      </c>
      <c r="N129" s="7">
        <v>0</v>
      </c>
      <c r="O129" s="7"/>
      <c r="P129" s="24"/>
      <c r="Q129" s="7" t="s">
        <v>48</v>
      </c>
      <c r="R129" s="25"/>
      <c r="S129" s="24"/>
      <c r="T129" s="24"/>
      <c r="U129" s="24"/>
      <c r="V129" s="25"/>
      <c r="W129" s="24"/>
      <c r="X129" s="25"/>
      <c r="Y129" s="13">
        <v>38094</v>
      </c>
      <c r="Z129" s="13">
        <v>30</v>
      </c>
      <c r="AA129" s="13">
        <v>21</v>
      </c>
      <c r="AB129" s="13">
        <v>9</v>
      </c>
      <c r="AC129" s="13">
        <v>2</v>
      </c>
      <c r="AD129" s="13">
        <v>1384.17</v>
      </c>
      <c r="AE129" s="13">
        <v>1384.17</v>
      </c>
      <c r="AF129" s="26">
        <f t="shared" si="5"/>
        <v>553.66800000000001</v>
      </c>
      <c r="AG129" s="27" t="s">
        <v>1282</v>
      </c>
    </row>
    <row r="130" spans="1:33" ht="36" x14ac:dyDescent="0.35">
      <c r="A130" s="15">
        <v>165</v>
      </c>
      <c r="B130" s="16">
        <v>165</v>
      </c>
      <c r="C130" s="17" t="s">
        <v>318</v>
      </c>
      <c r="D130" s="18">
        <v>2017</v>
      </c>
      <c r="E130" s="19" t="s">
        <v>319</v>
      </c>
      <c r="F130" s="16" t="s">
        <v>320</v>
      </c>
      <c r="G130" s="7" t="s">
        <v>38</v>
      </c>
      <c r="H130" s="16" t="s">
        <v>39</v>
      </c>
      <c r="I130" s="20">
        <v>31500</v>
      </c>
      <c r="J130" s="21">
        <v>45</v>
      </c>
      <c r="K130" s="16">
        <f>(110*2+27.6*2)*2.4</f>
        <v>660.4799999999999</v>
      </c>
      <c r="L130" s="22">
        <f t="shared" si="6"/>
        <v>13.677333333333332</v>
      </c>
      <c r="M130" s="28"/>
      <c r="N130" s="7">
        <v>0</v>
      </c>
      <c r="O130" s="7"/>
      <c r="P130" s="24"/>
      <c r="Q130" s="7" t="s">
        <v>48</v>
      </c>
      <c r="R130" s="25"/>
      <c r="S130" s="24"/>
      <c r="T130" s="24"/>
      <c r="U130" s="24"/>
      <c r="V130" s="25"/>
      <c r="W130" s="24"/>
      <c r="X130" s="25"/>
      <c r="Y130" s="13">
        <v>27706</v>
      </c>
      <c r="Z130" s="13">
        <v>34</v>
      </c>
      <c r="AA130" s="13">
        <v>21</v>
      </c>
      <c r="AB130" s="13">
        <v>9</v>
      </c>
      <c r="AC130" s="13">
        <v>2</v>
      </c>
      <c r="AD130" s="13">
        <v>1455.94</v>
      </c>
      <c r="AE130" s="13">
        <v>1455.94</v>
      </c>
      <c r="AF130" s="26">
        <f t="shared" si="5"/>
        <v>582.37600000000009</v>
      </c>
      <c r="AG130" s="27" t="s">
        <v>1283</v>
      </c>
    </row>
    <row r="131" spans="1:33" ht="54" x14ac:dyDescent="0.35">
      <c r="A131" s="15">
        <v>167</v>
      </c>
      <c r="B131" s="16">
        <v>167</v>
      </c>
      <c r="C131" s="17" t="s">
        <v>318</v>
      </c>
      <c r="D131" s="18">
        <v>2017</v>
      </c>
      <c r="E131" s="19" t="s">
        <v>321</v>
      </c>
      <c r="F131" s="16" t="s">
        <v>322</v>
      </c>
      <c r="G131" s="7" t="s">
        <v>46</v>
      </c>
      <c r="H131" s="16" t="s">
        <v>47</v>
      </c>
      <c r="I131" s="20">
        <v>84910</v>
      </c>
      <c r="J131" s="21">
        <v>121.3</v>
      </c>
      <c r="K131" s="16">
        <f>3.2*0.8*48</f>
        <v>122.88000000000002</v>
      </c>
      <c r="L131" s="22">
        <f t="shared" si="6"/>
        <v>1.3025556471558231E-2</v>
      </c>
      <c r="M131" s="28">
        <v>1</v>
      </c>
      <c r="N131" s="7">
        <v>0</v>
      </c>
      <c r="O131" s="7"/>
      <c r="P131" s="24"/>
      <c r="Q131" s="7" t="s">
        <v>48</v>
      </c>
      <c r="R131" s="25"/>
      <c r="S131" s="24"/>
      <c r="T131" s="24"/>
      <c r="U131" s="24"/>
      <c r="V131" s="25"/>
      <c r="W131" s="24"/>
      <c r="X131" s="25"/>
      <c r="Y131" s="13">
        <v>11540</v>
      </c>
      <c r="Z131" s="13">
        <v>15</v>
      </c>
      <c r="AA131" s="13">
        <v>15</v>
      </c>
      <c r="AB131" s="13">
        <v>5</v>
      </c>
      <c r="AC131" s="13">
        <v>2</v>
      </c>
      <c r="AD131" s="13">
        <v>659.65</v>
      </c>
      <c r="AE131" s="13">
        <v>659.65</v>
      </c>
      <c r="AF131" s="26">
        <f t="shared" si="5"/>
        <v>263.86</v>
      </c>
      <c r="AG131" s="27" t="s">
        <v>1284</v>
      </c>
    </row>
    <row r="132" spans="1:33" ht="36" x14ac:dyDescent="0.35">
      <c r="A132" s="15">
        <v>168</v>
      </c>
      <c r="B132" s="16">
        <v>168</v>
      </c>
      <c r="C132" s="17" t="s">
        <v>318</v>
      </c>
      <c r="D132" s="18">
        <v>2017</v>
      </c>
      <c r="E132" s="19" t="s">
        <v>323</v>
      </c>
      <c r="F132" s="16" t="s">
        <v>324</v>
      </c>
      <c r="G132" s="7" t="s">
        <v>38</v>
      </c>
      <c r="H132" s="16" t="s">
        <v>39</v>
      </c>
      <c r="I132" s="20">
        <v>37100</v>
      </c>
      <c r="J132" s="21">
        <v>53</v>
      </c>
      <c r="K132" s="16">
        <f>(60*2+12*2)*1.7</f>
        <v>244.79999999999998</v>
      </c>
      <c r="L132" s="22">
        <f t="shared" si="6"/>
        <v>3.6188679245283017</v>
      </c>
      <c r="M132" s="28"/>
      <c r="N132" s="7">
        <v>0</v>
      </c>
      <c r="O132" s="7"/>
      <c r="P132" s="24"/>
      <c r="Q132" s="7" t="s">
        <v>48</v>
      </c>
      <c r="R132" s="25"/>
      <c r="S132" s="24"/>
      <c r="T132" s="24"/>
      <c r="U132" s="24"/>
      <c r="V132" s="25"/>
      <c r="W132" s="24"/>
      <c r="X132" s="25"/>
      <c r="Y132" s="13">
        <v>13985</v>
      </c>
      <c r="Z132" s="13">
        <v>15</v>
      </c>
      <c r="AA132" s="13">
        <v>15</v>
      </c>
      <c r="AB132" s="13">
        <v>5</v>
      </c>
      <c r="AC132" s="13">
        <v>2</v>
      </c>
      <c r="AD132" s="13">
        <v>916.83</v>
      </c>
      <c r="AE132" s="13">
        <v>916.83</v>
      </c>
      <c r="AF132" s="26">
        <f t="shared" ref="AF132:AF195" si="7">AE132*0.4</f>
        <v>366.73200000000003</v>
      </c>
      <c r="AG132" s="27" t="s">
        <v>1285</v>
      </c>
    </row>
    <row r="133" spans="1:33" s="44" customFormat="1" ht="36" x14ac:dyDescent="0.35">
      <c r="A133" s="32">
        <v>170</v>
      </c>
      <c r="B133" s="33">
        <v>170</v>
      </c>
      <c r="C133" s="34" t="s">
        <v>318</v>
      </c>
      <c r="D133" s="35">
        <v>2017</v>
      </c>
      <c r="E133" s="36" t="s">
        <v>325</v>
      </c>
      <c r="F133" s="33" t="s">
        <v>326</v>
      </c>
      <c r="G133" s="37" t="s">
        <v>38</v>
      </c>
      <c r="H133" s="33" t="s">
        <v>39</v>
      </c>
      <c r="I133" s="38">
        <v>647500</v>
      </c>
      <c r="J133" s="39">
        <v>925</v>
      </c>
      <c r="K133" s="33">
        <f>(60*2+12.9*2)*2.5</f>
        <v>364.5</v>
      </c>
      <c r="L133" s="40">
        <f t="shared" si="6"/>
        <v>-0.60594594594594597</v>
      </c>
      <c r="M133" s="41">
        <v>1</v>
      </c>
      <c r="N133" s="37">
        <v>0</v>
      </c>
      <c r="O133" s="37"/>
      <c r="P133" s="42"/>
      <c r="Q133" s="37" t="s">
        <v>48</v>
      </c>
      <c r="R133" s="43"/>
      <c r="S133" s="42"/>
      <c r="T133" s="42"/>
      <c r="U133" s="42"/>
      <c r="V133" s="43"/>
      <c r="W133" s="42"/>
      <c r="X133" s="43"/>
      <c r="Y133" s="26"/>
      <c r="Z133" s="26"/>
      <c r="AA133" s="26"/>
      <c r="AB133" s="26"/>
      <c r="AC133" s="13">
        <v>2</v>
      </c>
      <c r="AD133" s="26">
        <v>439.28</v>
      </c>
      <c r="AE133" s="26">
        <v>49.28</v>
      </c>
      <c r="AF133" s="26">
        <f t="shared" si="7"/>
        <v>19.712000000000003</v>
      </c>
    </row>
    <row r="134" spans="1:33" ht="36" x14ac:dyDescent="0.35">
      <c r="A134" s="15">
        <v>171</v>
      </c>
      <c r="B134" s="16">
        <v>171</v>
      </c>
      <c r="C134" s="17" t="s">
        <v>327</v>
      </c>
      <c r="D134" s="18">
        <v>2017</v>
      </c>
      <c r="E134" s="19" t="s">
        <v>328</v>
      </c>
      <c r="F134" s="16" t="s">
        <v>329</v>
      </c>
      <c r="G134" s="7" t="s">
        <v>38</v>
      </c>
      <c r="H134" s="16" t="s">
        <v>39</v>
      </c>
      <c r="I134" s="20">
        <v>418600</v>
      </c>
      <c r="J134" s="21">
        <v>598</v>
      </c>
      <c r="K134" s="16">
        <f>(28.45*2+11.15*2)*2.5</f>
        <v>198</v>
      </c>
      <c r="L134" s="22">
        <f t="shared" si="6"/>
        <v>-0.66889632107023411</v>
      </c>
      <c r="M134" s="28">
        <v>1</v>
      </c>
      <c r="N134" s="7">
        <v>0</v>
      </c>
      <c r="O134" s="7"/>
      <c r="P134" s="24"/>
      <c r="Q134" s="7" t="s">
        <v>48</v>
      </c>
      <c r="R134" s="25"/>
      <c r="S134" s="24"/>
      <c r="T134" s="24"/>
      <c r="U134" s="24"/>
      <c r="V134" s="25"/>
      <c r="W134" s="24"/>
      <c r="X134" s="25"/>
      <c r="Y134" s="13">
        <v>3760</v>
      </c>
      <c r="Z134" s="13">
        <v>9.8000000000000007</v>
      </c>
      <c r="AA134" s="13">
        <v>10</v>
      </c>
      <c r="AB134" s="13">
        <v>3</v>
      </c>
      <c r="AC134" s="13">
        <v>2</v>
      </c>
      <c r="AD134" s="13">
        <v>369.73</v>
      </c>
      <c r="AE134" s="13">
        <v>369.73</v>
      </c>
      <c r="AF134" s="26">
        <f t="shared" si="7"/>
        <v>147.89200000000002</v>
      </c>
      <c r="AG134" s="27" t="s">
        <v>1286</v>
      </c>
    </row>
    <row r="135" spans="1:33" ht="36" x14ac:dyDescent="0.35">
      <c r="A135" s="15">
        <v>172</v>
      </c>
      <c r="B135" s="16">
        <v>172</v>
      </c>
      <c r="C135" s="17" t="s">
        <v>327</v>
      </c>
      <c r="D135" s="18">
        <v>2017</v>
      </c>
      <c r="E135" s="19" t="s">
        <v>330</v>
      </c>
      <c r="F135" s="16" t="s">
        <v>331</v>
      </c>
      <c r="G135" s="7" t="s">
        <v>38</v>
      </c>
      <c r="H135" s="16" t="s">
        <v>39</v>
      </c>
      <c r="I135" s="20">
        <v>253820</v>
      </c>
      <c r="J135" s="21">
        <v>362.6</v>
      </c>
      <c r="K135" s="16">
        <f>(56.9*4+11.5*4)*2.5</f>
        <v>684</v>
      </c>
      <c r="L135" s="22">
        <f t="shared" si="6"/>
        <v>0.88637617209045771</v>
      </c>
      <c r="M135" s="28"/>
      <c r="N135" s="7">
        <v>0</v>
      </c>
      <c r="O135" s="7"/>
      <c r="P135" s="24"/>
      <c r="Q135" s="7" t="s">
        <v>48</v>
      </c>
      <c r="R135" s="25"/>
      <c r="S135" s="24"/>
      <c r="T135" s="24"/>
      <c r="U135" s="24"/>
      <c r="V135" s="25"/>
      <c r="W135" s="24"/>
      <c r="X135" s="25"/>
      <c r="Y135" s="13">
        <v>16501</v>
      </c>
      <c r="Z135" s="13">
        <v>12.6</v>
      </c>
      <c r="AA135" s="13">
        <v>13</v>
      </c>
      <c r="AB135" s="13">
        <v>4</v>
      </c>
      <c r="AC135" s="13">
        <v>2</v>
      </c>
      <c r="AD135" s="13">
        <v>921.43</v>
      </c>
      <c r="AE135" s="13">
        <v>921.43</v>
      </c>
      <c r="AF135" s="26">
        <f t="shared" si="7"/>
        <v>368.572</v>
      </c>
      <c r="AG135" s="27" t="s">
        <v>1287</v>
      </c>
    </row>
    <row r="136" spans="1:33" ht="52.8" customHeight="1" x14ac:dyDescent="0.35">
      <c r="A136" s="15">
        <v>173</v>
      </c>
      <c r="B136" s="16">
        <v>173</v>
      </c>
      <c r="C136" s="17" t="s">
        <v>327</v>
      </c>
      <c r="D136" s="18">
        <v>2016</v>
      </c>
      <c r="E136" s="19" t="s">
        <v>332</v>
      </c>
      <c r="F136" s="16" t="s">
        <v>333</v>
      </c>
      <c r="G136" s="7" t="s">
        <v>46</v>
      </c>
      <c r="H136" s="16" t="s">
        <v>47</v>
      </c>
      <c r="I136" s="20">
        <v>45500</v>
      </c>
      <c r="J136" s="21">
        <v>65</v>
      </c>
      <c r="K136" s="16"/>
      <c r="L136" s="22">
        <f t="shared" si="6"/>
        <v>-1</v>
      </c>
      <c r="M136" s="28" t="s">
        <v>334</v>
      </c>
      <c r="N136" s="7">
        <v>0</v>
      </c>
      <c r="O136" s="7"/>
      <c r="P136" s="24"/>
      <c r="Q136" s="7" t="s">
        <v>48</v>
      </c>
      <c r="R136" s="25"/>
      <c r="S136" s="24"/>
      <c r="T136" s="24"/>
      <c r="U136" s="24"/>
      <c r="V136" s="25"/>
      <c r="W136" s="24"/>
      <c r="X136" s="25"/>
      <c r="Y136" s="13">
        <v>17310</v>
      </c>
      <c r="Z136" s="13">
        <v>12</v>
      </c>
      <c r="AA136" s="13">
        <v>12</v>
      </c>
      <c r="AB136" s="13">
        <v>4</v>
      </c>
      <c r="AC136" s="13">
        <v>2</v>
      </c>
      <c r="AD136" s="13">
        <v>846.39</v>
      </c>
      <c r="AE136" s="13">
        <v>846.39</v>
      </c>
      <c r="AF136" s="26">
        <f t="shared" si="7"/>
        <v>338.55600000000004</v>
      </c>
      <c r="AG136" s="27" t="s">
        <v>1288</v>
      </c>
    </row>
    <row r="137" spans="1:33" ht="57.6" customHeight="1" x14ac:dyDescent="0.35">
      <c r="A137" s="15">
        <v>174</v>
      </c>
      <c r="B137" s="16">
        <v>174</v>
      </c>
      <c r="C137" s="17" t="s">
        <v>335</v>
      </c>
      <c r="D137" s="18">
        <v>2017</v>
      </c>
      <c r="E137" s="19" t="s">
        <v>336</v>
      </c>
      <c r="F137" s="16" t="s">
        <v>337</v>
      </c>
      <c r="G137" s="7" t="s">
        <v>46</v>
      </c>
      <c r="H137" s="16" t="s">
        <v>47</v>
      </c>
      <c r="I137" s="20">
        <v>4704</v>
      </c>
      <c r="J137" s="21">
        <v>6.72</v>
      </c>
      <c r="K137" s="16"/>
      <c r="L137" s="28"/>
      <c r="M137" s="28"/>
      <c r="N137" s="7" t="s">
        <v>53</v>
      </c>
      <c r="O137" s="7" t="s">
        <v>40</v>
      </c>
      <c r="P137" s="24"/>
      <c r="Q137" s="7" t="s">
        <v>41</v>
      </c>
      <c r="R137" s="25">
        <v>271546.90999999997</v>
      </c>
      <c r="S137" s="24"/>
      <c r="T137" s="24" t="s">
        <v>42</v>
      </c>
      <c r="U137" s="24" t="s">
        <v>42</v>
      </c>
      <c r="V137" s="25">
        <v>271546.90999999997</v>
      </c>
      <c r="W137" s="24"/>
      <c r="X137" s="25"/>
      <c r="Y137" s="13">
        <v>2310</v>
      </c>
      <c r="Z137" s="13">
        <v>6.3</v>
      </c>
      <c r="AA137" s="13">
        <v>7</v>
      </c>
      <c r="AB137" s="13">
        <v>2</v>
      </c>
      <c r="AC137" s="13">
        <v>2</v>
      </c>
      <c r="AD137" s="13">
        <v>193.98</v>
      </c>
      <c r="AE137" s="13"/>
      <c r="AF137" s="26">
        <f t="shared" si="7"/>
        <v>0</v>
      </c>
      <c r="AG137" s="27" t="s">
        <v>1289</v>
      </c>
    </row>
    <row r="138" spans="1:33" ht="54" x14ac:dyDescent="0.35">
      <c r="A138" s="15">
        <v>175</v>
      </c>
      <c r="B138" s="16">
        <v>175</v>
      </c>
      <c r="C138" s="17" t="s">
        <v>335</v>
      </c>
      <c r="D138" s="18">
        <v>2017</v>
      </c>
      <c r="E138" s="19" t="s">
        <v>338</v>
      </c>
      <c r="F138" s="16" t="s">
        <v>339</v>
      </c>
      <c r="G138" s="7" t="s">
        <v>46</v>
      </c>
      <c r="H138" s="16" t="s">
        <v>47</v>
      </c>
      <c r="I138" s="20">
        <v>4704</v>
      </c>
      <c r="J138" s="21">
        <v>6.72</v>
      </c>
      <c r="K138" s="16">
        <f>1.8*1*4</f>
        <v>7.2</v>
      </c>
      <c r="L138" s="22">
        <f t="shared" si="6"/>
        <v>7.1428571428571397E-2</v>
      </c>
      <c r="M138" s="28">
        <v>1</v>
      </c>
      <c r="N138" s="7">
        <v>0</v>
      </c>
      <c r="O138" s="7"/>
      <c r="P138" s="24"/>
      <c r="Q138" s="7" t="s">
        <v>48</v>
      </c>
      <c r="R138" s="25"/>
      <c r="S138" s="24"/>
      <c r="T138" s="24"/>
      <c r="U138" s="24"/>
      <c r="V138" s="25"/>
      <c r="W138" s="24"/>
      <c r="X138" s="25"/>
      <c r="Y138" s="13">
        <v>2325</v>
      </c>
      <c r="Z138" s="13">
        <v>6.3</v>
      </c>
      <c r="AA138" s="13">
        <v>7</v>
      </c>
      <c r="AB138" s="13">
        <v>2</v>
      </c>
      <c r="AC138" s="13">
        <v>2</v>
      </c>
      <c r="AD138" s="13">
        <v>194.64</v>
      </c>
      <c r="AE138" s="13">
        <v>194.64</v>
      </c>
      <c r="AF138" s="26">
        <f t="shared" si="7"/>
        <v>77.855999999999995</v>
      </c>
      <c r="AG138" s="27" t="s">
        <v>1290</v>
      </c>
    </row>
    <row r="139" spans="1:33" ht="60" customHeight="1" x14ac:dyDescent="0.35">
      <c r="A139" s="15">
        <v>176</v>
      </c>
      <c r="B139" s="16">
        <v>176</v>
      </c>
      <c r="C139" s="17" t="s">
        <v>335</v>
      </c>
      <c r="D139" s="18">
        <v>2017</v>
      </c>
      <c r="E139" s="19" t="s">
        <v>340</v>
      </c>
      <c r="F139" s="16" t="s">
        <v>341</v>
      </c>
      <c r="G139" s="7" t="s">
        <v>46</v>
      </c>
      <c r="H139" s="16" t="s">
        <v>47</v>
      </c>
      <c r="I139" s="20">
        <v>16779</v>
      </c>
      <c r="J139" s="21">
        <v>23.97</v>
      </c>
      <c r="K139" s="16"/>
      <c r="L139" s="28"/>
      <c r="M139" s="28"/>
      <c r="N139" s="7" t="s">
        <v>53</v>
      </c>
      <c r="O139" s="7" t="s">
        <v>54</v>
      </c>
      <c r="P139" s="24"/>
      <c r="Q139" s="7" t="s">
        <v>54</v>
      </c>
      <c r="R139" s="25">
        <v>772724.24</v>
      </c>
      <c r="S139" s="24"/>
      <c r="T139" s="24" t="s">
        <v>42</v>
      </c>
      <c r="U139" s="24" t="s">
        <v>42</v>
      </c>
      <c r="V139" s="25"/>
      <c r="W139" s="24"/>
      <c r="X139" s="25">
        <v>1433838.39</v>
      </c>
      <c r="Y139" s="13"/>
      <c r="Z139" s="13"/>
      <c r="AA139" s="13"/>
      <c r="AB139" s="13"/>
      <c r="AC139" s="13">
        <v>2</v>
      </c>
      <c r="AD139" s="13"/>
      <c r="AE139" s="13"/>
      <c r="AF139" s="26">
        <f t="shared" si="7"/>
        <v>0</v>
      </c>
    </row>
    <row r="140" spans="1:33" ht="60" customHeight="1" x14ac:dyDescent="0.35">
      <c r="A140" s="15">
        <v>177</v>
      </c>
      <c r="B140" s="16">
        <v>177</v>
      </c>
      <c r="C140" s="17" t="s">
        <v>335</v>
      </c>
      <c r="D140" s="18">
        <v>2017</v>
      </c>
      <c r="E140" s="19" t="s">
        <v>342</v>
      </c>
      <c r="F140" s="16" t="s">
        <v>343</v>
      </c>
      <c r="G140" s="7" t="s">
        <v>46</v>
      </c>
      <c r="H140" s="16" t="s">
        <v>47</v>
      </c>
      <c r="I140" s="20">
        <v>16779</v>
      </c>
      <c r="J140" s="21">
        <v>23.97</v>
      </c>
      <c r="K140" s="16"/>
      <c r="L140" s="28"/>
      <c r="M140" s="28"/>
      <c r="N140" s="7" t="s">
        <v>53</v>
      </c>
      <c r="O140" s="7" t="s">
        <v>54</v>
      </c>
      <c r="P140" s="24"/>
      <c r="Q140" s="7" t="s">
        <v>54</v>
      </c>
      <c r="R140" s="25">
        <v>772724.24</v>
      </c>
      <c r="S140" s="24"/>
      <c r="T140" s="24" t="s">
        <v>42</v>
      </c>
      <c r="U140" s="24" t="s">
        <v>42</v>
      </c>
      <c r="V140" s="25"/>
      <c r="W140" s="24" t="s">
        <v>344</v>
      </c>
      <c r="X140" s="25"/>
      <c r="Y140" s="13">
        <v>10617</v>
      </c>
      <c r="Z140" s="13">
        <v>9.9</v>
      </c>
      <c r="AA140" s="13">
        <v>10</v>
      </c>
      <c r="AB140" s="13">
        <v>3</v>
      </c>
      <c r="AC140" s="13">
        <v>2</v>
      </c>
      <c r="AD140" s="13">
        <v>565.51</v>
      </c>
      <c r="AE140" s="13">
        <v>565.51</v>
      </c>
      <c r="AF140" s="26">
        <f t="shared" si="7"/>
        <v>226.20400000000001</v>
      </c>
      <c r="AG140" s="27" t="s">
        <v>1291</v>
      </c>
    </row>
    <row r="141" spans="1:33" ht="60" customHeight="1" x14ac:dyDescent="0.35">
      <c r="A141" s="15">
        <v>178</v>
      </c>
      <c r="B141" s="16">
        <v>178</v>
      </c>
      <c r="C141" s="17" t="s">
        <v>335</v>
      </c>
      <c r="D141" s="18">
        <v>2017</v>
      </c>
      <c r="E141" s="19" t="s">
        <v>345</v>
      </c>
      <c r="F141" s="16" t="s">
        <v>346</v>
      </c>
      <c r="G141" s="7" t="s">
        <v>46</v>
      </c>
      <c r="H141" s="16" t="s">
        <v>47</v>
      </c>
      <c r="I141" s="20">
        <v>84000</v>
      </c>
      <c r="J141" s="21">
        <v>120</v>
      </c>
      <c r="K141" s="16"/>
      <c r="L141" s="28"/>
      <c r="M141" s="28"/>
      <c r="N141" s="7" t="s">
        <v>53</v>
      </c>
      <c r="O141" s="7" t="s">
        <v>54</v>
      </c>
      <c r="P141" s="24"/>
      <c r="Q141" s="7" t="s">
        <v>54</v>
      </c>
      <c r="R141" s="25">
        <v>3648387</v>
      </c>
      <c r="S141" s="24"/>
      <c r="T141" s="24" t="s">
        <v>42</v>
      </c>
      <c r="U141" s="24" t="s">
        <v>42</v>
      </c>
      <c r="V141" s="25"/>
      <c r="W141" s="24"/>
      <c r="X141" s="25">
        <v>3648387</v>
      </c>
      <c r="Y141" s="13"/>
      <c r="Z141" s="13"/>
      <c r="AA141" s="13"/>
      <c r="AB141" s="13"/>
      <c r="AC141" s="13">
        <v>2</v>
      </c>
      <c r="AD141" s="13"/>
      <c r="AE141" s="13"/>
      <c r="AF141" s="26">
        <f t="shared" si="7"/>
        <v>0</v>
      </c>
    </row>
    <row r="142" spans="1:33" ht="52.8" customHeight="1" x14ac:dyDescent="0.35">
      <c r="A142" s="15">
        <v>179</v>
      </c>
      <c r="B142" s="16">
        <v>179</v>
      </c>
      <c r="C142" s="17" t="s">
        <v>335</v>
      </c>
      <c r="D142" s="18">
        <v>2017</v>
      </c>
      <c r="E142" s="19" t="s">
        <v>347</v>
      </c>
      <c r="F142" s="16" t="s">
        <v>348</v>
      </c>
      <c r="G142" s="7" t="s">
        <v>46</v>
      </c>
      <c r="H142" s="16" t="s">
        <v>47</v>
      </c>
      <c r="I142" s="20">
        <v>8050</v>
      </c>
      <c r="J142" s="21">
        <v>11.5</v>
      </c>
      <c r="K142" s="16"/>
      <c r="L142" s="28"/>
      <c r="M142" s="28"/>
      <c r="N142" s="7" t="s">
        <v>53</v>
      </c>
      <c r="O142" s="7" t="s">
        <v>54</v>
      </c>
      <c r="P142" s="24"/>
      <c r="Q142" s="7" t="s">
        <v>54</v>
      </c>
      <c r="R142" s="25">
        <v>1397919.5</v>
      </c>
      <c r="S142" s="24"/>
      <c r="T142" s="24" t="s">
        <v>42</v>
      </c>
      <c r="U142" s="24" t="s">
        <v>42</v>
      </c>
      <c r="V142" s="25"/>
      <c r="W142" s="24"/>
      <c r="X142" s="25">
        <v>1397919.48</v>
      </c>
      <c r="Y142" s="13"/>
      <c r="Z142" s="13"/>
      <c r="AA142" s="13"/>
      <c r="AB142" s="13"/>
      <c r="AC142" s="13">
        <v>2</v>
      </c>
      <c r="AD142" s="13"/>
      <c r="AE142" s="13"/>
      <c r="AF142" s="26">
        <f t="shared" si="7"/>
        <v>0</v>
      </c>
    </row>
    <row r="143" spans="1:33" ht="46.2" customHeight="1" x14ac:dyDescent="0.35">
      <c r="A143" s="15">
        <v>180</v>
      </c>
      <c r="B143" s="16">
        <v>180</v>
      </c>
      <c r="C143" s="17" t="s">
        <v>335</v>
      </c>
      <c r="D143" s="18">
        <v>2018</v>
      </c>
      <c r="E143" s="19" t="s">
        <v>349</v>
      </c>
      <c r="F143" s="16" t="s">
        <v>350</v>
      </c>
      <c r="G143" s="7" t="s">
        <v>38</v>
      </c>
      <c r="H143" s="16" t="s">
        <v>39</v>
      </c>
      <c r="I143" s="20">
        <v>225995</v>
      </c>
      <c r="J143" s="21">
        <v>293.5</v>
      </c>
      <c r="K143" s="16"/>
      <c r="L143" s="28"/>
      <c r="M143" s="28" t="s">
        <v>351</v>
      </c>
      <c r="N143" s="7" t="s">
        <v>53</v>
      </c>
      <c r="O143" s="7" t="s">
        <v>40</v>
      </c>
      <c r="P143" s="24"/>
      <c r="Q143" s="7" t="s">
        <v>54</v>
      </c>
      <c r="R143" s="25">
        <v>2684574.18</v>
      </c>
      <c r="S143" s="24" t="s">
        <v>42</v>
      </c>
      <c r="T143" s="24"/>
      <c r="U143" s="24"/>
      <c r="V143" s="25"/>
      <c r="W143" s="24" t="s">
        <v>344</v>
      </c>
      <c r="X143" s="25"/>
      <c r="Y143" s="13">
        <v>8367</v>
      </c>
      <c r="Z143" s="13">
        <v>13</v>
      </c>
      <c r="AA143" s="13">
        <v>13</v>
      </c>
      <c r="AB143" s="13">
        <v>4</v>
      </c>
      <c r="AC143" s="13">
        <v>2</v>
      </c>
      <c r="AD143" s="13">
        <v>626.86</v>
      </c>
      <c r="AE143" s="13">
        <v>626.86</v>
      </c>
      <c r="AF143" s="26">
        <f t="shared" si="7"/>
        <v>250.74400000000003</v>
      </c>
      <c r="AG143" s="27" t="s">
        <v>1292</v>
      </c>
    </row>
    <row r="144" spans="1:33" ht="36" x14ac:dyDescent="0.35">
      <c r="A144" s="15">
        <v>182</v>
      </c>
      <c r="B144" s="16">
        <v>182</v>
      </c>
      <c r="C144" s="17" t="s">
        <v>335</v>
      </c>
      <c r="D144" s="18">
        <v>2018</v>
      </c>
      <c r="E144" s="19" t="s">
        <v>352</v>
      </c>
      <c r="F144" s="16" t="s">
        <v>353</v>
      </c>
      <c r="G144" s="7" t="s">
        <v>38</v>
      </c>
      <c r="H144" s="16" t="s">
        <v>39</v>
      </c>
      <c r="I144" s="20">
        <v>438361</v>
      </c>
      <c r="J144" s="21">
        <v>569.29999999999995</v>
      </c>
      <c r="K144" s="16">
        <f>(43.58*2+25.55*2)*2.5</f>
        <v>345.65</v>
      </c>
      <c r="L144" s="22">
        <f>(K144/J144)-1</f>
        <v>-0.39285086948884596</v>
      </c>
      <c r="M144" s="28">
        <v>1</v>
      </c>
      <c r="N144" s="7">
        <v>0</v>
      </c>
      <c r="O144" s="7"/>
      <c r="P144" s="24"/>
      <c r="Q144" s="7" t="s">
        <v>48</v>
      </c>
      <c r="R144" s="25"/>
      <c r="S144" s="24"/>
      <c r="T144" s="24"/>
      <c r="U144" s="24"/>
      <c r="V144" s="25"/>
      <c r="W144" s="24"/>
      <c r="X144" s="25"/>
      <c r="Y144" s="13">
        <v>8454</v>
      </c>
      <c r="Z144" s="13">
        <v>10</v>
      </c>
      <c r="AA144" s="13">
        <v>10</v>
      </c>
      <c r="AB144" s="13">
        <v>3</v>
      </c>
      <c r="AC144" s="13">
        <v>2</v>
      </c>
      <c r="AD144" s="13">
        <v>558.4</v>
      </c>
      <c r="AE144" s="13">
        <v>558.4</v>
      </c>
      <c r="AF144" s="26">
        <f t="shared" si="7"/>
        <v>223.36</v>
      </c>
      <c r="AG144" s="27" t="s">
        <v>1293</v>
      </c>
    </row>
    <row r="145" spans="1:33" ht="57.6" customHeight="1" x14ac:dyDescent="0.35">
      <c r="A145" s="15">
        <v>184</v>
      </c>
      <c r="B145" s="16">
        <v>184</v>
      </c>
      <c r="C145" s="17" t="s">
        <v>335</v>
      </c>
      <c r="D145" s="18">
        <v>2017</v>
      </c>
      <c r="E145" s="19" t="s">
        <v>354</v>
      </c>
      <c r="F145" s="16" t="s">
        <v>355</v>
      </c>
      <c r="G145" s="7" t="s">
        <v>46</v>
      </c>
      <c r="H145" s="16" t="s">
        <v>47</v>
      </c>
      <c r="I145" s="20">
        <v>77000</v>
      </c>
      <c r="J145" s="21">
        <v>110</v>
      </c>
      <c r="K145" s="16">
        <v>107.5</v>
      </c>
      <c r="L145" s="28"/>
      <c r="M145" s="28"/>
      <c r="N145" s="7" t="s">
        <v>87</v>
      </c>
      <c r="O145" s="7" t="s">
        <v>54</v>
      </c>
      <c r="P145" s="24" t="s">
        <v>88</v>
      </c>
      <c r="Q145" s="7" t="s">
        <v>54</v>
      </c>
      <c r="R145" s="25">
        <v>7387062.4299999997</v>
      </c>
      <c r="S145" s="24"/>
      <c r="T145" s="24" t="s">
        <v>42</v>
      </c>
      <c r="U145" s="24" t="s">
        <v>42</v>
      </c>
      <c r="V145" s="25"/>
      <c r="W145" s="24"/>
      <c r="X145" s="25">
        <v>7382062.4299999997</v>
      </c>
      <c r="Y145" s="13"/>
      <c r="Z145" s="13"/>
      <c r="AA145" s="13"/>
      <c r="AB145" s="13"/>
      <c r="AC145" s="13">
        <v>2</v>
      </c>
      <c r="AD145" s="13"/>
      <c r="AE145" s="13"/>
      <c r="AF145" s="26">
        <f t="shared" si="7"/>
        <v>0</v>
      </c>
    </row>
    <row r="146" spans="1:33" ht="36" x14ac:dyDescent="0.35">
      <c r="A146" s="15">
        <v>185</v>
      </c>
      <c r="B146" s="16">
        <v>185</v>
      </c>
      <c r="C146" s="17" t="s">
        <v>335</v>
      </c>
      <c r="D146" s="18">
        <v>2017</v>
      </c>
      <c r="E146" s="19" t="s">
        <v>356</v>
      </c>
      <c r="F146" s="16" t="s">
        <v>357</v>
      </c>
      <c r="G146" s="7" t="s">
        <v>38</v>
      </c>
      <c r="H146" s="16" t="s">
        <v>39</v>
      </c>
      <c r="I146" s="20">
        <v>552510</v>
      </c>
      <c r="J146" s="21">
        <v>789.3</v>
      </c>
      <c r="K146" s="16">
        <f>(47.87*2+13.84*2)*2.5</f>
        <v>308.54999999999995</v>
      </c>
      <c r="L146" s="22">
        <f>(K146/J146)-1</f>
        <v>-0.60908399847966554</v>
      </c>
      <c r="M146" s="28" t="s">
        <v>358</v>
      </c>
      <c r="N146" s="7">
        <v>0</v>
      </c>
      <c r="O146" s="7"/>
      <c r="P146" s="24"/>
      <c r="Q146" s="7" t="s">
        <v>48</v>
      </c>
      <c r="R146" s="25"/>
      <c r="S146" s="24" t="s">
        <v>42</v>
      </c>
      <c r="T146" s="24"/>
      <c r="U146" s="24"/>
      <c r="V146" s="25"/>
      <c r="W146" s="24"/>
      <c r="X146" s="25"/>
      <c r="Y146" s="13">
        <v>10296</v>
      </c>
      <c r="Z146" s="13">
        <v>11</v>
      </c>
      <c r="AA146" s="13">
        <v>11</v>
      </c>
      <c r="AB146" s="13">
        <v>4</v>
      </c>
      <c r="AC146" s="13">
        <v>2</v>
      </c>
      <c r="AD146" s="13">
        <v>722.23</v>
      </c>
      <c r="AE146" s="13">
        <v>722.23</v>
      </c>
      <c r="AF146" s="26">
        <f t="shared" si="7"/>
        <v>288.892</v>
      </c>
      <c r="AG146" s="27" t="s">
        <v>1294</v>
      </c>
    </row>
    <row r="147" spans="1:33" ht="55.8" customHeight="1" x14ac:dyDescent="0.35">
      <c r="A147" s="15">
        <v>186</v>
      </c>
      <c r="B147" s="16">
        <v>186</v>
      </c>
      <c r="C147" s="17" t="s">
        <v>335</v>
      </c>
      <c r="D147" s="18">
        <v>2017</v>
      </c>
      <c r="E147" s="19" t="s">
        <v>359</v>
      </c>
      <c r="F147" s="16" t="s">
        <v>360</v>
      </c>
      <c r="G147" s="7" t="s">
        <v>46</v>
      </c>
      <c r="H147" s="16" t="s">
        <v>47</v>
      </c>
      <c r="I147" s="20">
        <v>1750</v>
      </c>
      <c r="J147" s="21">
        <v>2.5</v>
      </c>
      <c r="K147" s="16"/>
      <c r="L147" s="28"/>
      <c r="M147" s="28"/>
      <c r="N147" s="7" t="s">
        <v>87</v>
      </c>
      <c r="O147" s="7" t="s">
        <v>54</v>
      </c>
      <c r="P147" s="24" t="s">
        <v>88</v>
      </c>
      <c r="Q147" s="7" t="s">
        <v>54</v>
      </c>
      <c r="R147" s="25">
        <v>5259770.72</v>
      </c>
      <c r="S147" s="24"/>
      <c r="T147" s="24" t="s">
        <v>42</v>
      </c>
      <c r="U147" s="24" t="s">
        <v>42</v>
      </c>
      <c r="V147" s="25"/>
      <c r="W147" s="24"/>
      <c r="X147" s="25">
        <v>5254770.72</v>
      </c>
      <c r="Y147" s="13"/>
      <c r="Z147" s="13"/>
      <c r="AA147" s="13"/>
      <c r="AB147" s="13"/>
      <c r="AC147" s="13">
        <v>2</v>
      </c>
      <c r="AD147" s="13"/>
      <c r="AE147" s="13"/>
      <c r="AF147" s="26">
        <f t="shared" si="7"/>
        <v>0</v>
      </c>
    </row>
    <row r="148" spans="1:33" ht="57" customHeight="1" x14ac:dyDescent="0.35">
      <c r="A148" s="15">
        <v>187</v>
      </c>
      <c r="B148" s="16">
        <v>187</v>
      </c>
      <c r="C148" s="17" t="s">
        <v>335</v>
      </c>
      <c r="D148" s="18">
        <v>2017</v>
      </c>
      <c r="E148" s="19" t="s">
        <v>361</v>
      </c>
      <c r="F148" s="16" t="s">
        <v>362</v>
      </c>
      <c r="G148" s="7" t="s">
        <v>46</v>
      </c>
      <c r="H148" s="16" t="s">
        <v>47</v>
      </c>
      <c r="I148" s="20">
        <v>1750</v>
      </c>
      <c r="J148" s="21">
        <v>2.5</v>
      </c>
      <c r="K148" s="16"/>
      <c r="L148" s="28"/>
      <c r="M148" s="28"/>
      <c r="N148" s="7" t="s">
        <v>87</v>
      </c>
      <c r="O148" s="7" t="s">
        <v>54</v>
      </c>
      <c r="P148" s="24" t="s">
        <v>88</v>
      </c>
      <c r="Q148" s="7" t="s">
        <v>54</v>
      </c>
      <c r="R148" s="25">
        <v>5304821.62</v>
      </c>
      <c r="S148" s="24"/>
      <c r="T148" s="24" t="s">
        <v>42</v>
      </c>
      <c r="U148" s="24" t="s">
        <v>42</v>
      </c>
      <c r="V148" s="25"/>
      <c r="W148" s="24"/>
      <c r="X148" s="25">
        <v>5305624.34</v>
      </c>
      <c r="Y148" s="13"/>
      <c r="Z148" s="13"/>
      <c r="AA148" s="13"/>
      <c r="AB148" s="13"/>
      <c r="AC148" s="13">
        <v>2</v>
      </c>
      <c r="AD148" s="13"/>
      <c r="AE148" s="13"/>
      <c r="AF148" s="26">
        <f t="shared" si="7"/>
        <v>0</v>
      </c>
    </row>
    <row r="149" spans="1:33" ht="57" customHeight="1" x14ac:dyDescent="0.35">
      <c r="A149" s="15">
        <v>188</v>
      </c>
      <c r="B149" s="16">
        <v>188</v>
      </c>
      <c r="C149" s="17" t="s">
        <v>335</v>
      </c>
      <c r="D149" s="18">
        <v>2017</v>
      </c>
      <c r="E149" s="19" t="s">
        <v>363</v>
      </c>
      <c r="F149" s="16" t="s">
        <v>364</v>
      </c>
      <c r="G149" s="7" t="s">
        <v>46</v>
      </c>
      <c r="H149" s="16" t="s">
        <v>47</v>
      </c>
      <c r="I149" s="20">
        <v>1750</v>
      </c>
      <c r="J149" s="21">
        <v>2.5</v>
      </c>
      <c r="K149" s="16"/>
      <c r="L149" s="28"/>
      <c r="M149" s="28"/>
      <c r="N149" s="7" t="s">
        <v>365</v>
      </c>
      <c r="O149" s="7" t="s">
        <v>54</v>
      </c>
      <c r="P149" s="24" t="s">
        <v>88</v>
      </c>
      <c r="Q149" s="7" t="s">
        <v>54</v>
      </c>
      <c r="R149" s="25">
        <v>5284820.24</v>
      </c>
      <c r="S149" s="24"/>
      <c r="T149" s="24" t="s">
        <v>42</v>
      </c>
      <c r="U149" s="24" t="s">
        <v>42</v>
      </c>
      <c r="V149" s="25"/>
      <c r="W149" s="24"/>
      <c r="X149" s="25">
        <v>5279820.24</v>
      </c>
      <c r="Y149" s="13"/>
      <c r="Z149" s="13"/>
      <c r="AA149" s="13"/>
      <c r="AB149" s="13"/>
      <c r="AC149" s="13">
        <v>2</v>
      </c>
      <c r="AD149" s="13"/>
      <c r="AE149" s="13"/>
      <c r="AF149" s="26">
        <f t="shared" si="7"/>
        <v>0</v>
      </c>
    </row>
    <row r="150" spans="1:33" ht="57" customHeight="1" x14ac:dyDescent="0.35">
      <c r="A150" s="15">
        <v>189</v>
      </c>
      <c r="B150" s="16">
        <v>189</v>
      </c>
      <c r="C150" s="17" t="s">
        <v>335</v>
      </c>
      <c r="D150" s="18">
        <v>2017</v>
      </c>
      <c r="E150" s="19" t="s">
        <v>366</v>
      </c>
      <c r="F150" s="16" t="s">
        <v>367</v>
      </c>
      <c r="G150" s="7" t="s">
        <v>46</v>
      </c>
      <c r="H150" s="16" t="s">
        <v>47</v>
      </c>
      <c r="I150" s="20">
        <v>16800</v>
      </c>
      <c r="J150" s="21">
        <v>24</v>
      </c>
      <c r="K150" s="16">
        <v>24</v>
      </c>
      <c r="L150" s="28"/>
      <c r="M150" s="28"/>
      <c r="N150" s="7" t="s">
        <v>53</v>
      </c>
      <c r="O150" s="7"/>
      <c r="P150" s="24"/>
      <c r="Q150" s="7" t="s">
        <v>54</v>
      </c>
      <c r="R150" s="25">
        <v>2224605.4700000002</v>
      </c>
      <c r="S150" s="24"/>
      <c r="T150" s="24" t="s">
        <v>42</v>
      </c>
      <c r="U150" s="24" t="s">
        <v>42</v>
      </c>
      <c r="V150" s="25"/>
      <c r="W150" s="24"/>
      <c r="X150" s="25">
        <v>1934520.89</v>
      </c>
      <c r="Y150" s="13"/>
      <c r="Z150" s="13"/>
      <c r="AA150" s="13"/>
      <c r="AB150" s="13"/>
      <c r="AC150" s="13">
        <v>2</v>
      </c>
      <c r="AD150" s="13"/>
      <c r="AE150" s="13"/>
      <c r="AF150" s="26">
        <f t="shared" si="7"/>
        <v>0</v>
      </c>
    </row>
    <row r="151" spans="1:33" ht="63" customHeight="1" x14ac:dyDescent="0.35">
      <c r="A151" s="15">
        <v>190</v>
      </c>
      <c r="B151" s="16">
        <v>190</v>
      </c>
      <c r="C151" s="17" t="s">
        <v>335</v>
      </c>
      <c r="D151" s="18">
        <v>2017</v>
      </c>
      <c r="E151" s="19" t="s">
        <v>368</v>
      </c>
      <c r="F151" s="16" t="s">
        <v>369</v>
      </c>
      <c r="G151" s="7" t="s">
        <v>46</v>
      </c>
      <c r="H151" s="16" t="s">
        <v>47</v>
      </c>
      <c r="I151" s="20">
        <v>1750</v>
      </c>
      <c r="J151" s="21">
        <v>2.5</v>
      </c>
      <c r="K151" s="16"/>
      <c r="L151" s="28"/>
      <c r="M151" s="28"/>
      <c r="N151" s="7" t="s">
        <v>365</v>
      </c>
      <c r="O151" s="7" t="s">
        <v>54</v>
      </c>
      <c r="P151" s="24" t="s">
        <v>88</v>
      </c>
      <c r="Q151" s="7" t="s">
        <v>54</v>
      </c>
      <c r="R151" s="25">
        <v>3790565.2</v>
      </c>
      <c r="S151" s="24"/>
      <c r="T151" s="24" t="s">
        <v>42</v>
      </c>
      <c r="U151" s="24" t="s">
        <v>42</v>
      </c>
      <c r="V151" s="25"/>
      <c r="W151" s="24"/>
      <c r="X151" s="25">
        <v>3785565.2</v>
      </c>
      <c r="Y151" s="13"/>
      <c r="Z151" s="13"/>
      <c r="AA151" s="13"/>
      <c r="AB151" s="13"/>
      <c r="AC151" s="13">
        <v>2</v>
      </c>
      <c r="AD151" s="13"/>
      <c r="AE151" s="13"/>
      <c r="AF151" s="26">
        <f t="shared" si="7"/>
        <v>0</v>
      </c>
    </row>
    <row r="152" spans="1:33" ht="54" x14ac:dyDescent="0.35">
      <c r="A152" s="15">
        <v>192</v>
      </c>
      <c r="B152" s="16">
        <v>192</v>
      </c>
      <c r="C152" s="17" t="s">
        <v>370</v>
      </c>
      <c r="D152" s="18">
        <v>2017</v>
      </c>
      <c r="E152" s="19" t="s">
        <v>371</v>
      </c>
      <c r="F152" s="16" t="s">
        <v>372</v>
      </c>
      <c r="G152" s="7" t="s">
        <v>46</v>
      </c>
      <c r="H152" s="16" t="s">
        <v>47</v>
      </c>
      <c r="I152" s="20">
        <v>54600</v>
      </c>
      <c r="J152" s="21">
        <v>78</v>
      </c>
      <c r="K152" s="16">
        <f>3.2*0.8*4</f>
        <v>10.240000000000002</v>
      </c>
      <c r="L152" s="22">
        <f t="shared" ref="L152:L158" si="8">(K152/J152)-1</f>
        <v>-0.86871794871794872</v>
      </c>
      <c r="M152" s="28">
        <v>1</v>
      </c>
      <c r="N152" s="7">
        <v>0</v>
      </c>
      <c r="O152" s="7"/>
      <c r="P152" s="24"/>
      <c r="Q152" s="7" t="s">
        <v>48</v>
      </c>
      <c r="R152" s="25"/>
      <c r="S152" s="24"/>
      <c r="T152" s="24" t="s">
        <v>42</v>
      </c>
      <c r="U152" s="24" t="s">
        <v>42</v>
      </c>
      <c r="V152" s="25">
        <v>5105748.3499999996</v>
      </c>
      <c r="W152" s="24"/>
      <c r="X152" s="25"/>
      <c r="Y152" s="13">
        <v>9295</v>
      </c>
      <c r="Z152" s="13">
        <v>11.55</v>
      </c>
      <c r="AA152" s="13">
        <v>12</v>
      </c>
      <c r="AB152" s="13">
        <v>4</v>
      </c>
      <c r="AC152" s="13">
        <v>2</v>
      </c>
      <c r="AD152" s="13">
        <v>548.97</v>
      </c>
      <c r="AE152" s="13"/>
      <c r="AF152" s="26">
        <f t="shared" si="7"/>
        <v>0</v>
      </c>
      <c r="AG152" s="27" t="s">
        <v>1295</v>
      </c>
    </row>
    <row r="153" spans="1:33" ht="54" x14ac:dyDescent="0.35">
      <c r="A153" s="15">
        <v>193</v>
      </c>
      <c r="B153" s="16">
        <v>193</v>
      </c>
      <c r="C153" s="17" t="s">
        <v>370</v>
      </c>
      <c r="D153" s="18">
        <v>2018</v>
      </c>
      <c r="E153" s="19" t="s">
        <v>373</v>
      </c>
      <c r="F153" s="16" t="s">
        <v>374</v>
      </c>
      <c r="G153" s="7" t="s">
        <v>38</v>
      </c>
      <c r="H153" s="16" t="s">
        <v>39</v>
      </c>
      <c r="I153" s="20">
        <v>56949.2</v>
      </c>
      <c r="J153" s="21">
        <v>73.959999999999994</v>
      </c>
      <c r="K153" s="16">
        <f>(21*2+15.86*2)*1.8</f>
        <v>132.696</v>
      </c>
      <c r="L153" s="22">
        <f t="shared" si="8"/>
        <v>0.79415900486749602</v>
      </c>
      <c r="M153" s="28" t="s">
        <v>375</v>
      </c>
      <c r="N153" s="7">
        <v>0</v>
      </c>
      <c r="O153" s="7"/>
      <c r="P153" s="24"/>
      <c r="Q153" s="7" t="s">
        <v>48</v>
      </c>
      <c r="R153" s="25"/>
      <c r="S153" s="24"/>
      <c r="T153" s="24"/>
      <c r="U153" s="24"/>
      <c r="V153" s="25"/>
      <c r="W153" s="24"/>
      <c r="X153" s="25"/>
      <c r="Y153" s="13">
        <v>2225</v>
      </c>
      <c r="Z153" s="13">
        <v>6.68</v>
      </c>
      <c r="AA153" s="13">
        <v>7</v>
      </c>
      <c r="AB153" s="13">
        <v>2</v>
      </c>
      <c r="AC153" s="13">
        <v>2</v>
      </c>
      <c r="AD153" s="13">
        <v>242.84</v>
      </c>
      <c r="AE153" s="13">
        <v>242.84</v>
      </c>
      <c r="AF153" s="26">
        <f t="shared" si="7"/>
        <v>97.13600000000001</v>
      </c>
      <c r="AG153" s="27" t="s">
        <v>1296</v>
      </c>
    </row>
    <row r="154" spans="1:33" ht="54" x14ac:dyDescent="0.35">
      <c r="A154" s="15">
        <v>195</v>
      </c>
      <c r="B154" s="16">
        <v>195</v>
      </c>
      <c r="C154" s="17" t="s">
        <v>370</v>
      </c>
      <c r="D154" s="18">
        <v>2016</v>
      </c>
      <c r="E154" s="19" t="s">
        <v>376</v>
      </c>
      <c r="F154" s="16" t="s">
        <v>377</v>
      </c>
      <c r="G154" s="7" t="s">
        <v>46</v>
      </c>
      <c r="H154" s="16" t="s">
        <v>47</v>
      </c>
      <c r="I154" s="20">
        <v>44100</v>
      </c>
      <c r="J154" s="21">
        <v>63</v>
      </c>
      <c r="K154" s="16">
        <f>1.8*1</f>
        <v>1.8</v>
      </c>
      <c r="L154" s="22">
        <f t="shared" si="8"/>
        <v>-0.97142857142857142</v>
      </c>
      <c r="M154" s="28"/>
      <c r="N154" s="7">
        <v>0</v>
      </c>
      <c r="O154" s="7"/>
      <c r="P154" s="24"/>
      <c r="Q154" s="7" t="s">
        <v>48</v>
      </c>
      <c r="R154" s="25"/>
      <c r="S154" s="24"/>
      <c r="T154" s="24" t="s">
        <v>42</v>
      </c>
      <c r="U154" s="24" t="s">
        <v>42</v>
      </c>
      <c r="V154" s="25"/>
      <c r="W154" s="24"/>
      <c r="X154" s="25"/>
      <c r="Y154" s="13">
        <v>2417</v>
      </c>
      <c r="Z154" s="13">
        <v>6.65</v>
      </c>
      <c r="AA154" s="13">
        <v>7</v>
      </c>
      <c r="AB154" s="13">
        <v>2</v>
      </c>
      <c r="AC154" s="13">
        <v>2</v>
      </c>
      <c r="AD154" s="13">
        <v>198.71</v>
      </c>
      <c r="AE154" s="13">
        <v>198.71</v>
      </c>
      <c r="AF154" s="26">
        <f t="shared" si="7"/>
        <v>79.484000000000009</v>
      </c>
      <c r="AG154" s="27" t="s">
        <v>1297</v>
      </c>
    </row>
    <row r="155" spans="1:33" ht="54" x14ac:dyDescent="0.35">
      <c r="A155" s="15">
        <v>196</v>
      </c>
      <c r="B155" s="16">
        <v>196</v>
      </c>
      <c r="C155" s="17" t="s">
        <v>370</v>
      </c>
      <c r="D155" s="18">
        <v>2016</v>
      </c>
      <c r="E155" s="19" t="s">
        <v>378</v>
      </c>
      <c r="F155" s="16" t="s">
        <v>379</v>
      </c>
      <c r="G155" s="7" t="s">
        <v>46</v>
      </c>
      <c r="H155" s="16" t="s">
        <v>47</v>
      </c>
      <c r="I155" s="20">
        <v>42700</v>
      </c>
      <c r="J155" s="21">
        <v>61</v>
      </c>
      <c r="K155" s="16">
        <f>1.8*1</f>
        <v>1.8</v>
      </c>
      <c r="L155" s="22">
        <f t="shared" si="8"/>
        <v>-0.97049180327868856</v>
      </c>
      <c r="M155" s="28"/>
      <c r="N155" s="7">
        <v>0</v>
      </c>
      <c r="O155" s="7"/>
      <c r="P155" s="24"/>
      <c r="Q155" s="7" t="s">
        <v>48</v>
      </c>
      <c r="R155" s="25"/>
      <c r="S155" s="24"/>
      <c r="T155" s="24" t="s">
        <v>42</v>
      </c>
      <c r="U155" s="24" t="s">
        <v>42</v>
      </c>
      <c r="V155" s="25"/>
      <c r="W155" s="24"/>
      <c r="X155" s="25"/>
      <c r="Y155" s="13">
        <v>2282</v>
      </c>
      <c r="Z155" s="13">
        <v>6.45</v>
      </c>
      <c r="AA155" s="13">
        <v>7</v>
      </c>
      <c r="AB155" s="13">
        <v>2</v>
      </c>
      <c r="AC155" s="13">
        <v>2</v>
      </c>
      <c r="AD155" s="13">
        <v>192.74</v>
      </c>
      <c r="AE155" s="13">
        <v>192.74</v>
      </c>
      <c r="AF155" s="26">
        <f t="shared" si="7"/>
        <v>77.096000000000004</v>
      </c>
      <c r="AG155" s="27" t="s">
        <v>1298</v>
      </c>
    </row>
    <row r="156" spans="1:33" ht="54" x14ac:dyDescent="0.35">
      <c r="A156" s="15">
        <v>197</v>
      </c>
      <c r="B156" s="16">
        <v>197</v>
      </c>
      <c r="C156" s="17" t="s">
        <v>370</v>
      </c>
      <c r="D156" s="18">
        <v>2016</v>
      </c>
      <c r="E156" s="19" t="s">
        <v>380</v>
      </c>
      <c r="F156" s="16" t="s">
        <v>381</v>
      </c>
      <c r="G156" s="7" t="s">
        <v>46</v>
      </c>
      <c r="H156" s="16" t="s">
        <v>47</v>
      </c>
      <c r="I156" s="20">
        <v>46200</v>
      </c>
      <c r="J156" s="21">
        <v>66</v>
      </c>
      <c r="K156" s="16">
        <f>3.2*0.8*4</f>
        <v>10.240000000000002</v>
      </c>
      <c r="L156" s="22">
        <f t="shared" si="8"/>
        <v>-0.84484848484848485</v>
      </c>
      <c r="M156" s="28">
        <v>1</v>
      </c>
      <c r="N156" s="7">
        <v>0</v>
      </c>
      <c r="O156" s="7"/>
      <c r="P156" s="24"/>
      <c r="Q156" s="7" t="s">
        <v>48</v>
      </c>
      <c r="R156" s="25"/>
      <c r="S156" s="24"/>
      <c r="T156" s="24"/>
      <c r="U156" s="24"/>
      <c r="V156" s="25"/>
      <c r="W156" s="24"/>
      <c r="X156" s="25"/>
      <c r="Y156" s="13">
        <v>2431</v>
      </c>
      <c r="Z156" s="13">
        <v>6.6</v>
      </c>
      <c r="AA156" s="13">
        <v>7</v>
      </c>
      <c r="AB156" s="13">
        <v>2</v>
      </c>
      <c r="AC156" s="13">
        <v>2</v>
      </c>
      <c r="AD156" s="13">
        <v>199.33</v>
      </c>
      <c r="AE156" s="13">
        <v>199.33</v>
      </c>
      <c r="AF156" s="26">
        <f t="shared" si="7"/>
        <v>79.732000000000014</v>
      </c>
      <c r="AG156" s="27" t="s">
        <v>1299</v>
      </c>
    </row>
    <row r="157" spans="1:33" ht="54" x14ac:dyDescent="0.35">
      <c r="A157" s="15">
        <v>198</v>
      </c>
      <c r="B157" s="16">
        <v>198</v>
      </c>
      <c r="C157" s="17" t="s">
        <v>370</v>
      </c>
      <c r="D157" s="18">
        <v>2016</v>
      </c>
      <c r="E157" s="19" t="s">
        <v>382</v>
      </c>
      <c r="F157" s="16" t="s">
        <v>383</v>
      </c>
      <c r="G157" s="7" t="s">
        <v>46</v>
      </c>
      <c r="H157" s="16" t="s">
        <v>47</v>
      </c>
      <c r="I157" s="20">
        <v>51800</v>
      </c>
      <c r="J157" s="21">
        <v>74</v>
      </c>
      <c r="K157" s="16">
        <f>(2.4*1.6)*2</f>
        <v>7.68</v>
      </c>
      <c r="L157" s="22">
        <f t="shared" si="8"/>
        <v>-0.89621621621621617</v>
      </c>
      <c r="M157" s="28">
        <v>1</v>
      </c>
      <c r="N157" s="7">
        <v>0</v>
      </c>
      <c r="O157" s="7"/>
      <c r="P157" s="24"/>
      <c r="Q157" s="7" t="s">
        <v>48</v>
      </c>
      <c r="R157" s="25"/>
      <c r="S157" s="24"/>
      <c r="T157" s="24"/>
      <c r="U157" s="24"/>
      <c r="V157" s="25"/>
      <c r="W157" s="24"/>
      <c r="X157" s="25"/>
      <c r="Y157" s="13">
        <v>2130</v>
      </c>
      <c r="Z157" s="13">
        <v>6.65</v>
      </c>
      <c r="AA157" s="13">
        <v>7</v>
      </c>
      <c r="AB157" s="13">
        <v>2</v>
      </c>
      <c r="AC157" s="13">
        <v>2</v>
      </c>
      <c r="AD157" s="13">
        <v>186.02</v>
      </c>
      <c r="AE157" s="13">
        <v>186.02</v>
      </c>
      <c r="AF157" s="26">
        <f t="shared" si="7"/>
        <v>74.408000000000001</v>
      </c>
      <c r="AG157" s="27" t="s">
        <v>1300</v>
      </c>
    </row>
    <row r="158" spans="1:33" ht="54" x14ac:dyDescent="0.35">
      <c r="A158" s="45">
        <v>199</v>
      </c>
      <c r="B158" s="16">
        <v>199</v>
      </c>
      <c r="C158" s="17" t="s">
        <v>384</v>
      </c>
      <c r="D158" s="18">
        <v>2017</v>
      </c>
      <c r="E158" s="19" t="s">
        <v>385</v>
      </c>
      <c r="F158" s="16" t="s">
        <v>386</v>
      </c>
      <c r="G158" s="7" t="s">
        <v>46</v>
      </c>
      <c r="H158" s="16" t="s">
        <v>47</v>
      </c>
      <c r="I158" s="20">
        <v>7000</v>
      </c>
      <c r="J158" s="21">
        <v>10</v>
      </c>
      <c r="K158" s="16">
        <f>3.6+5.04+1.8+14.4</f>
        <v>24.840000000000003</v>
      </c>
      <c r="L158" s="22">
        <f t="shared" si="8"/>
        <v>1.4840000000000004</v>
      </c>
      <c r="M158" s="28" t="s">
        <v>99</v>
      </c>
      <c r="N158" s="7">
        <v>0</v>
      </c>
      <c r="O158" s="7"/>
      <c r="P158" s="24"/>
      <c r="Q158" s="7" t="s">
        <v>48</v>
      </c>
      <c r="R158" s="25"/>
      <c r="S158" s="24"/>
      <c r="T158" s="24"/>
      <c r="U158" s="24"/>
      <c r="V158" s="25"/>
      <c r="W158" s="24"/>
      <c r="X158" s="25"/>
      <c r="Y158" s="13">
        <v>8860</v>
      </c>
      <c r="Z158" s="13">
        <v>10.23</v>
      </c>
      <c r="AA158" s="13">
        <v>11</v>
      </c>
      <c r="AB158" s="13">
        <v>3</v>
      </c>
      <c r="AC158" s="13">
        <v>2</v>
      </c>
      <c r="AD158" s="13">
        <v>479.3</v>
      </c>
      <c r="AE158" s="13">
        <v>479.3</v>
      </c>
      <c r="AF158" s="26">
        <f t="shared" si="7"/>
        <v>191.72000000000003</v>
      </c>
      <c r="AG158" s="27" t="s">
        <v>1301</v>
      </c>
    </row>
    <row r="159" spans="1:33" ht="67.2" customHeight="1" x14ac:dyDescent="0.35">
      <c r="A159" s="15">
        <v>200</v>
      </c>
      <c r="B159" s="16">
        <v>200</v>
      </c>
      <c r="C159" s="17" t="s">
        <v>384</v>
      </c>
      <c r="D159" s="18">
        <v>2017</v>
      </c>
      <c r="E159" s="19" t="s">
        <v>387</v>
      </c>
      <c r="F159" s="16" t="s">
        <v>388</v>
      </c>
      <c r="G159" s="7" t="s">
        <v>46</v>
      </c>
      <c r="H159" s="16" t="s">
        <v>47</v>
      </c>
      <c r="I159" s="20">
        <v>4900</v>
      </c>
      <c r="J159" s="21">
        <v>7</v>
      </c>
      <c r="K159" s="16">
        <v>6.12</v>
      </c>
      <c r="L159" s="28"/>
      <c r="M159" s="28"/>
      <c r="N159" s="7" t="s">
        <v>53</v>
      </c>
      <c r="O159" s="7" t="s">
        <v>54</v>
      </c>
      <c r="P159" s="24" t="s">
        <v>88</v>
      </c>
      <c r="Q159" s="7" t="s">
        <v>54</v>
      </c>
      <c r="R159" s="25">
        <v>627859.34</v>
      </c>
      <c r="S159" s="24"/>
      <c r="T159" s="24" t="s">
        <v>42</v>
      </c>
      <c r="U159" s="24" t="s">
        <v>42</v>
      </c>
      <c r="V159" s="25"/>
      <c r="W159" s="24"/>
      <c r="X159" s="25">
        <v>622859.34</v>
      </c>
      <c r="Y159" s="13"/>
      <c r="Z159" s="13"/>
      <c r="AA159" s="13"/>
      <c r="AB159" s="13"/>
      <c r="AC159" s="13">
        <v>2</v>
      </c>
      <c r="AD159" s="13"/>
      <c r="AE159" s="13"/>
      <c r="AF159" s="26">
        <f t="shared" si="7"/>
        <v>0</v>
      </c>
    </row>
    <row r="160" spans="1:33" ht="62.4" customHeight="1" x14ac:dyDescent="0.35">
      <c r="A160" s="15">
        <v>201</v>
      </c>
      <c r="B160" s="16">
        <v>201</v>
      </c>
      <c r="C160" s="17" t="s">
        <v>384</v>
      </c>
      <c r="D160" s="18">
        <v>2017</v>
      </c>
      <c r="E160" s="19" t="s">
        <v>389</v>
      </c>
      <c r="F160" s="16" t="s">
        <v>390</v>
      </c>
      <c r="G160" s="7" t="s">
        <v>46</v>
      </c>
      <c r="H160" s="16" t="s">
        <v>47</v>
      </c>
      <c r="I160" s="20">
        <v>4900</v>
      </c>
      <c r="J160" s="21">
        <v>7</v>
      </c>
      <c r="K160" s="16">
        <v>6.12</v>
      </c>
      <c r="L160" s="28"/>
      <c r="M160" s="28"/>
      <c r="N160" s="7" t="s">
        <v>53</v>
      </c>
      <c r="O160" s="7"/>
      <c r="P160" s="24" t="s">
        <v>88</v>
      </c>
      <c r="Q160" s="7" t="s">
        <v>54</v>
      </c>
      <c r="R160" s="25">
        <v>634447.1</v>
      </c>
      <c r="S160" s="24"/>
      <c r="T160" s="24" t="s">
        <v>42</v>
      </c>
      <c r="U160" s="24" t="s">
        <v>42</v>
      </c>
      <c r="V160" s="25"/>
      <c r="W160" s="24"/>
      <c r="X160" s="25">
        <v>629447.1</v>
      </c>
      <c r="Y160" s="13"/>
      <c r="Z160" s="13"/>
      <c r="AA160" s="13"/>
      <c r="AB160" s="13"/>
      <c r="AC160" s="13">
        <v>2</v>
      </c>
      <c r="AD160" s="13"/>
      <c r="AE160" s="13"/>
      <c r="AF160" s="26">
        <f t="shared" si="7"/>
        <v>0</v>
      </c>
    </row>
    <row r="161" spans="1:33" ht="51" customHeight="1" x14ac:dyDescent="0.35">
      <c r="A161" s="15">
        <v>202</v>
      </c>
      <c r="B161" s="16">
        <v>202</v>
      </c>
      <c r="C161" s="17" t="s">
        <v>384</v>
      </c>
      <c r="D161" s="18">
        <v>2017</v>
      </c>
      <c r="E161" s="19" t="s">
        <v>391</v>
      </c>
      <c r="F161" s="16" t="s">
        <v>392</v>
      </c>
      <c r="G161" s="7" t="s">
        <v>46</v>
      </c>
      <c r="H161" s="16" t="s">
        <v>47</v>
      </c>
      <c r="I161" s="20">
        <v>115668</v>
      </c>
      <c r="J161" s="21">
        <v>165.24</v>
      </c>
      <c r="K161" s="16">
        <f>2.43*0.85*80</f>
        <v>165.24</v>
      </c>
      <c r="L161" s="22">
        <f t="shared" ref="L161:L172" si="9">(K161/J161)-1</f>
        <v>0</v>
      </c>
      <c r="M161" s="28" t="s">
        <v>393</v>
      </c>
      <c r="N161" s="7">
        <v>0</v>
      </c>
      <c r="O161" s="7"/>
      <c r="P161" s="24"/>
      <c r="Q161" s="7" t="s">
        <v>48</v>
      </c>
      <c r="R161" s="25"/>
      <c r="S161" s="24"/>
      <c r="T161" s="24"/>
      <c r="U161" s="24"/>
      <c r="V161" s="25"/>
      <c r="W161" s="24"/>
      <c r="X161" s="25"/>
      <c r="Y161" s="13">
        <v>1525</v>
      </c>
      <c r="Z161" s="13">
        <v>13.8</v>
      </c>
      <c r="AA161" s="13">
        <v>14</v>
      </c>
      <c r="AB161" s="13">
        <v>5</v>
      </c>
      <c r="AC161" s="13">
        <v>2</v>
      </c>
      <c r="AD161" s="13">
        <v>332.86</v>
      </c>
      <c r="AE161" s="13">
        <v>332.86</v>
      </c>
      <c r="AF161" s="26">
        <f t="shared" si="7"/>
        <v>133.14400000000001</v>
      </c>
      <c r="AG161" s="27" t="s">
        <v>1302</v>
      </c>
    </row>
    <row r="162" spans="1:33" ht="54" x14ac:dyDescent="0.35">
      <c r="A162" s="46">
        <v>203</v>
      </c>
      <c r="B162" s="16">
        <v>203</v>
      </c>
      <c r="C162" s="17" t="s">
        <v>384</v>
      </c>
      <c r="D162" s="18">
        <v>2017</v>
      </c>
      <c r="E162" s="19" t="s">
        <v>394</v>
      </c>
      <c r="F162" s="16" t="s">
        <v>395</v>
      </c>
      <c r="G162" s="7" t="s">
        <v>46</v>
      </c>
      <c r="H162" s="16" t="s">
        <v>47</v>
      </c>
      <c r="I162" s="20">
        <v>23240</v>
      </c>
      <c r="J162" s="21">
        <v>33.200000000000003</v>
      </c>
      <c r="K162" s="16">
        <f>2*1*16+3.1*1*2</f>
        <v>38.200000000000003</v>
      </c>
      <c r="L162" s="22">
        <f t="shared" si="9"/>
        <v>0.15060240963855431</v>
      </c>
      <c r="M162" s="28">
        <v>1</v>
      </c>
      <c r="N162" s="7">
        <v>0</v>
      </c>
      <c r="O162" s="7"/>
      <c r="P162" s="24"/>
      <c r="Q162" s="7" t="s">
        <v>48</v>
      </c>
      <c r="R162" s="25"/>
      <c r="S162" s="24"/>
      <c r="T162" s="24"/>
      <c r="U162" s="24"/>
      <c r="V162" s="25"/>
      <c r="W162" s="24"/>
      <c r="X162" s="25"/>
      <c r="Y162" s="13">
        <v>11526</v>
      </c>
      <c r="Z162" s="13">
        <v>13.9</v>
      </c>
      <c r="AA162" s="13">
        <v>14</v>
      </c>
      <c r="AB162" s="13">
        <v>4</v>
      </c>
      <c r="AC162" s="13">
        <v>2</v>
      </c>
      <c r="AD162" s="13">
        <v>599.25</v>
      </c>
      <c r="AE162" s="13">
        <v>599.25</v>
      </c>
      <c r="AF162" s="26">
        <f t="shared" si="7"/>
        <v>239.70000000000002</v>
      </c>
      <c r="AG162" s="27" t="s">
        <v>1303</v>
      </c>
    </row>
    <row r="163" spans="1:33" ht="54" x14ac:dyDescent="0.35">
      <c r="A163" s="15">
        <v>204</v>
      </c>
      <c r="B163" s="16">
        <v>204</v>
      </c>
      <c r="C163" s="17" t="s">
        <v>384</v>
      </c>
      <c r="D163" s="18">
        <v>2017</v>
      </c>
      <c r="E163" s="19" t="s">
        <v>396</v>
      </c>
      <c r="F163" s="16" t="s">
        <v>397</v>
      </c>
      <c r="G163" s="7" t="s">
        <v>46</v>
      </c>
      <c r="H163" s="16" t="s">
        <v>47</v>
      </c>
      <c r="I163" s="20">
        <v>64540</v>
      </c>
      <c r="J163" s="21">
        <v>92.2</v>
      </c>
      <c r="K163" s="16">
        <f>3.2*0.8*36</f>
        <v>92.160000000000025</v>
      </c>
      <c r="L163" s="22">
        <f t="shared" si="9"/>
        <v>-4.3383947939235057E-4</v>
      </c>
      <c r="M163" s="28" t="s">
        <v>99</v>
      </c>
      <c r="N163" s="7">
        <v>0</v>
      </c>
      <c r="O163" s="7"/>
      <c r="P163" s="24"/>
      <c r="Q163" s="7" t="s">
        <v>48</v>
      </c>
      <c r="R163" s="25"/>
      <c r="S163" s="24"/>
      <c r="T163" s="24"/>
      <c r="U163" s="24"/>
      <c r="V163" s="25"/>
      <c r="W163" s="24"/>
      <c r="X163" s="25"/>
      <c r="Y163" s="13">
        <v>9968</v>
      </c>
      <c r="Z163" s="13">
        <v>11.35</v>
      </c>
      <c r="AA163" s="13">
        <v>12</v>
      </c>
      <c r="AB163" s="13">
        <v>4</v>
      </c>
      <c r="AC163" s="13">
        <v>2</v>
      </c>
      <c r="AD163" s="13">
        <v>573.94000000000005</v>
      </c>
      <c r="AE163" s="13">
        <v>573.94000000000005</v>
      </c>
      <c r="AF163" s="26">
        <f t="shared" si="7"/>
        <v>229.57600000000002</v>
      </c>
      <c r="AG163" s="27" t="s">
        <v>1304</v>
      </c>
    </row>
    <row r="164" spans="1:33" ht="54" x14ac:dyDescent="0.35">
      <c r="A164" s="15">
        <v>205</v>
      </c>
      <c r="B164" s="16">
        <v>205</v>
      </c>
      <c r="C164" s="17" t="s">
        <v>384</v>
      </c>
      <c r="D164" s="18">
        <v>2017</v>
      </c>
      <c r="E164" s="19" t="s">
        <v>398</v>
      </c>
      <c r="F164" s="16" t="s">
        <v>399</v>
      </c>
      <c r="G164" s="7" t="s">
        <v>46</v>
      </c>
      <c r="H164" s="16" t="s">
        <v>47</v>
      </c>
      <c r="I164" s="20">
        <v>48650</v>
      </c>
      <c r="J164" s="21">
        <v>69.5</v>
      </c>
      <c r="K164" s="16">
        <f>2.4*1*27+1.6*1*3</f>
        <v>69.599999999999994</v>
      </c>
      <c r="L164" s="22">
        <f t="shared" si="9"/>
        <v>1.4388489208632116E-3</v>
      </c>
      <c r="M164" s="28" t="s">
        <v>99</v>
      </c>
      <c r="N164" s="7">
        <v>0</v>
      </c>
      <c r="O164" s="7"/>
      <c r="P164" s="24"/>
      <c r="Q164" s="7" t="s">
        <v>48</v>
      </c>
      <c r="R164" s="25"/>
      <c r="S164" s="24"/>
      <c r="T164" s="24"/>
      <c r="U164" s="24"/>
      <c r="V164" s="25"/>
      <c r="W164" s="24"/>
      <c r="X164" s="25"/>
      <c r="Y164" s="13">
        <v>65562.2</v>
      </c>
      <c r="Z164" s="13">
        <v>19.8</v>
      </c>
      <c r="AA164" s="13">
        <v>20</v>
      </c>
      <c r="AB164" s="13">
        <v>9</v>
      </c>
      <c r="AC164" s="13">
        <v>2</v>
      </c>
      <c r="AD164" s="13">
        <v>2142.33</v>
      </c>
      <c r="AE164" s="13">
        <v>2142.33</v>
      </c>
      <c r="AF164" s="26">
        <f t="shared" si="7"/>
        <v>856.93200000000002</v>
      </c>
      <c r="AG164" s="27" t="s">
        <v>1305</v>
      </c>
    </row>
    <row r="165" spans="1:33" ht="54" x14ac:dyDescent="0.35">
      <c r="A165" s="45">
        <v>206</v>
      </c>
      <c r="B165" s="16">
        <v>206</v>
      </c>
      <c r="C165" s="17" t="s">
        <v>384</v>
      </c>
      <c r="D165" s="18">
        <v>2017</v>
      </c>
      <c r="E165" s="19" t="s">
        <v>400</v>
      </c>
      <c r="F165" s="16" t="s">
        <v>401</v>
      </c>
      <c r="G165" s="7" t="s">
        <v>46</v>
      </c>
      <c r="H165" s="16" t="s">
        <v>47</v>
      </c>
      <c r="I165" s="20">
        <v>37800</v>
      </c>
      <c r="J165" s="21">
        <v>54</v>
      </c>
      <c r="K165" s="16">
        <f>2.4*1*27</f>
        <v>64.8</v>
      </c>
      <c r="L165" s="22">
        <f t="shared" si="9"/>
        <v>0.19999999999999996</v>
      </c>
      <c r="M165" s="28"/>
      <c r="N165" s="7">
        <v>0</v>
      </c>
      <c r="O165" s="7"/>
      <c r="P165" s="24"/>
      <c r="Q165" s="7" t="s">
        <v>48</v>
      </c>
      <c r="R165" s="25"/>
      <c r="S165" s="24"/>
      <c r="T165" s="24"/>
      <c r="U165" s="24"/>
      <c r="V165" s="25"/>
      <c r="W165" s="24"/>
      <c r="X165" s="25"/>
      <c r="Y165" s="13">
        <v>15477</v>
      </c>
      <c r="Z165" s="13">
        <v>14</v>
      </c>
      <c r="AA165" s="13">
        <v>14</v>
      </c>
      <c r="AB165" s="13">
        <v>4</v>
      </c>
      <c r="AC165" s="13">
        <v>2</v>
      </c>
      <c r="AD165" s="13">
        <v>734.72</v>
      </c>
      <c r="AE165" s="13">
        <v>734.72</v>
      </c>
      <c r="AF165" s="26">
        <f t="shared" si="7"/>
        <v>293.88800000000003</v>
      </c>
      <c r="AG165" s="27" t="s">
        <v>1306</v>
      </c>
    </row>
    <row r="166" spans="1:33" ht="36" x14ac:dyDescent="0.35">
      <c r="A166" s="15">
        <v>207</v>
      </c>
      <c r="B166" s="16">
        <v>207</v>
      </c>
      <c r="C166" s="17" t="s">
        <v>402</v>
      </c>
      <c r="D166" s="18">
        <v>2018</v>
      </c>
      <c r="E166" s="19" t="s">
        <v>403</v>
      </c>
      <c r="F166" s="16" t="s">
        <v>404</v>
      </c>
      <c r="G166" s="7" t="s">
        <v>38</v>
      </c>
      <c r="H166" s="16" t="s">
        <v>39</v>
      </c>
      <c r="I166" s="20">
        <v>462000</v>
      </c>
      <c r="J166" s="21">
        <v>600</v>
      </c>
      <c r="K166" s="16">
        <f>(125.52+130.99)*2.8</f>
        <v>718.22799999999995</v>
      </c>
      <c r="L166" s="22">
        <f t="shared" si="9"/>
        <v>0.19704666666666659</v>
      </c>
      <c r="M166" s="28"/>
      <c r="N166" s="7">
        <v>0</v>
      </c>
      <c r="O166" s="7"/>
      <c r="P166" s="24"/>
      <c r="Q166" s="7" t="s">
        <v>48</v>
      </c>
      <c r="R166" s="25"/>
      <c r="S166" s="24"/>
      <c r="T166" s="24"/>
      <c r="U166" s="24"/>
      <c r="V166" s="25"/>
      <c r="W166" s="24"/>
      <c r="X166" s="25"/>
      <c r="Y166" s="13">
        <v>92481</v>
      </c>
      <c r="Z166" s="13">
        <v>25.2</v>
      </c>
      <c r="AA166" s="13">
        <v>21</v>
      </c>
      <c r="AB166" s="13">
        <v>9</v>
      </c>
      <c r="AC166" s="13">
        <v>2</v>
      </c>
      <c r="AD166" s="13">
        <v>3156.27</v>
      </c>
      <c r="AE166" s="13">
        <v>3156.27</v>
      </c>
      <c r="AF166" s="26">
        <f t="shared" si="7"/>
        <v>1262.508</v>
      </c>
      <c r="AG166" s="27" t="s">
        <v>1307</v>
      </c>
    </row>
    <row r="167" spans="1:33" ht="36" x14ac:dyDescent="0.35">
      <c r="A167" s="15">
        <v>209</v>
      </c>
      <c r="B167" s="16">
        <v>209</v>
      </c>
      <c r="C167" s="17" t="s">
        <v>402</v>
      </c>
      <c r="D167" s="18">
        <v>2017</v>
      </c>
      <c r="E167" s="19" t="s">
        <v>405</v>
      </c>
      <c r="F167" s="16" t="s">
        <v>406</v>
      </c>
      <c r="G167" s="7" t="s">
        <v>38</v>
      </c>
      <c r="H167" s="16" t="s">
        <v>39</v>
      </c>
      <c r="I167" s="20">
        <v>230300</v>
      </c>
      <c r="J167" s="21">
        <v>329</v>
      </c>
      <c r="K167" s="16">
        <f>(26.2*2+16*2)*2.5</f>
        <v>211</v>
      </c>
      <c r="L167" s="22">
        <f t="shared" si="9"/>
        <v>-0.35866261398176291</v>
      </c>
      <c r="M167" s="28" t="s">
        <v>99</v>
      </c>
      <c r="N167" s="7">
        <v>0</v>
      </c>
      <c r="O167" s="7"/>
      <c r="P167" s="24"/>
      <c r="Q167" s="7" t="s">
        <v>48</v>
      </c>
      <c r="R167" s="25"/>
      <c r="S167" s="24"/>
      <c r="T167" s="24"/>
      <c r="U167" s="24"/>
      <c r="V167" s="25"/>
      <c r="W167" s="24"/>
      <c r="X167" s="25"/>
      <c r="Y167" s="13">
        <v>2700</v>
      </c>
      <c r="Z167" s="13">
        <v>3.13</v>
      </c>
      <c r="AA167" s="13">
        <v>4</v>
      </c>
      <c r="AB167" s="13">
        <v>1</v>
      </c>
      <c r="AC167" s="13">
        <v>2</v>
      </c>
      <c r="AD167" s="13">
        <v>212.8</v>
      </c>
      <c r="AE167" s="13">
        <v>212.8</v>
      </c>
      <c r="AF167" s="26">
        <f t="shared" si="7"/>
        <v>85.12</v>
      </c>
      <c r="AG167" s="27" t="s">
        <v>1308</v>
      </c>
    </row>
    <row r="168" spans="1:33" ht="36" x14ac:dyDescent="0.35">
      <c r="A168" s="15">
        <v>210</v>
      </c>
      <c r="B168" s="16">
        <v>210</v>
      </c>
      <c r="C168" s="17" t="s">
        <v>402</v>
      </c>
      <c r="D168" s="18">
        <v>2017</v>
      </c>
      <c r="E168" s="19" t="s">
        <v>407</v>
      </c>
      <c r="F168" s="16" t="s">
        <v>408</v>
      </c>
      <c r="G168" s="7" t="s">
        <v>38</v>
      </c>
      <c r="H168" s="16" t="s">
        <v>39</v>
      </c>
      <c r="I168" s="20">
        <v>181790</v>
      </c>
      <c r="J168" s="21">
        <v>259.7</v>
      </c>
      <c r="K168" s="16">
        <f>(18.8*2+16.2*2)*2.5</f>
        <v>175</v>
      </c>
      <c r="L168" s="22">
        <f t="shared" si="9"/>
        <v>-0.32614555256064692</v>
      </c>
      <c r="M168" s="28">
        <v>1</v>
      </c>
      <c r="N168" s="7">
        <v>0</v>
      </c>
      <c r="O168" s="7"/>
      <c r="P168" s="24"/>
      <c r="Q168" s="7" t="s">
        <v>48</v>
      </c>
      <c r="R168" s="25"/>
      <c r="S168" s="24"/>
      <c r="T168" s="24"/>
      <c r="U168" s="24"/>
      <c r="V168" s="25"/>
      <c r="W168" s="24"/>
      <c r="X168" s="25"/>
      <c r="Y168" s="13">
        <v>1490</v>
      </c>
      <c r="Z168" s="13">
        <v>7</v>
      </c>
      <c r="AA168" s="13">
        <v>7</v>
      </c>
      <c r="AB168" s="13">
        <v>2</v>
      </c>
      <c r="AC168" s="13">
        <v>2</v>
      </c>
      <c r="AD168" s="13">
        <v>210.76</v>
      </c>
      <c r="AE168" s="13">
        <v>210.76</v>
      </c>
      <c r="AF168" s="26">
        <f t="shared" si="7"/>
        <v>84.304000000000002</v>
      </c>
      <c r="AG168" s="27" t="s">
        <v>1309</v>
      </c>
    </row>
    <row r="169" spans="1:33" ht="36" x14ac:dyDescent="0.35">
      <c r="A169" s="15">
        <v>212</v>
      </c>
      <c r="B169" s="16">
        <v>212</v>
      </c>
      <c r="C169" s="17" t="s">
        <v>402</v>
      </c>
      <c r="D169" s="18">
        <v>2017</v>
      </c>
      <c r="E169" s="19" t="s">
        <v>409</v>
      </c>
      <c r="F169" s="16" t="s">
        <v>410</v>
      </c>
      <c r="G169" s="7" t="s">
        <v>38</v>
      </c>
      <c r="H169" s="16" t="s">
        <v>39</v>
      </c>
      <c r="I169" s="20">
        <v>143458</v>
      </c>
      <c r="J169" s="21">
        <v>155.1</v>
      </c>
      <c r="K169" s="16">
        <f>(10*2+15*2)*2.5</f>
        <v>125</v>
      </c>
      <c r="L169" s="22">
        <f t="shared" si="9"/>
        <v>-0.19406834300451314</v>
      </c>
      <c r="M169" s="28">
        <v>1</v>
      </c>
      <c r="N169" s="7">
        <v>0</v>
      </c>
      <c r="O169" s="7"/>
      <c r="P169" s="24"/>
      <c r="Q169" s="7" t="s">
        <v>48</v>
      </c>
      <c r="R169" s="25"/>
      <c r="S169" s="24"/>
      <c r="T169" s="24"/>
      <c r="U169" s="24"/>
      <c r="V169" s="25"/>
      <c r="W169" s="24"/>
      <c r="X169" s="25"/>
      <c r="Y169" s="13">
        <v>4372.62</v>
      </c>
      <c r="Z169" s="13">
        <v>7.2</v>
      </c>
      <c r="AA169" s="13">
        <v>8</v>
      </c>
      <c r="AB169" s="13">
        <v>2</v>
      </c>
      <c r="AC169" s="13">
        <v>2</v>
      </c>
      <c r="AD169" s="13">
        <v>331.2</v>
      </c>
      <c r="AE169" s="13">
        <v>331.2</v>
      </c>
      <c r="AF169" s="26">
        <f t="shared" si="7"/>
        <v>132.47999999999999</v>
      </c>
      <c r="AG169" s="27" t="s">
        <v>1310</v>
      </c>
    </row>
    <row r="170" spans="1:33" ht="36" x14ac:dyDescent="0.35">
      <c r="A170" s="15">
        <v>214</v>
      </c>
      <c r="B170" s="16">
        <v>214</v>
      </c>
      <c r="C170" s="17" t="s">
        <v>402</v>
      </c>
      <c r="D170" s="18">
        <v>2016</v>
      </c>
      <c r="E170" s="19" t="s">
        <v>411</v>
      </c>
      <c r="F170" s="16" t="s">
        <v>412</v>
      </c>
      <c r="G170" s="7" t="s">
        <v>38</v>
      </c>
      <c r="H170" s="16" t="s">
        <v>39</v>
      </c>
      <c r="I170" s="20">
        <v>84000</v>
      </c>
      <c r="J170" s="21">
        <v>120</v>
      </c>
      <c r="K170" s="16">
        <f>(34.4*2+13.2*2)*1.8</f>
        <v>171.35999999999999</v>
      </c>
      <c r="L170" s="22">
        <f t="shared" si="9"/>
        <v>0.42799999999999994</v>
      </c>
      <c r="M170" s="28"/>
      <c r="N170" s="7">
        <v>0</v>
      </c>
      <c r="O170" s="7"/>
      <c r="P170" s="24"/>
      <c r="Q170" s="7" t="s">
        <v>48</v>
      </c>
      <c r="R170" s="25"/>
      <c r="S170" s="24"/>
      <c r="T170" s="24"/>
      <c r="U170" s="24"/>
      <c r="V170" s="25"/>
      <c r="W170" s="24"/>
      <c r="X170" s="25"/>
      <c r="Y170" s="13">
        <v>4634</v>
      </c>
      <c r="Z170" s="13">
        <v>7</v>
      </c>
      <c r="AA170" s="13">
        <v>7</v>
      </c>
      <c r="AB170" s="13">
        <v>2</v>
      </c>
      <c r="AC170" s="13">
        <v>2</v>
      </c>
      <c r="AD170" s="13">
        <v>347.98</v>
      </c>
      <c r="AE170" s="13">
        <v>347.98</v>
      </c>
      <c r="AF170" s="26">
        <f t="shared" si="7"/>
        <v>139.19200000000001</v>
      </c>
      <c r="AG170" s="27" t="s">
        <v>1311</v>
      </c>
    </row>
    <row r="171" spans="1:33" ht="36" x14ac:dyDescent="0.35">
      <c r="A171" s="15">
        <v>216</v>
      </c>
      <c r="B171" s="16">
        <v>216</v>
      </c>
      <c r="C171" s="17" t="s">
        <v>413</v>
      </c>
      <c r="D171" s="18">
        <v>2017</v>
      </c>
      <c r="E171" s="19" t="s">
        <v>414</v>
      </c>
      <c r="F171" s="16" t="s">
        <v>415</v>
      </c>
      <c r="G171" s="7" t="s">
        <v>38</v>
      </c>
      <c r="H171" s="16" t="s">
        <v>39</v>
      </c>
      <c r="I171" s="20">
        <v>102900</v>
      </c>
      <c r="J171" s="21">
        <v>147</v>
      </c>
      <c r="K171" s="16">
        <f>(15*2+47*2)*2.5</f>
        <v>310</v>
      </c>
      <c r="L171" s="22">
        <f t="shared" si="9"/>
        <v>1.1088435374149661</v>
      </c>
      <c r="M171" s="28"/>
      <c r="N171" s="7">
        <v>0</v>
      </c>
      <c r="O171" s="7"/>
      <c r="P171" s="24"/>
      <c r="Q171" s="7" t="s">
        <v>48</v>
      </c>
      <c r="R171" s="25"/>
      <c r="S171" s="24"/>
      <c r="T171" s="24"/>
      <c r="U171" s="24"/>
      <c r="V171" s="25"/>
      <c r="W171" s="24"/>
      <c r="X171" s="25"/>
      <c r="Y171" s="13">
        <v>12548</v>
      </c>
      <c r="Z171" s="13">
        <v>12</v>
      </c>
      <c r="AA171" s="13">
        <v>12</v>
      </c>
      <c r="AB171" s="13">
        <v>4</v>
      </c>
      <c r="AC171" s="13">
        <v>2</v>
      </c>
      <c r="AD171" s="13">
        <v>793.58</v>
      </c>
      <c r="AE171" s="13">
        <v>793.58</v>
      </c>
      <c r="AF171" s="26">
        <f t="shared" si="7"/>
        <v>317.43200000000002</v>
      </c>
      <c r="AG171" s="27" t="s">
        <v>1312</v>
      </c>
    </row>
    <row r="172" spans="1:33" ht="36" x14ac:dyDescent="0.35">
      <c r="A172" s="15">
        <v>217</v>
      </c>
      <c r="B172" s="16">
        <v>217</v>
      </c>
      <c r="C172" s="17" t="s">
        <v>413</v>
      </c>
      <c r="D172" s="18">
        <v>2017</v>
      </c>
      <c r="E172" s="19" t="s">
        <v>416</v>
      </c>
      <c r="F172" s="16" t="s">
        <v>417</v>
      </c>
      <c r="G172" s="7" t="s">
        <v>38</v>
      </c>
      <c r="H172" s="16" t="s">
        <v>39</v>
      </c>
      <c r="I172" s="20">
        <v>102900</v>
      </c>
      <c r="J172" s="21">
        <v>147</v>
      </c>
      <c r="K172" s="16">
        <f>(69.3*2+16.5*2)*2.5</f>
        <v>429</v>
      </c>
      <c r="L172" s="22">
        <f t="shared" si="9"/>
        <v>1.9183673469387754</v>
      </c>
      <c r="M172" s="28"/>
      <c r="N172" s="7">
        <v>0</v>
      </c>
      <c r="O172" s="7"/>
      <c r="P172" s="24"/>
      <c r="Q172" s="7" t="s">
        <v>48</v>
      </c>
      <c r="R172" s="25"/>
      <c r="S172" s="24"/>
      <c r="T172" s="24"/>
      <c r="U172" s="24"/>
      <c r="V172" s="25"/>
      <c r="W172" s="24"/>
      <c r="X172" s="25"/>
      <c r="Y172" s="13">
        <v>7161</v>
      </c>
      <c r="Z172" s="13">
        <v>12</v>
      </c>
      <c r="AA172" s="13">
        <v>12</v>
      </c>
      <c r="AB172" s="13">
        <v>4</v>
      </c>
      <c r="AC172" s="13">
        <v>2</v>
      </c>
      <c r="AD172" s="13">
        <v>591.91999999999996</v>
      </c>
      <c r="AE172" s="13">
        <v>591.91999999999996</v>
      </c>
      <c r="AF172" s="26">
        <f t="shared" si="7"/>
        <v>236.768</v>
      </c>
      <c r="AG172" s="27" t="s">
        <v>1313</v>
      </c>
    </row>
    <row r="173" spans="1:33" ht="51" customHeight="1" x14ac:dyDescent="0.35">
      <c r="A173" s="15">
        <v>218</v>
      </c>
      <c r="B173" s="16">
        <v>218</v>
      </c>
      <c r="C173" s="17" t="s">
        <v>413</v>
      </c>
      <c r="D173" s="18">
        <v>2017</v>
      </c>
      <c r="E173" s="19" t="s">
        <v>418</v>
      </c>
      <c r="F173" s="16" t="s">
        <v>419</v>
      </c>
      <c r="G173" s="7" t="s">
        <v>38</v>
      </c>
      <c r="H173" s="16" t="s">
        <v>39</v>
      </c>
      <c r="I173" s="20">
        <v>123900</v>
      </c>
      <c r="J173" s="21">
        <v>177</v>
      </c>
      <c r="K173" s="16"/>
      <c r="L173" s="28"/>
      <c r="M173" s="28"/>
      <c r="N173" s="7" t="s">
        <v>53</v>
      </c>
      <c r="O173" s="7" t="s">
        <v>40</v>
      </c>
      <c r="P173" s="24"/>
      <c r="Q173" s="7" t="s">
        <v>41</v>
      </c>
      <c r="R173" s="25"/>
      <c r="S173" s="24"/>
      <c r="T173" s="24"/>
      <c r="U173" s="24"/>
      <c r="V173" s="25"/>
      <c r="W173" s="24" t="s">
        <v>344</v>
      </c>
      <c r="X173" s="25"/>
      <c r="Y173" s="13">
        <v>9800</v>
      </c>
      <c r="Z173" s="13">
        <v>13</v>
      </c>
      <c r="AA173" s="13">
        <v>13</v>
      </c>
      <c r="AB173" s="13">
        <v>4</v>
      </c>
      <c r="AC173" s="13">
        <v>2</v>
      </c>
      <c r="AD173" s="13">
        <v>678.76</v>
      </c>
      <c r="AE173" s="13">
        <v>678.76</v>
      </c>
      <c r="AF173" s="26">
        <f t="shared" si="7"/>
        <v>271.50400000000002</v>
      </c>
      <c r="AG173" s="27" t="s">
        <v>1314</v>
      </c>
    </row>
    <row r="174" spans="1:33" ht="63" customHeight="1" x14ac:dyDescent="0.35">
      <c r="A174" s="15">
        <v>221</v>
      </c>
      <c r="B174" s="16">
        <v>221</v>
      </c>
      <c r="C174" s="17" t="s">
        <v>413</v>
      </c>
      <c r="D174" s="18">
        <v>2016</v>
      </c>
      <c r="E174" s="19" t="s">
        <v>420</v>
      </c>
      <c r="F174" s="16" t="s">
        <v>421</v>
      </c>
      <c r="G174" s="7" t="s">
        <v>38</v>
      </c>
      <c r="H174" s="16" t="s">
        <v>39</v>
      </c>
      <c r="I174" s="20">
        <v>101500</v>
      </c>
      <c r="J174" s="21">
        <v>145</v>
      </c>
      <c r="K174" s="16"/>
      <c r="L174" s="28"/>
      <c r="M174" s="28"/>
      <c r="N174" s="7" t="s">
        <v>53</v>
      </c>
      <c r="O174" s="7" t="s">
        <v>40</v>
      </c>
      <c r="P174" s="24"/>
      <c r="Q174" s="7" t="s">
        <v>41</v>
      </c>
      <c r="R174" s="25"/>
      <c r="S174" s="24"/>
      <c r="T174" s="24"/>
      <c r="U174" s="24"/>
      <c r="V174" s="25"/>
      <c r="W174" s="24" t="s">
        <v>344</v>
      </c>
      <c r="X174" s="25"/>
      <c r="Y174" s="13">
        <v>12980</v>
      </c>
      <c r="Z174" s="13">
        <v>16</v>
      </c>
      <c r="AA174" s="13">
        <v>16</v>
      </c>
      <c r="AB174" s="13">
        <v>5</v>
      </c>
      <c r="AC174" s="13">
        <v>2</v>
      </c>
      <c r="AD174" s="13">
        <v>866.49</v>
      </c>
      <c r="AE174" s="13">
        <v>866.49</v>
      </c>
      <c r="AF174" s="26">
        <f t="shared" si="7"/>
        <v>346.596</v>
      </c>
      <c r="AG174" s="27" t="s">
        <v>1315</v>
      </c>
    </row>
    <row r="175" spans="1:33" ht="36" x14ac:dyDescent="0.35">
      <c r="A175" s="15">
        <v>222</v>
      </c>
      <c r="B175" s="16">
        <v>222</v>
      </c>
      <c r="C175" s="17" t="s">
        <v>413</v>
      </c>
      <c r="D175" s="18">
        <v>2016</v>
      </c>
      <c r="E175" s="19" t="s">
        <v>422</v>
      </c>
      <c r="F175" s="16" t="s">
        <v>423</v>
      </c>
      <c r="G175" s="7" t="s">
        <v>38</v>
      </c>
      <c r="H175" s="16" t="s">
        <v>39</v>
      </c>
      <c r="I175" s="20">
        <v>2800</v>
      </c>
      <c r="J175" s="21">
        <v>4</v>
      </c>
      <c r="K175" s="16">
        <f>(15*2+47*2)*2.5</f>
        <v>310</v>
      </c>
      <c r="L175" s="22">
        <f>(K175/J175)-1</f>
        <v>76.5</v>
      </c>
      <c r="M175" s="28"/>
      <c r="N175" s="7">
        <v>0</v>
      </c>
      <c r="O175" s="7"/>
      <c r="P175" s="24"/>
      <c r="Q175" s="7" t="s">
        <v>48</v>
      </c>
      <c r="R175" s="25"/>
      <c r="S175" s="24"/>
      <c r="T175" s="24"/>
      <c r="U175" s="24"/>
      <c r="V175" s="25"/>
      <c r="W175" s="24"/>
      <c r="X175" s="25"/>
      <c r="Y175" s="13">
        <v>3230</v>
      </c>
      <c r="Z175" s="13">
        <v>12</v>
      </c>
      <c r="AA175" s="13">
        <v>12</v>
      </c>
      <c r="AB175" s="13">
        <v>4</v>
      </c>
      <c r="AC175" s="13">
        <v>2</v>
      </c>
      <c r="AD175" s="13">
        <v>444.76</v>
      </c>
      <c r="AE175" s="13">
        <v>444.76</v>
      </c>
      <c r="AF175" s="26">
        <f t="shared" si="7"/>
        <v>177.904</v>
      </c>
      <c r="AG175" s="27" t="s">
        <v>1316</v>
      </c>
    </row>
    <row r="176" spans="1:33" ht="52.2" customHeight="1" x14ac:dyDescent="0.35">
      <c r="A176" s="15">
        <v>223</v>
      </c>
      <c r="B176" s="16">
        <v>223</v>
      </c>
      <c r="C176" s="17" t="s">
        <v>413</v>
      </c>
      <c r="D176" s="18">
        <v>2016</v>
      </c>
      <c r="E176" s="19" t="s">
        <v>424</v>
      </c>
      <c r="F176" s="16" t="s">
        <v>425</v>
      </c>
      <c r="G176" s="7" t="s">
        <v>38</v>
      </c>
      <c r="H176" s="16" t="s">
        <v>39</v>
      </c>
      <c r="I176" s="20">
        <v>126000</v>
      </c>
      <c r="J176" s="21">
        <v>180</v>
      </c>
      <c r="K176" s="16"/>
      <c r="L176" s="28"/>
      <c r="M176" s="28"/>
      <c r="N176" s="7" t="s">
        <v>53</v>
      </c>
      <c r="O176" s="7" t="s">
        <v>40</v>
      </c>
      <c r="P176" s="24"/>
      <c r="Q176" s="7" t="s">
        <v>41</v>
      </c>
      <c r="R176" s="25"/>
      <c r="S176" s="24"/>
      <c r="T176" s="24"/>
      <c r="U176" s="24"/>
      <c r="V176" s="47">
        <v>3215238.27</v>
      </c>
      <c r="W176" s="24"/>
      <c r="X176" s="25"/>
      <c r="Y176" s="13">
        <v>11876</v>
      </c>
      <c r="Z176" s="13">
        <v>13</v>
      </c>
      <c r="AA176" s="13">
        <v>13</v>
      </c>
      <c r="AB176" s="13">
        <v>4</v>
      </c>
      <c r="AC176" s="13">
        <v>2</v>
      </c>
      <c r="AD176" s="13">
        <v>753.94</v>
      </c>
      <c r="AE176" s="13">
        <v>753.94</v>
      </c>
      <c r="AF176" s="26">
        <f t="shared" si="7"/>
        <v>301.57600000000002</v>
      </c>
      <c r="AG176" s="27" t="s">
        <v>1317</v>
      </c>
    </row>
    <row r="177" spans="1:33" ht="52.2" customHeight="1" x14ac:dyDescent="0.35">
      <c r="A177" s="15">
        <v>224</v>
      </c>
      <c r="B177" s="16">
        <v>224</v>
      </c>
      <c r="C177" s="17" t="s">
        <v>413</v>
      </c>
      <c r="D177" s="18">
        <v>2016</v>
      </c>
      <c r="E177" s="19" t="s">
        <v>426</v>
      </c>
      <c r="F177" s="16" t="s">
        <v>427</v>
      </c>
      <c r="G177" s="7" t="s">
        <v>38</v>
      </c>
      <c r="H177" s="16" t="s">
        <v>39</v>
      </c>
      <c r="I177" s="20">
        <v>70000</v>
      </c>
      <c r="J177" s="21">
        <v>100</v>
      </c>
      <c r="K177" s="16"/>
      <c r="L177" s="28"/>
      <c r="M177" s="28"/>
      <c r="N177" s="7" t="s">
        <v>53</v>
      </c>
      <c r="O177" s="7" t="s">
        <v>54</v>
      </c>
      <c r="P177" s="24"/>
      <c r="Q177" s="7" t="s">
        <v>41</v>
      </c>
      <c r="R177" s="25">
        <v>5003270.47</v>
      </c>
      <c r="S177" s="24"/>
      <c r="T177" s="24" t="s">
        <v>42</v>
      </c>
      <c r="U177" s="24" t="s">
        <v>42</v>
      </c>
      <c r="V177" s="25"/>
      <c r="W177" s="24"/>
      <c r="X177" s="25">
        <v>14641988</v>
      </c>
      <c r="Y177" s="13"/>
      <c r="Z177" s="13"/>
      <c r="AA177" s="13"/>
      <c r="AB177" s="13"/>
      <c r="AC177" s="13">
        <v>2</v>
      </c>
      <c r="AD177" s="13"/>
      <c r="AE177" s="13"/>
      <c r="AF177" s="26">
        <f t="shared" si="7"/>
        <v>0</v>
      </c>
    </row>
    <row r="178" spans="1:33" ht="52.2" customHeight="1" x14ac:dyDescent="0.35">
      <c r="A178" s="15">
        <v>225</v>
      </c>
      <c r="B178" s="16">
        <v>225</v>
      </c>
      <c r="C178" s="17" t="s">
        <v>428</v>
      </c>
      <c r="D178" s="18">
        <v>2018</v>
      </c>
      <c r="E178" s="19" t="s">
        <v>429</v>
      </c>
      <c r="F178" s="16" t="s">
        <v>430</v>
      </c>
      <c r="G178" s="7" t="s">
        <v>38</v>
      </c>
      <c r="H178" s="16" t="s">
        <v>39</v>
      </c>
      <c r="I178" s="20">
        <v>113960</v>
      </c>
      <c r="J178" s="21">
        <v>148</v>
      </c>
      <c r="K178" s="16"/>
      <c r="L178" s="28"/>
      <c r="M178" s="28"/>
      <c r="N178" s="7" t="s">
        <v>53</v>
      </c>
      <c r="O178" s="7" t="s">
        <v>54</v>
      </c>
      <c r="P178" s="24"/>
      <c r="Q178" s="7" t="s">
        <v>40</v>
      </c>
      <c r="R178" s="25">
        <v>2156082.54</v>
      </c>
      <c r="S178" s="24"/>
      <c r="T178" s="24" t="s">
        <v>42</v>
      </c>
      <c r="U178" s="24" t="s">
        <v>42</v>
      </c>
      <c r="V178" s="25"/>
      <c r="W178" s="24"/>
      <c r="X178" s="25">
        <v>8676793.7300000004</v>
      </c>
      <c r="Y178" s="13"/>
      <c r="Z178" s="13"/>
      <c r="AA178" s="13"/>
      <c r="AB178" s="13"/>
      <c r="AC178" s="13">
        <v>2</v>
      </c>
      <c r="AD178" s="13"/>
      <c r="AE178" s="13"/>
      <c r="AF178" s="26">
        <f t="shared" si="7"/>
        <v>0</v>
      </c>
    </row>
    <row r="179" spans="1:33" ht="48" customHeight="1" x14ac:dyDescent="0.35">
      <c r="A179" s="15">
        <v>227</v>
      </c>
      <c r="B179" s="16">
        <v>227</v>
      </c>
      <c r="C179" s="17" t="s">
        <v>428</v>
      </c>
      <c r="D179" s="18">
        <v>2018</v>
      </c>
      <c r="E179" s="19" t="s">
        <v>431</v>
      </c>
      <c r="F179" s="16" t="s">
        <v>432</v>
      </c>
      <c r="G179" s="7" t="s">
        <v>38</v>
      </c>
      <c r="H179" s="16" t="s">
        <v>39</v>
      </c>
      <c r="I179" s="20">
        <v>113960</v>
      </c>
      <c r="J179" s="21">
        <v>148</v>
      </c>
      <c r="K179" s="16"/>
      <c r="L179" s="28"/>
      <c r="M179" s="28"/>
      <c r="N179" s="7" t="s">
        <v>53</v>
      </c>
      <c r="O179" s="7" t="s">
        <v>54</v>
      </c>
      <c r="P179" s="24"/>
      <c r="Q179" s="7" t="s">
        <v>41</v>
      </c>
      <c r="R179" s="25">
        <v>2156082.54</v>
      </c>
      <c r="S179" s="24"/>
      <c r="T179" s="24" t="s">
        <v>42</v>
      </c>
      <c r="U179" s="24" t="s">
        <v>42</v>
      </c>
      <c r="V179" s="25"/>
      <c r="W179" s="24"/>
      <c r="X179" s="25">
        <v>8676793.7300000004</v>
      </c>
      <c r="Y179" s="13"/>
      <c r="Z179" s="13"/>
      <c r="AA179" s="13"/>
      <c r="AB179" s="13"/>
      <c r="AC179" s="13">
        <v>2</v>
      </c>
      <c r="AD179" s="13"/>
      <c r="AE179" s="13"/>
      <c r="AF179" s="26">
        <f t="shared" si="7"/>
        <v>0</v>
      </c>
    </row>
    <row r="180" spans="1:33" ht="45.6" customHeight="1" x14ac:dyDescent="0.35">
      <c r="A180" s="15">
        <v>229</v>
      </c>
      <c r="B180" s="16">
        <v>229</v>
      </c>
      <c r="C180" s="17" t="s">
        <v>428</v>
      </c>
      <c r="D180" s="18">
        <v>2018</v>
      </c>
      <c r="E180" s="19" t="s">
        <v>433</v>
      </c>
      <c r="F180" s="16" t="s">
        <v>434</v>
      </c>
      <c r="G180" s="7" t="s">
        <v>38</v>
      </c>
      <c r="H180" s="16" t="s">
        <v>39</v>
      </c>
      <c r="I180" s="20">
        <v>113960</v>
      </c>
      <c r="J180" s="21">
        <v>148</v>
      </c>
      <c r="K180" s="16"/>
      <c r="L180" s="28"/>
      <c r="M180" s="28"/>
      <c r="N180" s="7" t="s">
        <v>53</v>
      </c>
      <c r="O180" s="7" t="s">
        <v>54</v>
      </c>
      <c r="P180" s="24"/>
      <c r="Q180" s="7" t="s">
        <v>41</v>
      </c>
      <c r="R180" s="25">
        <v>2021726.69</v>
      </c>
      <c r="S180" s="24"/>
      <c r="T180" s="24" t="s">
        <v>42</v>
      </c>
      <c r="U180" s="24" t="s">
        <v>42</v>
      </c>
      <c r="V180" s="25"/>
      <c r="W180" s="24"/>
      <c r="X180" s="25">
        <v>8676793.7300000004</v>
      </c>
      <c r="Y180" s="13"/>
      <c r="Z180" s="13"/>
      <c r="AA180" s="13"/>
      <c r="AB180" s="13"/>
      <c r="AC180" s="13">
        <v>2</v>
      </c>
      <c r="AD180" s="13"/>
      <c r="AE180" s="13"/>
      <c r="AF180" s="26">
        <f t="shared" si="7"/>
        <v>0</v>
      </c>
    </row>
    <row r="181" spans="1:33" ht="50.4" customHeight="1" x14ac:dyDescent="0.35">
      <c r="A181" s="15">
        <v>231</v>
      </c>
      <c r="B181" s="16">
        <v>231</v>
      </c>
      <c r="C181" s="17" t="s">
        <v>428</v>
      </c>
      <c r="D181" s="18">
        <v>2018</v>
      </c>
      <c r="E181" s="19" t="s">
        <v>435</v>
      </c>
      <c r="F181" s="16" t="s">
        <v>436</v>
      </c>
      <c r="G181" s="7" t="s">
        <v>38</v>
      </c>
      <c r="H181" s="16" t="s">
        <v>39</v>
      </c>
      <c r="I181" s="20">
        <v>113960</v>
      </c>
      <c r="J181" s="21">
        <v>148</v>
      </c>
      <c r="K181" s="16"/>
      <c r="L181" s="28"/>
      <c r="M181" s="28"/>
      <c r="N181" s="7" t="s">
        <v>53</v>
      </c>
      <c r="O181" s="7" t="s">
        <v>54</v>
      </c>
      <c r="P181" s="24"/>
      <c r="Q181" s="7" t="s">
        <v>40</v>
      </c>
      <c r="R181" s="25"/>
      <c r="S181" s="24"/>
      <c r="T181" s="24" t="s">
        <v>42</v>
      </c>
      <c r="U181" s="24" t="s">
        <v>42</v>
      </c>
      <c r="V181" s="25"/>
      <c r="W181" s="24"/>
      <c r="X181" s="25">
        <v>9087288.4100000001</v>
      </c>
      <c r="Y181" s="13"/>
      <c r="Z181" s="13"/>
      <c r="AA181" s="13"/>
      <c r="AB181" s="13"/>
      <c r="AC181" s="13">
        <v>2</v>
      </c>
      <c r="AD181" s="13"/>
      <c r="AE181" s="13"/>
      <c r="AF181" s="26">
        <f t="shared" si="7"/>
        <v>0</v>
      </c>
    </row>
    <row r="182" spans="1:33" ht="60" customHeight="1" x14ac:dyDescent="0.35">
      <c r="A182" s="15">
        <v>233</v>
      </c>
      <c r="B182" s="16">
        <v>233</v>
      </c>
      <c r="C182" s="17" t="s">
        <v>437</v>
      </c>
      <c r="D182" s="18">
        <v>2016</v>
      </c>
      <c r="E182" s="19" t="s">
        <v>438</v>
      </c>
      <c r="F182" s="16" t="s">
        <v>439</v>
      </c>
      <c r="G182" s="7" t="s">
        <v>46</v>
      </c>
      <c r="H182" s="16" t="s">
        <v>47</v>
      </c>
      <c r="I182" s="20">
        <v>16800</v>
      </c>
      <c r="J182" s="21">
        <v>24</v>
      </c>
      <c r="K182" s="16"/>
      <c r="L182" s="28"/>
      <c r="M182" s="28"/>
      <c r="N182" s="7" t="s">
        <v>87</v>
      </c>
      <c r="O182" s="7" t="s">
        <v>54</v>
      </c>
      <c r="P182" s="24" t="s">
        <v>88</v>
      </c>
      <c r="Q182" s="7" t="s">
        <v>54</v>
      </c>
      <c r="R182" s="25">
        <v>1714027.12</v>
      </c>
      <c r="S182" s="24"/>
      <c r="T182" s="24" t="s">
        <v>42</v>
      </c>
      <c r="U182" s="24" t="s">
        <v>42</v>
      </c>
      <c r="V182" s="25"/>
      <c r="W182" s="24"/>
      <c r="X182" s="25">
        <v>1709027.12</v>
      </c>
      <c r="Y182" s="13"/>
      <c r="Z182" s="13"/>
      <c r="AA182" s="13"/>
      <c r="AB182" s="13"/>
      <c r="AC182" s="13">
        <v>2</v>
      </c>
      <c r="AD182" s="13"/>
      <c r="AE182" s="13"/>
      <c r="AF182" s="26">
        <f t="shared" si="7"/>
        <v>0</v>
      </c>
    </row>
    <row r="183" spans="1:33" ht="54" x14ac:dyDescent="0.35">
      <c r="A183" s="15">
        <v>234</v>
      </c>
      <c r="B183" s="16">
        <v>234</v>
      </c>
      <c r="C183" s="17" t="s">
        <v>437</v>
      </c>
      <c r="D183" s="18">
        <v>2018</v>
      </c>
      <c r="E183" s="19" t="s">
        <v>440</v>
      </c>
      <c r="F183" s="16" t="s">
        <v>441</v>
      </c>
      <c r="G183" s="7" t="s">
        <v>46</v>
      </c>
      <c r="H183" s="16" t="s">
        <v>47</v>
      </c>
      <c r="I183" s="20">
        <v>21560</v>
      </c>
      <c r="J183" s="21">
        <v>28</v>
      </c>
      <c r="K183" s="16">
        <f>2.4*1*10+2.4*0.7*4</f>
        <v>30.72</v>
      </c>
      <c r="L183" s="22">
        <f t="shared" ref="L183:L189" si="10">(K183/J183)-1</f>
        <v>9.7142857142857197E-2</v>
      </c>
      <c r="M183" s="28">
        <v>1</v>
      </c>
      <c r="N183" s="7">
        <v>0</v>
      </c>
      <c r="O183" s="7"/>
      <c r="P183" s="24"/>
      <c r="Q183" s="7" t="s">
        <v>48</v>
      </c>
      <c r="R183" s="25"/>
      <c r="S183" s="24"/>
      <c r="T183" s="24" t="s">
        <v>42</v>
      </c>
      <c r="U183" s="24" t="s">
        <v>42</v>
      </c>
      <c r="V183" s="25"/>
      <c r="W183" s="24"/>
      <c r="X183" s="25"/>
      <c r="Y183" s="13">
        <v>5060</v>
      </c>
      <c r="Z183" s="13">
        <v>11.5</v>
      </c>
      <c r="AA183" s="13">
        <v>12</v>
      </c>
      <c r="AB183" s="13">
        <v>3</v>
      </c>
      <c r="AC183" s="13">
        <v>2</v>
      </c>
      <c r="AD183" s="13">
        <v>325.5</v>
      </c>
      <c r="AE183" s="13">
        <v>325.5</v>
      </c>
      <c r="AF183" s="26">
        <f t="shared" si="7"/>
        <v>130.20000000000002</v>
      </c>
      <c r="AG183" s="27" t="s">
        <v>1318</v>
      </c>
    </row>
    <row r="184" spans="1:33" ht="36" x14ac:dyDescent="0.35">
      <c r="A184" s="15">
        <v>235</v>
      </c>
      <c r="B184" s="16">
        <v>235</v>
      </c>
      <c r="C184" s="17" t="s">
        <v>442</v>
      </c>
      <c r="D184" s="18">
        <v>2017</v>
      </c>
      <c r="E184" s="19" t="s">
        <v>443</v>
      </c>
      <c r="F184" s="16" t="s">
        <v>444</v>
      </c>
      <c r="G184" s="7" t="s">
        <v>38</v>
      </c>
      <c r="H184" s="16" t="s">
        <v>39</v>
      </c>
      <c r="I184" s="20">
        <v>280000</v>
      </c>
      <c r="J184" s="21">
        <v>400</v>
      </c>
      <c r="K184" s="16">
        <f>278*1.8</f>
        <v>500.40000000000003</v>
      </c>
      <c r="L184" s="22">
        <f t="shared" si="10"/>
        <v>0.25100000000000011</v>
      </c>
      <c r="M184" s="28"/>
      <c r="N184" s="7">
        <v>0</v>
      </c>
      <c r="O184" s="7"/>
      <c r="P184" s="24"/>
      <c r="Q184" s="7" t="s">
        <v>48</v>
      </c>
      <c r="R184" s="25"/>
      <c r="S184" s="24"/>
      <c r="T184" s="24"/>
      <c r="U184" s="24"/>
      <c r="V184" s="25"/>
      <c r="W184" s="24"/>
      <c r="X184" s="25"/>
      <c r="Y184" s="13">
        <v>14828</v>
      </c>
      <c r="Z184" s="13">
        <v>10</v>
      </c>
      <c r="AA184" s="13">
        <v>10</v>
      </c>
      <c r="AB184" s="13">
        <v>3</v>
      </c>
      <c r="AC184" s="13">
        <v>2</v>
      </c>
      <c r="AD184" s="13">
        <v>814.6</v>
      </c>
      <c r="AE184" s="13">
        <v>814.6</v>
      </c>
      <c r="AF184" s="26">
        <f t="shared" si="7"/>
        <v>325.84000000000003</v>
      </c>
      <c r="AG184" s="27" t="s">
        <v>1319</v>
      </c>
    </row>
    <row r="185" spans="1:33" ht="36" x14ac:dyDescent="0.35">
      <c r="A185" s="15">
        <v>238</v>
      </c>
      <c r="B185" s="16">
        <v>238</v>
      </c>
      <c r="C185" s="17" t="s">
        <v>445</v>
      </c>
      <c r="D185" s="18">
        <v>2017</v>
      </c>
      <c r="E185" s="19" t="s">
        <v>446</v>
      </c>
      <c r="F185" s="16" t="s">
        <v>447</v>
      </c>
      <c r="G185" s="7" t="s">
        <v>38</v>
      </c>
      <c r="H185" s="16" t="s">
        <v>39</v>
      </c>
      <c r="I185" s="20">
        <v>154000</v>
      </c>
      <c r="J185" s="21">
        <v>220</v>
      </c>
      <c r="K185" s="16">
        <f>(66.95*2+12.6*2)*2.5</f>
        <v>397.75</v>
      </c>
      <c r="L185" s="22">
        <f t="shared" si="10"/>
        <v>0.80795454545454537</v>
      </c>
      <c r="M185" s="28"/>
      <c r="N185" s="7">
        <v>0</v>
      </c>
      <c r="O185" s="7"/>
      <c r="P185" s="24"/>
      <c r="Q185" s="7" t="s">
        <v>48</v>
      </c>
      <c r="R185" s="25"/>
      <c r="S185" s="24"/>
      <c r="T185" s="24"/>
      <c r="U185" s="24"/>
      <c r="V185" s="25"/>
      <c r="W185" s="24"/>
      <c r="X185" s="25"/>
      <c r="Y185" s="13">
        <v>9961</v>
      </c>
      <c r="Z185" s="13">
        <v>11.6</v>
      </c>
      <c r="AA185" s="13">
        <v>12</v>
      </c>
      <c r="AB185" s="13">
        <v>4</v>
      </c>
      <c r="AC185" s="13">
        <v>2</v>
      </c>
      <c r="AD185" s="13">
        <v>696.74</v>
      </c>
      <c r="AE185" s="13">
        <v>696.74</v>
      </c>
      <c r="AF185" s="26">
        <f t="shared" si="7"/>
        <v>278.69600000000003</v>
      </c>
      <c r="AG185" s="27" t="s">
        <v>1320</v>
      </c>
    </row>
    <row r="186" spans="1:33" ht="54" x14ac:dyDescent="0.35">
      <c r="A186" s="15">
        <v>239</v>
      </c>
      <c r="B186" s="16">
        <v>239</v>
      </c>
      <c r="C186" s="17" t="s">
        <v>445</v>
      </c>
      <c r="D186" s="18">
        <v>2017</v>
      </c>
      <c r="E186" s="19" t="s">
        <v>446</v>
      </c>
      <c r="F186" s="16" t="s">
        <v>448</v>
      </c>
      <c r="G186" s="7" t="s">
        <v>46</v>
      </c>
      <c r="H186" s="16" t="s">
        <v>47</v>
      </c>
      <c r="I186" s="20">
        <v>56700</v>
      </c>
      <c r="J186" s="21">
        <v>81</v>
      </c>
      <c r="K186" s="16">
        <f>3.2*0.8*36</f>
        <v>92.160000000000025</v>
      </c>
      <c r="L186" s="22">
        <f t="shared" si="10"/>
        <v>0.137777777777778</v>
      </c>
      <c r="M186" s="28" t="s">
        <v>449</v>
      </c>
      <c r="N186" s="7">
        <v>0</v>
      </c>
      <c r="O186" s="7"/>
      <c r="P186" s="24"/>
      <c r="Q186" s="7" t="s">
        <v>48</v>
      </c>
      <c r="R186" s="25"/>
      <c r="S186" s="24"/>
      <c r="T186" s="24"/>
      <c r="U186" s="24"/>
      <c r="V186" s="25"/>
      <c r="W186" s="24"/>
      <c r="X186" s="25"/>
      <c r="Y186" s="13">
        <v>9961</v>
      </c>
      <c r="Z186" s="13">
        <v>11.6</v>
      </c>
      <c r="AA186" s="13">
        <v>12</v>
      </c>
      <c r="AB186" s="13">
        <v>4</v>
      </c>
      <c r="AC186" s="13">
        <v>2</v>
      </c>
      <c r="AD186" s="13">
        <v>573.69000000000005</v>
      </c>
      <c r="AE186" s="13">
        <v>573.69000000000005</v>
      </c>
      <c r="AF186" s="26">
        <f t="shared" si="7"/>
        <v>229.47600000000003</v>
      </c>
      <c r="AG186" s="27" t="s">
        <v>1320</v>
      </c>
    </row>
    <row r="187" spans="1:33" ht="36" x14ac:dyDescent="0.35">
      <c r="A187" s="15">
        <v>240</v>
      </c>
      <c r="B187" s="16">
        <v>240</v>
      </c>
      <c r="C187" s="17" t="s">
        <v>445</v>
      </c>
      <c r="D187" s="18">
        <v>2017</v>
      </c>
      <c r="E187" s="19" t="s">
        <v>450</v>
      </c>
      <c r="F187" s="16" t="s">
        <v>451</v>
      </c>
      <c r="G187" s="7" t="s">
        <v>38</v>
      </c>
      <c r="H187" s="16" t="s">
        <v>39</v>
      </c>
      <c r="I187" s="20">
        <v>44100</v>
      </c>
      <c r="J187" s="21">
        <v>63</v>
      </c>
      <c r="K187" s="16">
        <f>(53.6*2+12.6*2)*2.5</f>
        <v>331</v>
      </c>
      <c r="L187" s="22">
        <f t="shared" si="10"/>
        <v>4.253968253968254</v>
      </c>
      <c r="M187" s="28"/>
      <c r="N187" s="7">
        <v>0</v>
      </c>
      <c r="O187" s="7"/>
      <c r="P187" s="24"/>
      <c r="Q187" s="7" t="s">
        <v>48</v>
      </c>
      <c r="R187" s="25"/>
      <c r="S187" s="24"/>
      <c r="T187" s="24"/>
      <c r="U187" s="24"/>
      <c r="V187" s="25"/>
      <c r="W187" s="24"/>
      <c r="X187" s="25"/>
      <c r="Y187" s="13">
        <v>10087</v>
      </c>
      <c r="Z187" s="13">
        <v>14.4</v>
      </c>
      <c r="AA187" s="13">
        <v>15</v>
      </c>
      <c r="AB187" s="13">
        <v>5</v>
      </c>
      <c r="AC187" s="13">
        <v>2</v>
      </c>
      <c r="AD187" s="13">
        <v>785.4</v>
      </c>
      <c r="AE187" s="13">
        <v>785.4</v>
      </c>
      <c r="AF187" s="26">
        <f t="shared" si="7"/>
        <v>314.16000000000003</v>
      </c>
      <c r="AG187" s="27" t="s">
        <v>1321</v>
      </c>
    </row>
    <row r="188" spans="1:33" ht="46.2" customHeight="1" x14ac:dyDescent="0.35">
      <c r="A188" s="15">
        <v>241</v>
      </c>
      <c r="B188" s="16">
        <v>241</v>
      </c>
      <c r="C188" s="17" t="s">
        <v>445</v>
      </c>
      <c r="D188" s="18">
        <v>2017</v>
      </c>
      <c r="E188" s="19" t="s">
        <v>452</v>
      </c>
      <c r="F188" s="16" t="s">
        <v>453</v>
      </c>
      <c r="G188" s="7" t="s">
        <v>38</v>
      </c>
      <c r="H188" s="16" t="s">
        <v>39</v>
      </c>
      <c r="I188" s="20">
        <v>178500</v>
      </c>
      <c r="J188" s="21">
        <v>255</v>
      </c>
      <c r="K188" s="16"/>
      <c r="L188" s="28"/>
      <c r="M188" s="28"/>
      <c r="N188" s="7" t="s">
        <v>53</v>
      </c>
      <c r="O188" s="7" t="s">
        <v>54</v>
      </c>
      <c r="P188" s="24"/>
      <c r="Q188" s="7" t="s">
        <v>54</v>
      </c>
      <c r="R188" s="25"/>
      <c r="S188" s="24"/>
      <c r="T188" s="24" t="s">
        <v>42</v>
      </c>
      <c r="U188" s="24" t="s">
        <v>42</v>
      </c>
      <c r="V188" s="25"/>
      <c r="W188" s="24"/>
      <c r="X188" s="25">
        <v>2714796.2</v>
      </c>
      <c r="Y188" s="13"/>
      <c r="Z188" s="13"/>
      <c r="AA188" s="13"/>
      <c r="AB188" s="13"/>
      <c r="AC188" s="13">
        <v>2</v>
      </c>
      <c r="AD188" s="13"/>
      <c r="AE188" s="13"/>
      <c r="AF188" s="26">
        <f t="shared" si="7"/>
        <v>0</v>
      </c>
    </row>
    <row r="189" spans="1:33" ht="36" x14ac:dyDescent="0.35">
      <c r="A189" s="15">
        <v>242</v>
      </c>
      <c r="B189" s="16">
        <v>242</v>
      </c>
      <c r="C189" s="17" t="s">
        <v>445</v>
      </c>
      <c r="D189" s="18">
        <v>2017</v>
      </c>
      <c r="E189" s="19" t="s">
        <v>454</v>
      </c>
      <c r="F189" s="16" t="s">
        <v>455</v>
      </c>
      <c r="G189" s="7" t="s">
        <v>38</v>
      </c>
      <c r="H189" s="16" t="s">
        <v>39</v>
      </c>
      <c r="I189" s="20">
        <v>148120</v>
      </c>
      <c r="J189" s="21">
        <v>211.6</v>
      </c>
      <c r="K189" s="16">
        <f>(72.2*2+12.8*2)*2.5</f>
        <v>425</v>
      </c>
      <c r="L189" s="22">
        <f t="shared" si="10"/>
        <v>1.008506616257089</v>
      </c>
      <c r="M189" s="28"/>
      <c r="N189" s="7">
        <v>0</v>
      </c>
      <c r="O189" s="7"/>
      <c r="P189" s="24"/>
      <c r="Q189" s="7" t="s">
        <v>48</v>
      </c>
      <c r="R189" s="25"/>
      <c r="S189" s="24"/>
      <c r="T189" s="24"/>
      <c r="U189" s="24"/>
      <c r="V189" s="25"/>
      <c r="W189" s="24"/>
      <c r="X189" s="25"/>
      <c r="Y189" s="13">
        <v>11298</v>
      </c>
      <c r="Z189" s="13">
        <v>12.4</v>
      </c>
      <c r="AA189" s="13">
        <v>13</v>
      </c>
      <c r="AB189" s="13">
        <v>4</v>
      </c>
      <c r="AC189" s="13">
        <v>2</v>
      </c>
      <c r="AD189" s="13">
        <v>733.01</v>
      </c>
      <c r="AE189" s="13">
        <v>733.01</v>
      </c>
      <c r="AF189" s="26">
        <f t="shared" si="7"/>
        <v>293.20400000000001</v>
      </c>
      <c r="AG189" s="27" t="s">
        <v>1322</v>
      </c>
    </row>
    <row r="190" spans="1:33" ht="56.4" customHeight="1" x14ac:dyDescent="0.35">
      <c r="A190" s="15">
        <v>243</v>
      </c>
      <c r="B190" s="16">
        <v>243</v>
      </c>
      <c r="C190" s="17" t="s">
        <v>445</v>
      </c>
      <c r="D190" s="18">
        <v>2017</v>
      </c>
      <c r="E190" s="19" t="s">
        <v>454</v>
      </c>
      <c r="F190" s="16" t="s">
        <v>456</v>
      </c>
      <c r="G190" s="7" t="s">
        <v>46</v>
      </c>
      <c r="H190" s="16" t="s">
        <v>47</v>
      </c>
      <c r="I190" s="20">
        <v>56700</v>
      </c>
      <c r="J190" s="21">
        <v>81</v>
      </c>
      <c r="K190" s="16"/>
      <c r="L190" s="28"/>
      <c r="M190" s="28"/>
      <c r="N190" s="7" t="s">
        <v>53</v>
      </c>
      <c r="O190" s="7" t="s">
        <v>54</v>
      </c>
      <c r="P190" s="24"/>
      <c r="Q190" s="7" t="s">
        <v>41</v>
      </c>
      <c r="R190" s="25">
        <v>1328182.49</v>
      </c>
      <c r="S190" s="24"/>
      <c r="T190" s="24" t="s">
        <v>42</v>
      </c>
      <c r="U190" s="24" t="s">
        <v>42</v>
      </c>
      <c r="V190" s="25"/>
      <c r="W190" s="24"/>
      <c r="X190" s="25">
        <v>3360413.6</v>
      </c>
      <c r="Y190" s="13"/>
      <c r="Z190" s="13"/>
      <c r="AA190" s="13"/>
      <c r="AB190" s="13"/>
      <c r="AC190" s="13">
        <v>2</v>
      </c>
      <c r="AD190" s="13"/>
      <c r="AE190" s="13"/>
      <c r="AF190" s="26">
        <f t="shared" si="7"/>
        <v>0</v>
      </c>
    </row>
    <row r="191" spans="1:33" ht="56.4" customHeight="1" x14ac:dyDescent="0.35">
      <c r="A191" s="15">
        <v>244</v>
      </c>
      <c r="B191" s="16">
        <v>244</v>
      </c>
      <c r="C191" s="17" t="s">
        <v>445</v>
      </c>
      <c r="D191" s="18">
        <v>2017</v>
      </c>
      <c r="E191" s="19" t="s">
        <v>457</v>
      </c>
      <c r="F191" s="16" t="s">
        <v>458</v>
      </c>
      <c r="G191" s="7" t="s">
        <v>46</v>
      </c>
      <c r="H191" s="16" t="s">
        <v>47</v>
      </c>
      <c r="I191" s="20">
        <v>56700</v>
      </c>
      <c r="J191" s="21">
        <v>81</v>
      </c>
      <c r="K191" s="16"/>
      <c r="L191" s="28"/>
      <c r="M191" s="28"/>
      <c r="N191" s="7" t="s">
        <v>53</v>
      </c>
      <c r="O191" s="7" t="s">
        <v>54</v>
      </c>
      <c r="P191" s="24"/>
      <c r="Q191" s="7" t="s">
        <v>54</v>
      </c>
      <c r="R191" s="25">
        <v>3173803.1</v>
      </c>
      <c r="S191" s="24"/>
      <c r="T191" s="24" t="s">
        <v>42</v>
      </c>
      <c r="U191" s="24" t="s">
        <v>42</v>
      </c>
      <c r="V191" s="25"/>
      <c r="W191" s="24"/>
      <c r="X191" s="25">
        <v>3173803.1</v>
      </c>
      <c r="Y191" s="13"/>
      <c r="Z191" s="13"/>
      <c r="AA191" s="13"/>
      <c r="AB191" s="13"/>
      <c r="AC191" s="13">
        <v>2</v>
      </c>
      <c r="AD191" s="13"/>
      <c r="AE191" s="13"/>
      <c r="AF191" s="26">
        <f t="shared" si="7"/>
        <v>0</v>
      </c>
    </row>
    <row r="192" spans="1:33" ht="36" x14ac:dyDescent="0.35">
      <c r="A192" s="15">
        <v>245</v>
      </c>
      <c r="B192" s="16">
        <v>245</v>
      </c>
      <c r="C192" s="17" t="s">
        <v>445</v>
      </c>
      <c r="D192" s="18">
        <v>2017</v>
      </c>
      <c r="E192" s="19" t="s">
        <v>459</v>
      </c>
      <c r="F192" s="16" t="s">
        <v>460</v>
      </c>
      <c r="G192" s="7" t="s">
        <v>38</v>
      </c>
      <c r="H192" s="16" t="s">
        <v>39</v>
      </c>
      <c r="I192" s="20">
        <v>140000</v>
      </c>
      <c r="J192" s="21">
        <v>200</v>
      </c>
      <c r="K192" s="16">
        <f>(47*2+25.24*2)*2.5</f>
        <v>361.2</v>
      </c>
      <c r="L192" s="22">
        <f>(K192/J192)-1</f>
        <v>0.80600000000000005</v>
      </c>
      <c r="M192" s="28"/>
      <c r="N192" s="7">
        <v>0</v>
      </c>
      <c r="O192" s="7"/>
      <c r="P192" s="24"/>
      <c r="Q192" s="7" t="s">
        <v>48</v>
      </c>
      <c r="R192" s="25"/>
      <c r="S192" s="24"/>
      <c r="T192" s="24"/>
      <c r="U192" s="24"/>
      <c r="V192" s="25"/>
      <c r="W192" s="24"/>
      <c r="X192" s="25"/>
      <c r="Y192" s="13">
        <v>2654</v>
      </c>
      <c r="Z192" s="13">
        <v>15</v>
      </c>
      <c r="AA192" s="13">
        <v>15</v>
      </c>
      <c r="AB192" s="13">
        <v>5</v>
      </c>
      <c r="AC192" s="13">
        <v>2</v>
      </c>
      <c r="AD192" s="13">
        <v>534.78</v>
      </c>
      <c r="AE192" s="13">
        <v>534.78</v>
      </c>
      <c r="AF192" s="26">
        <f t="shared" si="7"/>
        <v>213.91200000000001</v>
      </c>
      <c r="AG192" s="27" t="s">
        <v>1323</v>
      </c>
    </row>
    <row r="193" spans="1:33" ht="36" x14ac:dyDescent="0.35">
      <c r="A193" s="15">
        <v>246</v>
      </c>
      <c r="B193" s="16">
        <v>246</v>
      </c>
      <c r="C193" s="17" t="s">
        <v>445</v>
      </c>
      <c r="D193" s="18">
        <v>2017</v>
      </c>
      <c r="E193" s="19" t="s">
        <v>461</v>
      </c>
      <c r="F193" s="16" t="s">
        <v>462</v>
      </c>
      <c r="G193" s="7" t="s">
        <v>38</v>
      </c>
      <c r="H193" s="16" t="s">
        <v>39</v>
      </c>
      <c r="I193" s="20">
        <v>140000</v>
      </c>
      <c r="J193" s="21">
        <v>200</v>
      </c>
      <c r="K193" s="16">
        <f>(46.9*2+25.14*2)*2.5</f>
        <v>360.19999999999993</v>
      </c>
      <c r="L193" s="22">
        <f>(K193/J193)-1</f>
        <v>0.80099999999999971</v>
      </c>
      <c r="M193" s="28"/>
      <c r="N193" s="7">
        <v>0</v>
      </c>
      <c r="O193" s="7"/>
      <c r="P193" s="24"/>
      <c r="Q193" s="7" t="s">
        <v>48</v>
      </c>
      <c r="R193" s="25"/>
      <c r="S193" s="24"/>
      <c r="T193" s="24"/>
      <c r="U193" s="24"/>
      <c r="V193" s="25"/>
      <c r="W193" s="24"/>
      <c r="X193" s="25"/>
      <c r="Y193" s="13">
        <v>14055</v>
      </c>
      <c r="Z193" s="13">
        <v>15</v>
      </c>
      <c r="AA193" s="13">
        <v>15</v>
      </c>
      <c r="AB193" s="13">
        <v>5</v>
      </c>
      <c r="AC193" s="13">
        <v>2</v>
      </c>
      <c r="AD193" s="13">
        <v>919.19</v>
      </c>
      <c r="AE193" s="13">
        <v>919.19</v>
      </c>
      <c r="AF193" s="26">
        <f t="shared" si="7"/>
        <v>367.67600000000004</v>
      </c>
      <c r="AG193" s="27" t="s">
        <v>1324</v>
      </c>
    </row>
    <row r="194" spans="1:33" ht="62.4" customHeight="1" x14ac:dyDescent="0.35">
      <c r="A194" s="15">
        <v>247</v>
      </c>
      <c r="B194" s="16">
        <v>247</v>
      </c>
      <c r="C194" s="17" t="s">
        <v>445</v>
      </c>
      <c r="D194" s="18">
        <v>2017</v>
      </c>
      <c r="E194" s="19" t="s">
        <v>461</v>
      </c>
      <c r="F194" s="16" t="s">
        <v>463</v>
      </c>
      <c r="G194" s="7" t="s">
        <v>46</v>
      </c>
      <c r="H194" s="16" t="s">
        <v>47</v>
      </c>
      <c r="I194" s="20">
        <v>56700</v>
      </c>
      <c r="J194" s="21">
        <v>81</v>
      </c>
      <c r="K194" s="16"/>
      <c r="L194" s="28"/>
      <c r="M194" s="28"/>
      <c r="N194" s="7" t="s">
        <v>53</v>
      </c>
      <c r="O194" s="7" t="s">
        <v>54</v>
      </c>
      <c r="P194" s="24"/>
      <c r="Q194" s="7" t="s">
        <v>54</v>
      </c>
      <c r="R194" s="25">
        <v>3526741.1</v>
      </c>
      <c r="S194" s="24"/>
      <c r="T194" s="24" t="s">
        <v>42</v>
      </c>
      <c r="U194" s="24" t="s">
        <v>42</v>
      </c>
      <c r="V194" s="25"/>
      <c r="W194" s="24"/>
      <c r="X194" s="25">
        <v>3478788.54</v>
      </c>
      <c r="Y194" s="13"/>
      <c r="Z194" s="13"/>
      <c r="AA194" s="13"/>
      <c r="AB194" s="13"/>
      <c r="AC194" s="13">
        <v>2</v>
      </c>
      <c r="AD194" s="13"/>
      <c r="AE194" s="13"/>
      <c r="AF194" s="26">
        <f t="shared" si="7"/>
        <v>0</v>
      </c>
    </row>
    <row r="195" spans="1:33" ht="36" x14ac:dyDescent="0.35">
      <c r="A195" s="15">
        <v>248</v>
      </c>
      <c r="B195" s="16">
        <v>248</v>
      </c>
      <c r="C195" s="17" t="s">
        <v>445</v>
      </c>
      <c r="D195" s="18">
        <v>2017</v>
      </c>
      <c r="E195" s="19" t="s">
        <v>464</v>
      </c>
      <c r="F195" s="16" t="s">
        <v>465</v>
      </c>
      <c r="G195" s="7" t="s">
        <v>38</v>
      </c>
      <c r="H195" s="16" t="s">
        <v>39</v>
      </c>
      <c r="I195" s="20">
        <v>148120</v>
      </c>
      <c r="J195" s="21">
        <v>211.6</v>
      </c>
      <c r="K195" s="16">
        <f>(71.2*2+12.8*2)*2.5</f>
        <v>420</v>
      </c>
      <c r="L195" s="22">
        <f>(K195/J195)-1</f>
        <v>0.98487712665406435</v>
      </c>
      <c r="M195" s="28"/>
      <c r="N195" s="7">
        <v>0</v>
      </c>
      <c r="O195" s="7"/>
      <c r="P195" s="24"/>
      <c r="Q195" s="7" t="s">
        <v>48</v>
      </c>
      <c r="R195" s="25"/>
      <c r="S195" s="24"/>
      <c r="T195" s="24"/>
      <c r="U195" s="24"/>
      <c r="V195" s="25"/>
      <c r="W195" s="24"/>
      <c r="X195" s="25"/>
      <c r="Y195" s="13">
        <v>14471</v>
      </c>
      <c r="Z195" s="13">
        <v>14</v>
      </c>
      <c r="AA195" s="13">
        <v>14</v>
      </c>
      <c r="AB195" s="13">
        <v>4</v>
      </c>
      <c r="AC195" s="13">
        <v>2</v>
      </c>
      <c r="AD195" s="13">
        <v>829.92</v>
      </c>
      <c r="AE195" s="13">
        <v>829.92</v>
      </c>
      <c r="AF195" s="26">
        <f t="shared" si="7"/>
        <v>331.96800000000002</v>
      </c>
      <c r="AG195" s="27" t="s">
        <v>1325</v>
      </c>
    </row>
    <row r="196" spans="1:33" ht="64.8" customHeight="1" x14ac:dyDescent="0.35">
      <c r="A196" s="15">
        <v>249</v>
      </c>
      <c r="B196" s="16">
        <v>249</v>
      </c>
      <c r="C196" s="17" t="s">
        <v>445</v>
      </c>
      <c r="D196" s="18">
        <v>2017</v>
      </c>
      <c r="E196" s="19" t="s">
        <v>464</v>
      </c>
      <c r="F196" s="16" t="s">
        <v>466</v>
      </c>
      <c r="G196" s="7" t="s">
        <v>46</v>
      </c>
      <c r="H196" s="16" t="s">
        <v>47</v>
      </c>
      <c r="I196" s="20">
        <v>9100</v>
      </c>
      <c r="J196" s="21">
        <v>13</v>
      </c>
      <c r="K196" s="16"/>
      <c r="L196" s="28"/>
      <c r="M196" s="28"/>
      <c r="N196" s="7" t="s">
        <v>53</v>
      </c>
      <c r="O196" s="7" t="s">
        <v>54</v>
      </c>
      <c r="P196" s="24"/>
      <c r="Q196" s="7" t="s">
        <v>54</v>
      </c>
      <c r="R196" s="25">
        <v>3437640.8</v>
      </c>
      <c r="S196" s="24"/>
      <c r="T196" s="24" t="s">
        <v>42</v>
      </c>
      <c r="U196" s="24" t="s">
        <v>42</v>
      </c>
      <c r="V196" s="25"/>
      <c r="W196" s="24"/>
      <c r="X196" s="25">
        <v>3437640.84</v>
      </c>
      <c r="Y196" s="13"/>
      <c r="Z196" s="13"/>
      <c r="AA196" s="13"/>
      <c r="AB196" s="13"/>
      <c r="AC196" s="13">
        <v>2</v>
      </c>
      <c r="AD196" s="13"/>
      <c r="AE196" s="13"/>
      <c r="AF196" s="26">
        <f t="shared" ref="AF196:AF259" si="11">AE196*0.4</f>
        <v>0</v>
      </c>
    </row>
    <row r="197" spans="1:33" ht="53.4" customHeight="1" x14ac:dyDescent="0.35">
      <c r="A197" s="15">
        <v>250</v>
      </c>
      <c r="B197" s="16">
        <v>250</v>
      </c>
      <c r="C197" s="17" t="s">
        <v>445</v>
      </c>
      <c r="D197" s="18">
        <v>2017</v>
      </c>
      <c r="E197" s="19" t="s">
        <v>467</v>
      </c>
      <c r="F197" s="16" t="s">
        <v>468</v>
      </c>
      <c r="G197" s="7" t="s">
        <v>46</v>
      </c>
      <c r="H197" s="16" t="s">
        <v>47</v>
      </c>
      <c r="I197" s="20">
        <v>9100</v>
      </c>
      <c r="J197" s="21">
        <v>13</v>
      </c>
      <c r="K197" s="16"/>
      <c r="L197" s="28"/>
      <c r="M197" s="28"/>
      <c r="N197" s="7" t="s">
        <v>53</v>
      </c>
      <c r="O197" s="7" t="s">
        <v>54</v>
      </c>
      <c r="P197" s="24"/>
      <c r="Q197" s="7" t="s">
        <v>40</v>
      </c>
      <c r="R197" s="25">
        <v>2065278.6</v>
      </c>
      <c r="S197" s="24"/>
      <c r="T197" s="24" t="s">
        <v>42</v>
      </c>
      <c r="U197" s="24" t="s">
        <v>42</v>
      </c>
      <c r="V197" s="25"/>
      <c r="W197" s="24"/>
      <c r="X197" s="25">
        <v>2065278.69</v>
      </c>
      <c r="Y197" s="13"/>
      <c r="Z197" s="13"/>
      <c r="AA197" s="13"/>
      <c r="AB197" s="13"/>
      <c r="AC197" s="13">
        <v>2</v>
      </c>
      <c r="AD197" s="13"/>
      <c r="AE197" s="13"/>
      <c r="AF197" s="26">
        <f t="shared" si="11"/>
        <v>0</v>
      </c>
    </row>
    <row r="198" spans="1:33" ht="57.6" customHeight="1" x14ac:dyDescent="0.35">
      <c r="A198" s="15">
        <v>251</v>
      </c>
      <c r="B198" s="16">
        <v>251</v>
      </c>
      <c r="C198" s="17" t="s">
        <v>445</v>
      </c>
      <c r="D198" s="18">
        <v>2017</v>
      </c>
      <c r="E198" s="19" t="s">
        <v>469</v>
      </c>
      <c r="F198" s="16" t="s">
        <v>470</v>
      </c>
      <c r="G198" s="7" t="s">
        <v>46</v>
      </c>
      <c r="H198" s="16" t="s">
        <v>47</v>
      </c>
      <c r="I198" s="20">
        <v>9100</v>
      </c>
      <c r="J198" s="21">
        <v>13</v>
      </c>
      <c r="K198" s="16"/>
      <c r="L198" s="28"/>
      <c r="M198" s="28"/>
      <c r="N198" s="7" t="s">
        <v>53</v>
      </c>
      <c r="O198" s="7" t="s">
        <v>40</v>
      </c>
      <c r="P198" s="24"/>
      <c r="Q198" s="7" t="s">
        <v>41</v>
      </c>
      <c r="R198" s="25">
        <v>2186661</v>
      </c>
      <c r="S198" s="24"/>
      <c r="T198" s="24" t="s">
        <v>42</v>
      </c>
      <c r="U198" s="24" t="s">
        <v>42</v>
      </c>
      <c r="V198" s="25"/>
      <c r="W198" s="24"/>
      <c r="X198" s="25">
        <v>7021545.7599999998</v>
      </c>
      <c r="Y198" s="13">
        <v>19855</v>
      </c>
      <c r="Z198" s="13">
        <v>18</v>
      </c>
      <c r="AA198" s="13">
        <v>18</v>
      </c>
      <c r="AB198" s="13">
        <v>5</v>
      </c>
      <c r="AC198" s="13">
        <v>2</v>
      </c>
      <c r="AD198" s="13">
        <v>847.29</v>
      </c>
      <c r="AE198" s="13"/>
      <c r="AF198" s="26">
        <f t="shared" si="11"/>
        <v>0</v>
      </c>
      <c r="AG198" s="27" t="s">
        <v>1326</v>
      </c>
    </row>
    <row r="199" spans="1:33" ht="64.2" customHeight="1" x14ac:dyDescent="0.35">
      <c r="A199" s="15">
        <v>252</v>
      </c>
      <c r="B199" s="16">
        <v>252</v>
      </c>
      <c r="C199" s="17" t="s">
        <v>445</v>
      </c>
      <c r="D199" s="18">
        <v>2017</v>
      </c>
      <c r="E199" s="19" t="s">
        <v>471</v>
      </c>
      <c r="F199" s="16" t="s">
        <v>472</v>
      </c>
      <c r="G199" s="7" t="s">
        <v>46</v>
      </c>
      <c r="H199" s="16" t="s">
        <v>47</v>
      </c>
      <c r="I199" s="20">
        <v>9100</v>
      </c>
      <c r="J199" s="21">
        <v>13</v>
      </c>
      <c r="K199" s="16"/>
      <c r="L199" s="28"/>
      <c r="M199" s="28"/>
      <c r="N199" s="7" t="s">
        <v>53</v>
      </c>
      <c r="O199" s="7" t="s">
        <v>54</v>
      </c>
      <c r="P199" s="24"/>
      <c r="Q199" s="7" t="s">
        <v>54</v>
      </c>
      <c r="R199" s="25">
        <v>3425849.1</v>
      </c>
      <c r="S199" s="24"/>
      <c r="T199" s="24" t="s">
        <v>42</v>
      </c>
      <c r="U199" s="24" t="s">
        <v>42</v>
      </c>
      <c r="V199" s="25"/>
      <c r="W199" s="24"/>
      <c r="X199" s="25">
        <v>3425849.15</v>
      </c>
      <c r="Y199" s="13"/>
      <c r="Z199" s="13"/>
      <c r="AA199" s="13"/>
      <c r="AB199" s="13"/>
      <c r="AC199" s="13">
        <v>2</v>
      </c>
      <c r="AD199" s="13"/>
      <c r="AE199" s="13"/>
      <c r="AF199" s="26">
        <f t="shared" si="11"/>
        <v>0</v>
      </c>
    </row>
    <row r="200" spans="1:33" ht="54" customHeight="1" x14ac:dyDescent="0.35">
      <c r="A200" s="15">
        <v>253</v>
      </c>
      <c r="B200" s="16">
        <v>253</v>
      </c>
      <c r="C200" s="17" t="s">
        <v>445</v>
      </c>
      <c r="D200" s="18">
        <v>2017</v>
      </c>
      <c r="E200" s="19" t="s">
        <v>473</v>
      </c>
      <c r="F200" s="16" t="s">
        <v>474</v>
      </c>
      <c r="G200" s="7" t="s">
        <v>46</v>
      </c>
      <c r="H200" s="16" t="s">
        <v>47</v>
      </c>
      <c r="I200" s="20">
        <v>9100</v>
      </c>
      <c r="J200" s="21">
        <v>13</v>
      </c>
      <c r="K200" s="16"/>
      <c r="L200" s="28"/>
      <c r="M200" s="28"/>
      <c r="N200" s="7" t="s">
        <v>53</v>
      </c>
      <c r="O200" s="7" t="s">
        <v>54</v>
      </c>
      <c r="P200" s="24"/>
      <c r="Q200" s="7" t="s">
        <v>41</v>
      </c>
      <c r="R200" s="25">
        <v>2059810.68</v>
      </c>
      <c r="S200" s="24"/>
      <c r="T200" s="24" t="s">
        <v>42</v>
      </c>
      <c r="U200" s="24" t="s">
        <v>42</v>
      </c>
      <c r="V200" s="25">
        <v>7723203.7000000002</v>
      </c>
      <c r="W200" s="24" t="s">
        <v>344</v>
      </c>
      <c r="X200" s="25"/>
      <c r="Y200" s="13">
        <v>10269</v>
      </c>
      <c r="Z200" s="13">
        <v>118</v>
      </c>
      <c r="AA200" s="13">
        <v>18</v>
      </c>
      <c r="AB200" s="13">
        <v>5</v>
      </c>
      <c r="AC200" s="13">
        <v>2</v>
      </c>
      <c r="AD200" s="13">
        <v>573.67999999999995</v>
      </c>
      <c r="AE200" s="13"/>
      <c r="AF200" s="26">
        <f t="shared" si="11"/>
        <v>0</v>
      </c>
      <c r="AG200" s="27" t="s">
        <v>1327</v>
      </c>
    </row>
    <row r="201" spans="1:33" ht="55.2" customHeight="1" x14ac:dyDescent="0.35">
      <c r="A201" s="15">
        <v>254</v>
      </c>
      <c r="B201" s="16">
        <v>254</v>
      </c>
      <c r="C201" s="17" t="s">
        <v>445</v>
      </c>
      <c r="D201" s="18">
        <v>2017</v>
      </c>
      <c r="E201" s="19" t="s">
        <v>475</v>
      </c>
      <c r="F201" s="16" t="s">
        <v>476</v>
      </c>
      <c r="G201" s="7" t="s">
        <v>46</v>
      </c>
      <c r="H201" s="16" t="s">
        <v>47</v>
      </c>
      <c r="I201" s="20">
        <v>16240</v>
      </c>
      <c r="J201" s="21">
        <v>23.2</v>
      </c>
      <c r="K201" s="16"/>
      <c r="L201" s="28"/>
      <c r="M201" s="28"/>
      <c r="N201" s="7" t="s">
        <v>53</v>
      </c>
      <c r="O201" s="7" t="s">
        <v>54</v>
      </c>
      <c r="P201" s="24"/>
      <c r="Q201" s="7" t="s">
        <v>54</v>
      </c>
      <c r="R201" s="25">
        <v>6266617.0999999996</v>
      </c>
      <c r="S201" s="24"/>
      <c r="T201" s="24" t="s">
        <v>42</v>
      </c>
      <c r="U201" s="24" t="s">
        <v>42</v>
      </c>
      <c r="V201" s="25"/>
      <c r="W201" s="24"/>
      <c r="X201" s="25">
        <v>6266617.0800000001</v>
      </c>
      <c r="Y201" s="13"/>
      <c r="Z201" s="13"/>
      <c r="AA201" s="13"/>
      <c r="AB201" s="13"/>
      <c r="AC201" s="13">
        <v>2</v>
      </c>
      <c r="AD201" s="13"/>
      <c r="AE201" s="13"/>
      <c r="AF201" s="26">
        <f t="shared" si="11"/>
        <v>0</v>
      </c>
    </row>
    <row r="202" spans="1:33" ht="57" customHeight="1" x14ac:dyDescent="0.35">
      <c r="A202" s="15">
        <v>255</v>
      </c>
      <c r="B202" s="16">
        <v>255</v>
      </c>
      <c r="C202" s="17" t="s">
        <v>445</v>
      </c>
      <c r="D202" s="18">
        <v>2017</v>
      </c>
      <c r="E202" s="19" t="s">
        <v>477</v>
      </c>
      <c r="F202" s="16" t="s">
        <v>478</v>
      </c>
      <c r="G202" s="7" t="s">
        <v>46</v>
      </c>
      <c r="H202" s="16" t="s">
        <v>47</v>
      </c>
      <c r="I202" s="20">
        <v>16240</v>
      </c>
      <c r="J202" s="21">
        <v>23.2</v>
      </c>
      <c r="K202" s="16"/>
      <c r="L202" s="28"/>
      <c r="M202" s="28"/>
      <c r="N202" s="7" t="s">
        <v>53</v>
      </c>
      <c r="O202" s="7" t="s">
        <v>54</v>
      </c>
      <c r="P202" s="24"/>
      <c r="Q202" s="7" t="s">
        <v>54</v>
      </c>
      <c r="R202" s="25">
        <v>6580821.7999999998</v>
      </c>
      <c r="S202" s="24"/>
      <c r="T202" s="24" t="s">
        <v>42</v>
      </c>
      <c r="U202" s="24" t="s">
        <v>42</v>
      </c>
      <c r="V202" s="25"/>
      <c r="W202" s="24"/>
      <c r="X202" s="25">
        <v>6580821.7000000002</v>
      </c>
      <c r="Y202" s="13"/>
      <c r="Z202" s="13"/>
      <c r="AA202" s="13"/>
      <c r="AB202" s="13"/>
      <c r="AC202" s="13">
        <v>2</v>
      </c>
      <c r="AD202" s="13"/>
      <c r="AE202" s="13"/>
      <c r="AF202" s="26">
        <f t="shared" si="11"/>
        <v>0</v>
      </c>
    </row>
    <row r="203" spans="1:33" ht="43.2" customHeight="1" x14ac:dyDescent="0.35">
      <c r="A203" s="15">
        <v>256</v>
      </c>
      <c r="B203" s="16">
        <v>256</v>
      </c>
      <c r="C203" s="17" t="s">
        <v>445</v>
      </c>
      <c r="D203" s="18">
        <v>2017</v>
      </c>
      <c r="E203" s="19" t="s">
        <v>479</v>
      </c>
      <c r="F203" s="16" t="s">
        <v>480</v>
      </c>
      <c r="G203" s="7" t="s">
        <v>38</v>
      </c>
      <c r="H203" s="16" t="s">
        <v>39</v>
      </c>
      <c r="I203" s="20">
        <v>114800</v>
      </c>
      <c r="J203" s="21">
        <v>164</v>
      </c>
      <c r="K203" s="16"/>
      <c r="L203" s="28"/>
      <c r="M203" s="28"/>
      <c r="N203" s="7"/>
      <c r="O203" s="7" t="s">
        <v>40</v>
      </c>
      <c r="P203" s="24"/>
      <c r="Q203" s="7" t="s">
        <v>41</v>
      </c>
      <c r="R203" s="25"/>
      <c r="S203" s="24"/>
      <c r="T203" s="24"/>
      <c r="U203" s="24"/>
      <c r="V203" s="48">
        <v>8679816.3100000005</v>
      </c>
      <c r="W203" s="24"/>
      <c r="X203" s="25"/>
      <c r="Y203" s="13">
        <v>9572</v>
      </c>
      <c r="Z203" s="13">
        <v>11.3</v>
      </c>
      <c r="AA203" s="13">
        <v>12</v>
      </c>
      <c r="AB203" s="13">
        <v>4</v>
      </c>
      <c r="AC203" s="13">
        <v>2</v>
      </c>
      <c r="AD203" s="13">
        <v>682.17</v>
      </c>
      <c r="AE203" s="13">
        <v>682.17</v>
      </c>
      <c r="AF203" s="26">
        <f t="shared" si="11"/>
        <v>272.86799999999999</v>
      </c>
      <c r="AG203" s="27" t="s">
        <v>1328</v>
      </c>
    </row>
    <row r="204" spans="1:33" ht="55.2" customHeight="1" x14ac:dyDescent="0.35">
      <c r="A204" s="15">
        <v>258</v>
      </c>
      <c r="B204" s="16">
        <v>258</v>
      </c>
      <c r="C204" s="17" t="s">
        <v>445</v>
      </c>
      <c r="D204" s="18">
        <v>2017</v>
      </c>
      <c r="E204" s="19" t="s">
        <v>481</v>
      </c>
      <c r="F204" s="16" t="s">
        <v>482</v>
      </c>
      <c r="G204" s="7" t="s">
        <v>46</v>
      </c>
      <c r="H204" s="16" t="s">
        <v>47</v>
      </c>
      <c r="I204" s="20">
        <v>4200</v>
      </c>
      <c r="J204" s="21">
        <v>6</v>
      </c>
      <c r="K204" s="16"/>
      <c r="L204" s="28"/>
      <c r="M204" s="28"/>
      <c r="N204" s="7"/>
      <c r="O204" s="7" t="s">
        <v>54</v>
      </c>
      <c r="P204" s="24"/>
      <c r="Q204" s="7" t="s">
        <v>54</v>
      </c>
      <c r="R204" s="25">
        <v>4756050.4800000004</v>
      </c>
      <c r="S204" s="24"/>
      <c r="T204" s="24" t="s">
        <v>42</v>
      </c>
      <c r="U204" s="24" t="s">
        <v>42</v>
      </c>
      <c r="V204" s="25"/>
      <c r="W204" s="24"/>
      <c r="X204" s="25">
        <v>4756050.4800000004</v>
      </c>
      <c r="Y204" s="13"/>
      <c r="Z204" s="13"/>
      <c r="AA204" s="13"/>
      <c r="AB204" s="13"/>
      <c r="AC204" s="13">
        <v>2</v>
      </c>
      <c r="AD204" s="13"/>
      <c r="AE204" s="13"/>
      <c r="AF204" s="26">
        <f t="shared" si="11"/>
        <v>0</v>
      </c>
    </row>
    <row r="205" spans="1:33" ht="59.4" customHeight="1" x14ac:dyDescent="0.35">
      <c r="A205" s="15">
        <v>260</v>
      </c>
      <c r="B205" s="16">
        <v>260</v>
      </c>
      <c r="C205" s="17" t="s">
        <v>445</v>
      </c>
      <c r="D205" s="18">
        <v>2017</v>
      </c>
      <c r="E205" s="19" t="s">
        <v>483</v>
      </c>
      <c r="F205" s="16" t="s">
        <v>484</v>
      </c>
      <c r="G205" s="7" t="s">
        <v>46</v>
      </c>
      <c r="H205" s="16" t="s">
        <v>47</v>
      </c>
      <c r="I205" s="20">
        <v>107520</v>
      </c>
      <c r="J205" s="21">
        <v>153.6</v>
      </c>
      <c r="K205" s="16"/>
      <c r="L205" s="28"/>
      <c r="M205" s="28"/>
      <c r="N205" s="7"/>
      <c r="O205" s="7" t="s">
        <v>54</v>
      </c>
      <c r="P205" s="24"/>
      <c r="Q205" s="7" t="s">
        <v>40</v>
      </c>
      <c r="R205" s="25">
        <v>7052947.2000000002</v>
      </c>
      <c r="S205" s="24"/>
      <c r="T205" s="24" t="s">
        <v>42</v>
      </c>
      <c r="U205" s="24" t="s">
        <v>42</v>
      </c>
      <c r="V205" s="25"/>
      <c r="W205" s="24"/>
      <c r="X205" s="25">
        <v>7052947.2000000002</v>
      </c>
      <c r="Y205" s="13"/>
      <c r="Z205" s="13"/>
      <c r="AA205" s="13"/>
      <c r="AB205" s="13"/>
      <c r="AC205" s="13">
        <v>2</v>
      </c>
      <c r="AD205" s="13"/>
      <c r="AE205" s="13"/>
      <c r="AF205" s="26">
        <f t="shared" si="11"/>
        <v>0</v>
      </c>
    </row>
    <row r="206" spans="1:33" ht="46.2" customHeight="1" x14ac:dyDescent="0.35">
      <c r="A206" s="15">
        <v>261</v>
      </c>
      <c r="B206" s="16">
        <v>261</v>
      </c>
      <c r="C206" s="17" t="s">
        <v>445</v>
      </c>
      <c r="D206" s="18">
        <v>2017</v>
      </c>
      <c r="E206" s="19" t="s">
        <v>483</v>
      </c>
      <c r="F206" s="16" t="s">
        <v>485</v>
      </c>
      <c r="G206" s="7" t="s">
        <v>79</v>
      </c>
      <c r="H206" s="16" t="s">
        <v>80</v>
      </c>
      <c r="I206" s="20">
        <v>15241.75</v>
      </c>
      <c r="J206" s="21">
        <v>139</v>
      </c>
      <c r="K206" s="16">
        <v>137.30000000000001</v>
      </c>
      <c r="L206" s="28"/>
      <c r="M206" s="28"/>
      <c r="N206" s="7"/>
      <c r="O206" s="7" t="s">
        <v>54</v>
      </c>
      <c r="P206" s="24"/>
      <c r="Q206" s="7" t="s">
        <v>54</v>
      </c>
      <c r="R206" s="25">
        <v>224616.23</v>
      </c>
      <c r="S206" s="24"/>
      <c r="T206" s="24" t="s">
        <v>42</v>
      </c>
      <c r="U206" s="24" t="s">
        <v>42</v>
      </c>
      <c r="V206" s="25"/>
      <c r="W206" s="24"/>
      <c r="X206" s="25">
        <v>219616.23</v>
      </c>
      <c r="Y206" s="13"/>
      <c r="Z206" s="13"/>
      <c r="AA206" s="13"/>
      <c r="AB206" s="13"/>
      <c r="AC206" s="13">
        <v>2</v>
      </c>
      <c r="AD206" s="13"/>
      <c r="AE206" s="13"/>
      <c r="AF206" s="26">
        <f t="shared" si="11"/>
        <v>0</v>
      </c>
    </row>
    <row r="207" spans="1:33" ht="67.2" customHeight="1" x14ac:dyDescent="0.35">
      <c r="A207" s="15">
        <v>262</v>
      </c>
      <c r="B207" s="16">
        <v>262</v>
      </c>
      <c r="C207" s="17" t="s">
        <v>445</v>
      </c>
      <c r="D207" s="18">
        <v>2017</v>
      </c>
      <c r="E207" s="19" t="s">
        <v>486</v>
      </c>
      <c r="F207" s="16" t="s">
        <v>487</v>
      </c>
      <c r="G207" s="7" t="s">
        <v>46</v>
      </c>
      <c r="H207" s="16" t="s">
        <v>47</v>
      </c>
      <c r="I207" s="20">
        <v>119000</v>
      </c>
      <c r="J207" s="21">
        <v>170</v>
      </c>
      <c r="K207" s="16"/>
      <c r="L207" s="28"/>
      <c r="M207" s="28"/>
      <c r="N207" s="7" t="s">
        <v>53</v>
      </c>
      <c r="O207" s="7" t="s">
        <v>54</v>
      </c>
      <c r="P207" s="24"/>
      <c r="Q207" s="7" t="s">
        <v>54</v>
      </c>
      <c r="R207" s="25">
        <v>7309993.0999999996</v>
      </c>
      <c r="S207" s="24"/>
      <c r="T207" s="24" t="s">
        <v>42</v>
      </c>
      <c r="U207" s="24" t="s">
        <v>42</v>
      </c>
      <c r="V207" s="25"/>
      <c r="W207" s="24"/>
      <c r="X207" s="25">
        <v>7309993.0899999999</v>
      </c>
      <c r="Y207" s="13"/>
      <c r="Z207" s="13"/>
      <c r="AA207" s="13"/>
      <c r="AB207" s="13"/>
      <c r="AC207" s="13">
        <v>2</v>
      </c>
      <c r="AD207" s="13"/>
      <c r="AE207" s="13"/>
      <c r="AF207" s="26">
        <f t="shared" si="11"/>
        <v>0</v>
      </c>
    </row>
    <row r="208" spans="1:33" ht="36" x14ac:dyDescent="0.35">
      <c r="A208" s="15">
        <v>264</v>
      </c>
      <c r="B208" s="16">
        <v>264</v>
      </c>
      <c r="C208" s="17" t="s">
        <v>445</v>
      </c>
      <c r="D208" s="18">
        <v>2016</v>
      </c>
      <c r="E208" s="19" t="s">
        <v>488</v>
      </c>
      <c r="F208" s="16" t="s">
        <v>489</v>
      </c>
      <c r="G208" s="7" t="s">
        <v>38</v>
      </c>
      <c r="H208" s="16" t="s">
        <v>39</v>
      </c>
      <c r="I208" s="20">
        <v>164500</v>
      </c>
      <c r="J208" s="21">
        <v>235</v>
      </c>
      <c r="K208" s="16">
        <f>(64*2+10*2)*2</f>
        <v>296</v>
      </c>
      <c r="L208" s="22">
        <f>(K208/J208)-1</f>
        <v>0.25957446808510642</v>
      </c>
      <c r="M208" s="28"/>
      <c r="N208" s="7">
        <v>0</v>
      </c>
      <c r="O208" s="7"/>
      <c r="P208" s="24"/>
      <c r="Q208" s="7" t="s">
        <v>48</v>
      </c>
      <c r="R208" s="25"/>
      <c r="S208" s="24"/>
      <c r="T208" s="24"/>
      <c r="U208" s="24"/>
      <c r="V208" s="25"/>
      <c r="W208" s="24"/>
      <c r="X208" s="25"/>
      <c r="Y208" s="13">
        <v>9582</v>
      </c>
      <c r="Z208" s="13">
        <v>14.4</v>
      </c>
      <c r="AA208" s="13">
        <v>15</v>
      </c>
      <c r="AB208" s="13">
        <v>5</v>
      </c>
      <c r="AC208" s="13">
        <v>2</v>
      </c>
      <c r="AD208" s="13">
        <v>768.37</v>
      </c>
      <c r="AE208" s="13">
        <v>768.37</v>
      </c>
      <c r="AF208" s="26">
        <f t="shared" si="11"/>
        <v>307.34800000000001</v>
      </c>
      <c r="AG208" s="27" t="s">
        <v>1329</v>
      </c>
    </row>
    <row r="209" spans="1:33" ht="36" x14ac:dyDescent="0.35">
      <c r="A209" s="15">
        <v>267</v>
      </c>
      <c r="B209" s="16">
        <v>267</v>
      </c>
      <c r="C209" s="17" t="s">
        <v>445</v>
      </c>
      <c r="D209" s="18">
        <v>2017</v>
      </c>
      <c r="E209" s="19" t="s">
        <v>490</v>
      </c>
      <c r="F209" s="16" t="s">
        <v>491</v>
      </c>
      <c r="G209" s="7" t="s">
        <v>79</v>
      </c>
      <c r="H209" s="16" t="s">
        <v>80</v>
      </c>
      <c r="I209" s="20">
        <v>27413.23</v>
      </c>
      <c r="J209" s="21">
        <v>250</v>
      </c>
      <c r="K209" s="16">
        <f>(43.83*2+38.5*2)*2</f>
        <v>329.32</v>
      </c>
      <c r="L209" s="22">
        <f>(K209/J209)-1</f>
        <v>0.31728000000000001</v>
      </c>
      <c r="M209" s="28"/>
      <c r="N209" s="7">
        <v>0</v>
      </c>
      <c r="O209" s="7"/>
      <c r="P209" s="24"/>
      <c r="Q209" s="7" t="s">
        <v>48</v>
      </c>
      <c r="R209" s="25"/>
      <c r="S209" s="24"/>
      <c r="T209" s="24"/>
      <c r="U209" s="24"/>
      <c r="V209" s="25"/>
      <c r="W209" s="24"/>
      <c r="X209" s="25"/>
      <c r="Y209" s="13">
        <v>24855</v>
      </c>
      <c r="Z209" s="13">
        <v>16</v>
      </c>
      <c r="AA209" s="13">
        <v>16</v>
      </c>
      <c r="AB209" s="13">
        <v>5</v>
      </c>
      <c r="AC209" s="13">
        <v>2</v>
      </c>
      <c r="AD209" s="13"/>
      <c r="AE209" s="13">
        <v>99.674999999999997</v>
      </c>
      <c r="AF209" s="26">
        <v>39.869999999999997</v>
      </c>
      <c r="AG209" s="27" t="s">
        <v>1330</v>
      </c>
    </row>
    <row r="210" spans="1:33" ht="36" x14ac:dyDescent="0.35">
      <c r="A210" s="15">
        <v>270</v>
      </c>
      <c r="B210" s="16">
        <v>270</v>
      </c>
      <c r="C210" s="17" t="s">
        <v>445</v>
      </c>
      <c r="D210" s="18">
        <v>2017</v>
      </c>
      <c r="E210" s="19" t="s">
        <v>492</v>
      </c>
      <c r="F210" s="16" t="s">
        <v>493</v>
      </c>
      <c r="G210" s="7" t="s">
        <v>79</v>
      </c>
      <c r="H210" s="16" t="s">
        <v>80</v>
      </c>
      <c r="I210" s="20">
        <v>25000.86</v>
      </c>
      <c r="J210" s="21">
        <v>228</v>
      </c>
      <c r="K210" s="16">
        <f>(74.26*2+44.791*2)*0.7</f>
        <v>166.67140000000001</v>
      </c>
      <c r="L210" s="22">
        <f>(K210/J210)-1</f>
        <v>-0.26898508771929819</v>
      </c>
      <c r="M210" s="28">
        <v>1</v>
      </c>
      <c r="N210" s="7">
        <v>0</v>
      </c>
      <c r="O210" s="7"/>
      <c r="P210" s="24"/>
      <c r="Q210" s="7" t="s">
        <v>48</v>
      </c>
      <c r="R210" s="25"/>
      <c r="S210" s="24"/>
      <c r="T210" s="24"/>
      <c r="U210" s="24"/>
      <c r="V210" s="25"/>
      <c r="W210" s="24"/>
      <c r="X210" s="25"/>
      <c r="Y210" s="13">
        <v>4674</v>
      </c>
      <c r="Z210" s="13">
        <v>12</v>
      </c>
      <c r="AA210" s="13">
        <v>12</v>
      </c>
      <c r="AB210" s="13">
        <v>3</v>
      </c>
      <c r="AC210" s="13">
        <v>2</v>
      </c>
      <c r="AD210" s="13"/>
      <c r="AE210" s="13">
        <v>26.6</v>
      </c>
      <c r="AF210" s="26">
        <v>10.64</v>
      </c>
      <c r="AG210" s="27" t="s">
        <v>1331</v>
      </c>
    </row>
    <row r="211" spans="1:33" ht="36" x14ac:dyDescent="0.35">
      <c r="A211" s="15">
        <v>272</v>
      </c>
      <c r="B211" s="16">
        <v>272</v>
      </c>
      <c r="C211" s="17" t="s">
        <v>445</v>
      </c>
      <c r="D211" s="18">
        <v>2017</v>
      </c>
      <c r="E211" s="19" t="s">
        <v>494</v>
      </c>
      <c r="F211" s="16" t="s">
        <v>495</v>
      </c>
      <c r="G211" s="7" t="s">
        <v>79</v>
      </c>
      <c r="H211" s="16" t="s">
        <v>80</v>
      </c>
      <c r="I211" s="20">
        <v>15351.41</v>
      </c>
      <c r="J211" s="21">
        <v>140</v>
      </c>
      <c r="K211" s="16">
        <f>(69.4*2+25.84*2)*0.82</f>
        <v>156.1936</v>
      </c>
      <c r="L211" s="22">
        <f t="shared" ref="L211:L218" si="12">(K211/J211)-1</f>
        <v>0.11566857142857145</v>
      </c>
      <c r="M211" s="28">
        <v>1</v>
      </c>
      <c r="N211" s="7">
        <v>0</v>
      </c>
      <c r="O211" s="7"/>
      <c r="P211" s="24"/>
      <c r="Q211" s="7" t="s">
        <v>48</v>
      </c>
      <c r="R211" s="25"/>
      <c r="S211" s="24"/>
      <c r="T211" s="24"/>
      <c r="U211" s="24"/>
      <c r="V211" s="25"/>
      <c r="W211" s="24"/>
      <c r="X211" s="25"/>
      <c r="Y211" s="13">
        <v>25910</v>
      </c>
      <c r="Z211" s="13">
        <v>18</v>
      </c>
      <c r="AA211" s="13">
        <v>18</v>
      </c>
      <c r="AB211" s="13">
        <v>5</v>
      </c>
      <c r="AC211" s="13">
        <v>2</v>
      </c>
      <c r="AD211" s="13"/>
      <c r="AE211" s="13">
        <v>94.625</v>
      </c>
      <c r="AF211" s="26">
        <v>37.85</v>
      </c>
      <c r="AG211" s="27" t="s">
        <v>1332</v>
      </c>
    </row>
    <row r="212" spans="1:33" ht="36" x14ac:dyDescent="0.35">
      <c r="A212" s="15">
        <v>273</v>
      </c>
      <c r="B212" s="16">
        <v>273</v>
      </c>
      <c r="C212" s="17" t="s">
        <v>445</v>
      </c>
      <c r="D212" s="18">
        <v>2017</v>
      </c>
      <c r="E212" s="19" t="s">
        <v>496</v>
      </c>
      <c r="F212" s="16" t="s">
        <v>497</v>
      </c>
      <c r="G212" s="7" t="s">
        <v>79</v>
      </c>
      <c r="H212" s="16" t="s">
        <v>80</v>
      </c>
      <c r="I212" s="20">
        <v>20395.439999999999</v>
      </c>
      <c r="J212" s="21">
        <v>186</v>
      </c>
      <c r="K212" s="16">
        <f>(64.52*2+16.72*2)*0.9</f>
        <v>146.232</v>
      </c>
      <c r="L212" s="22">
        <f t="shared" si="12"/>
        <v>-0.21380645161290324</v>
      </c>
      <c r="M212" s="28">
        <v>1</v>
      </c>
      <c r="N212" s="7">
        <v>0</v>
      </c>
      <c r="O212" s="7"/>
      <c r="P212" s="24"/>
      <c r="Q212" s="7" t="s">
        <v>48</v>
      </c>
      <c r="R212" s="25"/>
      <c r="S212" s="24"/>
      <c r="T212" s="24"/>
      <c r="U212" s="24"/>
      <c r="V212" s="25"/>
      <c r="W212" s="24"/>
      <c r="X212" s="25"/>
      <c r="Y212" s="13">
        <v>17057</v>
      </c>
      <c r="Z212" s="13">
        <v>18</v>
      </c>
      <c r="AA212" s="13">
        <v>18</v>
      </c>
      <c r="AB212" s="13">
        <v>5</v>
      </c>
      <c r="AC212" s="13">
        <v>2</v>
      </c>
      <c r="AD212" s="13"/>
      <c r="AE212" s="13">
        <v>67.650000000000006</v>
      </c>
      <c r="AF212" s="26">
        <v>27.06</v>
      </c>
      <c r="AG212" s="27" t="s">
        <v>1333</v>
      </c>
    </row>
    <row r="213" spans="1:33" ht="36" x14ac:dyDescent="0.35">
      <c r="A213" s="15">
        <v>274</v>
      </c>
      <c r="B213" s="16">
        <v>274</v>
      </c>
      <c r="C213" s="17" t="s">
        <v>445</v>
      </c>
      <c r="D213" s="18">
        <v>2017</v>
      </c>
      <c r="E213" s="19" t="s">
        <v>498</v>
      </c>
      <c r="F213" s="16" t="s">
        <v>499</v>
      </c>
      <c r="G213" s="7" t="s">
        <v>79</v>
      </c>
      <c r="H213" s="16" t="s">
        <v>80</v>
      </c>
      <c r="I213" s="20">
        <v>7149.37</v>
      </c>
      <c r="J213" s="21">
        <v>65.2</v>
      </c>
      <c r="K213" s="16">
        <f>(48*2+48.19*2)*1</f>
        <v>192.38</v>
      </c>
      <c r="L213" s="22">
        <f t="shared" si="12"/>
        <v>1.9506134969325153</v>
      </c>
      <c r="M213" s="28"/>
      <c r="N213" s="7">
        <v>0</v>
      </c>
      <c r="O213" s="7"/>
      <c r="P213" s="24"/>
      <c r="Q213" s="7" t="s">
        <v>48</v>
      </c>
      <c r="R213" s="25"/>
      <c r="S213" s="24"/>
      <c r="T213" s="24"/>
      <c r="U213" s="24"/>
      <c r="V213" s="25"/>
      <c r="W213" s="24"/>
      <c r="X213" s="25"/>
      <c r="Y213" s="13">
        <v>19855</v>
      </c>
      <c r="Z213" s="13">
        <v>18</v>
      </c>
      <c r="AA213" s="13">
        <v>18</v>
      </c>
      <c r="AB213" s="13">
        <v>5</v>
      </c>
      <c r="AC213" s="13">
        <v>2</v>
      </c>
      <c r="AD213" s="13"/>
      <c r="AE213" s="13">
        <v>76.174999999999997</v>
      </c>
      <c r="AF213" s="26">
        <v>30.47</v>
      </c>
      <c r="AG213" s="27" t="s">
        <v>1326</v>
      </c>
    </row>
    <row r="214" spans="1:33" ht="36" x14ac:dyDescent="0.35">
      <c r="A214" s="15">
        <v>275</v>
      </c>
      <c r="B214" s="16">
        <v>275</v>
      </c>
      <c r="C214" s="17" t="s">
        <v>445</v>
      </c>
      <c r="D214" s="18">
        <v>2017</v>
      </c>
      <c r="E214" s="19" t="s">
        <v>500</v>
      </c>
      <c r="F214" s="16" t="s">
        <v>501</v>
      </c>
      <c r="G214" s="7" t="s">
        <v>79</v>
      </c>
      <c r="H214" s="16" t="s">
        <v>80</v>
      </c>
      <c r="I214" s="20">
        <v>16447.939999999999</v>
      </c>
      <c r="J214" s="21">
        <v>150</v>
      </c>
      <c r="K214" s="16">
        <f>(53.56*2+12.75*2)*0.8</f>
        <v>106.096</v>
      </c>
      <c r="L214" s="22">
        <f t="shared" si="12"/>
        <v>-0.29269333333333336</v>
      </c>
      <c r="M214" s="28">
        <v>1</v>
      </c>
      <c r="N214" s="7">
        <v>0</v>
      </c>
      <c r="O214" s="7"/>
      <c r="P214" s="24"/>
      <c r="Q214" s="7" t="s">
        <v>48</v>
      </c>
      <c r="R214" s="25"/>
      <c r="S214" s="24"/>
      <c r="T214" s="24"/>
      <c r="U214" s="24"/>
      <c r="V214" s="25"/>
      <c r="W214" s="24"/>
      <c r="X214" s="25"/>
      <c r="Y214" s="13">
        <v>11403</v>
      </c>
      <c r="Z214" s="13">
        <v>18</v>
      </c>
      <c r="AA214" s="13">
        <v>18</v>
      </c>
      <c r="AB214" s="13">
        <v>5</v>
      </c>
      <c r="AC214" s="13">
        <v>2</v>
      </c>
      <c r="AD214" s="13"/>
      <c r="AE214" s="13">
        <v>50.424999999999997</v>
      </c>
      <c r="AF214" s="26">
        <v>20.170000000000002</v>
      </c>
      <c r="AG214" s="27" t="s">
        <v>1334</v>
      </c>
    </row>
    <row r="215" spans="1:33" ht="36" x14ac:dyDescent="0.35">
      <c r="A215" s="15">
        <v>276</v>
      </c>
      <c r="B215" s="16">
        <v>276</v>
      </c>
      <c r="C215" s="17" t="s">
        <v>445</v>
      </c>
      <c r="D215" s="18">
        <v>2017</v>
      </c>
      <c r="E215" s="19" t="s">
        <v>502</v>
      </c>
      <c r="F215" s="16" t="s">
        <v>503</v>
      </c>
      <c r="G215" s="7" t="s">
        <v>79</v>
      </c>
      <c r="H215" s="16" t="s">
        <v>80</v>
      </c>
      <c r="I215" s="20">
        <v>14912.79</v>
      </c>
      <c r="J215" s="21">
        <v>136</v>
      </c>
      <c r="K215" s="16">
        <f>240</f>
        <v>240</v>
      </c>
      <c r="L215" s="22">
        <f t="shared" si="12"/>
        <v>0.76470588235294112</v>
      </c>
      <c r="M215" s="28"/>
      <c r="N215" s="7">
        <v>0</v>
      </c>
      <c r="O215" s="7"/>
      <c r="P215" s="24"/>
      <c r="Q215" s="7" t="s">
        <v>48</v>
      </c>
      <c r="R215" s="25"/>
      <c r="S215" s="24"/>
      <c r="T215" s="24"/>
      <c r="U215" s="24"/>
      <c r="V215" s="25"/>
      <c r="W215" s="24"/>
      <c r="X215" s="25"/>
      <c r="Y215" s="13">
        <v>1080.9000000000001</v>
      </c>
      <c r="Z215" s="13">
        <v>15</v>
      </c>
      <c r="AA215" s="13">
        <v>15</v>
      </c>
      <c r="AB215" s="13">
        <v>5</v>
      </c>
      <c r="AC215" s="13">
        <v>2</v>
      </c>
      <c r="AD215" s="13"/>
      <c r="AE215" s="13">
        <v>19.55</v>
      </c>
      <c r="AF215" s="26">
        <v>7.82</v>
      </c>
      <c r="AG215" s="27" t="s">
        <v>1335</v>
      </c>
    </row>
    <row r="216" spans="1:33" ht="36" x14ac:dyDescent="0.35">
      <c r="A216" s="15">
        <v>277</v>
      </c>
      <c r="B216" s="16">
        <v>277</v>
      </c>
      <c r="C216" s="17" t="s">
        <v>445</v>
      </c>
      <c r="D216" s="18">
        <v>2017</v>
      </c>
      <c r="E216" s="19" t="s">
        <v>504</v>
      </c>
      <c r="F216" s="16" t="s">
        <v>505</v>
      </c>
      <c r="G216" s="7" t="s">
        <v>79</v>
      </c>
      <c r="H216" s="16" t="s">
        <v>80</v>
      </c>
      <c r="I216" s="20">
        <v>14912.79</v>
      </c>
      <c r="J216" s="21">
        <v>136</v>
      </c>
      <c r="K216" s="16">
        <f>195</f>
        <v>195</v>
      </c>
      <c r="L216" s="22">
        <f t="shared" si="12"/>
        <v>0.43382352941176472</v>
      </c>
      <c r="M216" s="28"/>
      <c r="N216" s="7">
        <v>0</v>
      </c>
      <c r="O216" s="7"/>
      <c r="P216" s="24"/>
      <c r="Q216" s="7" t="s">
        <v>48</v>
      </c>
      <c r="R216" s="25"/>
      <c r="S216" s="24"/>
      <c r="T216" s="24"/>
      <c r="U216" s="24"/>
      <c r="V216" s="25"/>
      <c r="W216" s="24"/>
      <c r="X216" s="25"/>
      <c r="Y216" s="13">
        <v>11947</v>
      </c>
      <c r="Z216" s="13">
        <v>15</v>
      </c>
      <c r="AA216" s="13">
        <v>15</v>
      </c>
      <c r="AB216" s="13">
        <v>5</v>
      </c>
      <c r="AC216" s="13">
        <v>2</v>
      </c>
      <c r="AD216" s="13"/>
      <c r="AE216" s="13">
        <v>58.075000000000003</v>
      </c>
      <c r="AF216" s="26">
        <v>23.23</v>
      </c>
      <c r="AG216" s="27" t="s">
        <v>1336</v>
      </c>
    </row>
    <row r="217" spans="1:33" ht="64.2" customHeight="1" x14ac:dyDescent="0.35">
      <c r="A217" s="15">
        <v>278</v>
      </c>
      <c r="B217" s="16">
        <v>278</v>
      </c>
      <c r="C217" s="17" t="s">
        <v>445</v>
      </c>
      <c r="D217" s="18">
        <v>2017</v>
      </c>
      <c r="E217" s="19" t="s">
        <v>506</v>
      </c>
      <c r="F217" s="16" t="s">
        <v>507</v>
      </c>
      <c r="G217" s="7" t="s">
        <v>46</v>
      </c>
      <c r="H217" s="16" t="s">
        <v>47</v>
      </c>
      <c r="I217" s="20">
        <v>16240</v>
      </c>
      <c r="J217" s="21">
        <v>23.2</v>
      </c>
      <c r="K217" s="16"/>
      <c r="L217" s="28"/>
      <c r="M217" s="28"/>
      <c r="N217" s="7" t="s">
        <v>53</v>
      </c>
      <c r="O217" s="7" t="s">
        <v>54</v>
      </c>
      <c r="P217" s="24"/>
      <c r="Q217" s="7" t="s">
        <v>54</v>
      </c>
      <c r="R217" s="25">
        <v>3136132.15</v>
      </c>
      <c r="S217" s="24"/>
      <c r="T217" s="24" t="s">
        <v>42</v>
      </c>
      <c r="U217" s="24" t="s">
        <v>42</v>
      </c>
      <c r="V217" s="25"/>
      <c r="W217" s="24"/>
      <c r="X217" s="25">
        <v>3136132.15</v>
      </c>
      <c r="Y217" s="13"/>
      <c r="Z217" s="13"/>
      <c r="AA217" s="13"/>
      <c r="AB217" s="13"/>
      <c r="AC217" s="13">
        <v>2</v>
      </c>
      <c r="AD217" s="13"/>
      <c r="AE217" s="13"/>
      <c r="AF217" s="26">
        <f t="shared" si="11"/>
        <v>0</v>
      </c>
    </row>
    <row r="218" spans="1:33" ht="36" x14ac:dyDescent="0.35">
      <c r="A218" s="15">
        <v>279</v>
      </c>
      <c r="B218" s="16">
        <v>279</v>
      </c>
      <c r="C218" s="17" t="s">
        <v>445</v>
      </c>
      <c r="D218" s="18">
        <v>2017</v>
      </c>
      <c r="E218" s="19" t="s">
        <v>506</v>
      </c>
      <c r="F218" s="16" t="s">
        <v>508</v>
      </c>
      <c r="G218" s="7" t="s">
        <v>79</v>
      </c>
      <c r="H218" s="16" t="s">
        <v>80</v>
      </c>
      <c r="I218" s="20">
        <v>14912.79</v>
      </c>
      <c r="J218" s="21">
        <v>136</v>
      </c>
      <c r="K218" s="16">
        <f>155</f>
        <v>155</v>
      </c>
      <c r="L218" s="22">
        <f t="shared" si="12"/>
        <v>0.13970588235294112</v>
      </c>
      <c r="M218" s="28">
        <v>1</v>
      </c>
      <c r="N218" s="7">
        <v>0</v>
      </c>
      <c r="O218" s="7"/>
      <c r="P218" s="24"/>
      <c r="Q218" s="7" t="s">
        <v>48</v>
      </c>
      <c r="R218" s="25"/>
      <c r="S218" s="24"/>
      <c r="T218" s="24"/>
      <c r="U218" s="24"/>
      <c r="V218" s="25"/>
      <c r="W218" s="24"/>
      <c r="X218" s="25"/>
      <c r="Y218" s="13">
        <v>22827.599999999999</v>
      </c>
      <c r="Z218" s="13">
        <v>12</v>
      </c>
      <c r="AA218" s="13">
        <v>12</v>
      </c>
      <c r="AB218" s="13">
        <v>4</v>
      </c>
      <c r="AC218" s="13">
        <v>2</v>
      </c>
      <c r="AD218" s="13"/>
      <c r="AE218" s="13">
        <v>103.72499999999999</v>
      </c>
      <c r="AF218" s="26">
        <v>41.49</v>
      </c>
      <c r="AG218" s="27" t="s">
        <v>1337</v>
      </c>
    </row>
    <row r="219" spans="1:33" ht="61.2" customHeight="1" x14ac:dyDescent="0.35">
      <c r="A219" s="15">
        <v>280</v>
      </c>
      <c r="B219" s="16">
        <v>280</v>
      </c>
      <c r="C219" s="17" t="s">
        <v>445</v>
      </c>
      <c r="D219" s="18">
        <v>2017</v>
      </c>
      <c r="E219" s="19" t="s">
        <v>509</v>
      </c>
      <c r="F219" s="16" t="s">
        <v>510</v>
      </c>
      <c r="G219" s="7" t="s">
        <v>46</v>
      </c>
      <c r="H219" s="16" t="s">
        <v>47</v>
      </c>
      <c r="I219" s="20">
        <v>28560</v>
      </c>
      <c r="J219" s="21">
        <v>40.799999999999997</v>
      </c>
      <c r="K219" s="16"/>
      <c r="L219" s="28"/>
      <c r="M219" s="28"/>
      <c r="N219" s="7" t="s">
        <v>53</v>
      </c>
      <c r="O219" s="7" t="s">
        <v>54</v>
      </c>
      <c r="P219" s="24"/>
      <c r="Q219" s="7" t="s">
        <v>40</v>
      </c>
      <c r="R219" s="25">
        <v>4995103.5</v>
      </c>
      <c r="S219" s="24"/>
      <c r="T219" s="24" t="s">
        <v>42</v>
      </c>
      <c r="U219" s="24" t="s">
        <v>42</v>
      </c>
      <c r="V219" s="25"/>
      <c r="W219" s="24"/>
      <c r="X219" s="25">
        <v>4995103.55</v>
      </c>
      <c r="Y219" s="13"/>
      <c r="Z219" s="13"/>
      <c r="AA219" s="13"/>
      <c r="AB219" s="13"/>
      <c r="AC219" s="13">
        <v>2</v>
      </c>
      <c r="AD219" s="13"/>
      <c r="AE219" s="13"/>
      <c r="AF219" s="26">
        <f t="shared" si="11"/>
        <v>0</v>
      </c>
    </row>
    <row r="220" spans="1:33" ht="36" x14ac:dyDescent="0.35">
      <c r="A220" s="15">
        <v>282</v>
      </c>
      <c r="B220" s="16">
        <v>282</v>
      </c>
      <c r="C220" s="17" t="s">
        <v>511</v>
      </c>
      <c r="D220" s="18">
        <v>2016</v>
      </c>
      <c r="E220" s="19" t="s">
        <v>512</v>
      </c>
      <c r="F220" s="16" t="s">
        <v>513</v>
      </c>
      <c r="G220" s="7" t="s">
        <v>38</v>
      </c>
      <c r="H220" s="16" t="s">
        <v>39</v>
      </c>
      <c r="I220" s="20">
        <v>45500</v>
      </c>
      <c r="J220" s="21">
        <v>65</v>
      </c>
      <c r="K220" s="16">
        <f>20.5*4*2.5</f>
        <v>205</v>
      </c>
      <c r="L220" s="22">
        <f>(K220/J220)-1</f>
        <v>2.1538461538461537</v>
      </c>
      <c r="M220" s="28" t="s">
        <v>99</v>
      </c>
      <c r="N220" s="7">
        <v>0</v>
      </c>
      <c r="O220" s="7"/>
      <c r="P220" s="24"/>
      <c r="Q220" s="7" t="s">
        <v>48</v>
      </c>
      <c r="R220" s="25"/>
      <c r="S220" s="24"/>
      <c r="T220" s="24"/>
      <c r="U220" s="24"/>
      <c r="V220" s="25"/>
      <c r="W220" s="24"/>
      <c r="X220" s="25"/>
      <c r="Y220" s="13">
        <v>2177</v>
      </c>
      <c r="Z220" s="13">
        <v>5</v>
      </c>
      <c r="AA220" s="13">
        <v>6</v>
      </c>
      <c r="AB220" s="13">
        <v>2</v>
      </c>
      <c r="AC220" s="13">
        <v>2</v>
      </c>
      <c r="AD220" s="13">
        <v>243.42</v>
      </c>
      <c r="AE220" s="13">
        <v>243.42</v>
      </c>
      <c r="AF220" s="26">
        <f t="shared" si="11"/>
        <v>97.367999999999995</v>
      </c>
      <c r="AG220" s="27" t="s">
        <v>1338</v>
      </c>
    </row>
    <row r="221" spans="1:33" ht="36" x14ac:dyDescent="0.35">
      <c r="A221" s="15">
        <v>283</v>
      </c>
      <c r="B221" s="16">
        <v>283</v>
      </c>
      <c r="C221" s="17" t="s">
        <v>511</v>
      </c>
      <c r="D221" s="18">
        <v>2016</v>
      </c>
      <c r="E221" s="19" t="s">
        <v>514</v>
      </c>
      <c r="F221" s="16" t="s">
        <v>515</v>
      </c>
      <c r="G221" s="7" t="s">
        <v>38</v>
      </c>
      <c r="H221" s="16" t="s">
        <v>39</v>
      </c>
      <c r="I221" s="20">
        <v>45500</v>
      </c>
      <c r="J221" s="21">
        <v>65</v>
      </c>
      <c r="K221" s="16">
        <f>20.5*4*2.5</f>
        <v>205</v>
      </c>
      <c r="L221" s="22">
        <f>(K221/J221)-1</f>
        <v>2.1538461538461537</v>
      </c>
      <c r="M221" s="28" t="s">
        <v>99</v>
      </c>
      <c r="N221" s="7">
        <v>0</v>
      </c>
      <c r="O221" s="7"/>
      <c r="P221" s="24"/>
      <c r="Q221" s="7" t="s">
        <v>48</v>
      </c>
      <c r="R221" s="25"/>
      <c r="S221" s="24"/>
      <c r="T221" s="24"/>
      <c r="U221" s="24"/>
      <c r="V221" s="25"/>
      <c r="W221" s="24"/>
      <c r="X221" s="25"/>
      <c r="Y221" s="13">
        <v>2941</v>
      </c>
      <c r="Z221" s="13">
        <v>5</v>
      </c>
      <c r="AA221" s="13">
        <v>6</v>
      </c>
      <c r="AB221" s="13">
        <v>2</v>
      </c>
      <c r="AC221" s="13">
        <v>2</v>
      </c>
      <c r="AD221" s="13">
        <v>277.7</v>
      </c>
      <c r="AE221" s="13">
        <v>277.7</v>
      </c>
      <c r="AF221" s="26">
        <f t="shared" si="11"/>
        <v>111.08</v>
      </c>
      <c r="AG221" s="27" t="s">
        <v>1339</v>
      </c>
    </row>
    <row r="222" spans="1:33" ht="36" x14ac:dyDescent="0.35">
      <c r="A222" s="15">
        <v>284</v>
      </c>
      <c r="B222" s="16">
        <v>284</v>
      </c>
      <c r="C222" s="17" t="s">
        <v>511</v>
      </c>
      <c r="D222" s="18">
        <v>2016</v>
      </c>
      <c r="E222" s="19" t="s">
        <v>516</v>
      </c>
      <c r="F222" s="16" t="s">
        <v>517</v>
      </c>
      <c r="G222" s="7" t="s">
        <v>38</v>
      </c>
      <c r="H222" s="16" t="s">
        <v>39</v>
      </c>
      <c r="I222" s="20">
        <v>45500</v>
      </c>
      <c r="J222" s="21">
        <v>65</v>
      </c>
      <c r="K222" s="16">
        <f>20.5*4*2.5</f>
        <v>205</v>
      </c>
      <c r="L222" s="22">
        <f>(K222/J222)-1</f>
        <v>2.1538461538461537</v>
      </c>
      <c r="M222" s="28" t="s">
        <v>99</v>
      </c>
      <c r="N222" s="7">
        <v>0</v>
      </c>
      <c r="O222" s="7"/>
      <c r="P222" s="24"/>
      <c r="Q222" s="7" t="s">
        <v>48</v>
      </c>
      <c r="R222" s="25"/>
      <c r="S222" s="24"/>
      <c r="T222" s="24"/>
      <c r="U222" s="24"/>
      <c r="V222" s="25"/>
      <c r="W222" s="24"/>
      <c r="X222" s="25"/>
      <c r="Y222" s="13">
        <v>2942</v>
      </c>
      <c r="Z222" s="13">
        <v>5</v>
      </c>
      <c r="AA222" s="13">
        <v>6</v>
      </c>
      <c r="AB222" s="13">
        <v>2</v>
      </c>
      <c r="AC222" s="13">
        <v>2</v>
      </c>
      <c r="AD222" s="13">
        <v>277.75</v>
      </c>
      <c r="AE222" s="13">
        <v>277.75</v>
      </c>
      <c r="AF222" s="26">
        <f t="shared" si="11"/>
        <v>111.10000000000001</v>
      </c>
      <c r="AG222" s="27" t="s">
        <v>1340</v>
      </c>
    </row>
    <row r="223" spans="1:33" ht="36" x14ac:dyDescent="0.35">
      <c r="A223" s="15">
        <v>285</v>
      </c>
      <c r="B223" s="16">
        <v>285</v>
      </c>
      <c r="C223" s="17" t="s">
        <v>511</v>
      </c>
      <c r="D223" s="18">
        <v>2016</v>
      </c>
      <c r="E223" s="19" t="s">
        <v>518</v>
      </c>
      <c r="F223" s="16" t="s">
        <v>519</v>
      </c>
      <c r="G223" s="7" t="s">
        <v>38</v>
      </c>
      <c r="H223" s="16" t="s">
        <v>39</v>
      </c>
      <c r="I223" s="20">
        <v>45500</v>
      </c>
      <c r="J223" s="21">
        <v>65</v>
      </c>
      <c r="K223" s="16">
        <f>20.5*4*2.5</f>
        <v>205</v>
      </c>
      <c r="L223" s="22">
        <f>(K223/J223)-1</f>
        <v>2.1538461538461537</v>
      </c>
      <c r="M223" s="28" t="s">
        <v>99</v>
      </c>
      <c r="N223" s="7">
        <v>0</v>
      </c>
      <c r="O223" s="7"/>
      <c r="P223" s="24"/>
      <c r="Q223" s="7" t="s">
        <v>48</v>
      </c>
      <c r="R223" s="25"/>
      <c r="S223" s="24"/>
      <c r="T223" s="24"/>
      <c r="U223" s="24"/>
      <c r="V223" s="25"/>
      <c r="W223" s="24"/>
      <c r="X223" s="25"/>
      <c r="Y223" s="13">
        <v>2942</v>
      </c>
      <c r="Z223" s="13">
        <v>5</v>
      </c>
      <c r="AA223" s="13">
        <v>6</v>
      </c>
      <c r="AB223" s="13">
        <v>2</v>
      </c>
      <c r="AC223" s="13">
        <v>2</v>
      </c>
      <c r="AD223" s="13">
        <v>277.75</v>
      </c>
      <c r="AE223" s="13">
        <v>277.75</v>
      </c>
      <c r="AF223" s="26">
        <f t="shared" si="11"/>
        <v>111.10000000000001</v>
      </c>
      <c r="AG223" s="27" t="s">
        <v>1341</v>
      </c>
    </row>
    <row r="224" spans="1:33" ht="36" x14ac:dyDescent="0.35">
      <c r="A224" s="15">
        <v>286</v>
      </c>
      <c r="B224" s="16">
        <v>286</v>
      </c>
      <c r="C224" s="17" t="s">
        <v>511</v>
      </c>
      <c r="D224" s="18">
        <v>2016</v>
      </c>
      <c r="E224" s="19" t="s">
        <v>520</v>
      </c>
      <c r="F224" s="16" t="s">
        <v>521</v>
      </c>
      <c r="G224" s="7" t="s">
        <v>38</v>
      </c>
      <c r="H224" s="16" t="s">
        <v>39</v>
      </c>
      <c r="I224" s="20">
        <v>77000</v>
      </c>
      <c r="J224" s="21">
        <v>110</v>
      </c>
      <c r="K224" s="16">
        <f>(58.7*2+12.8*2)*2</f>
        <v>286</v>
      </c>
      <c r="L224" s="22">
        <f>(K224/J224)-1</f>
        <v>1.6</v>
      </c>
      <c r="M224" s="28" t="s">
        <v>99</v>
      </c>
      <c r="N224" s="7">
        <v>0</v>
      </c>
      <c r="O224" s="7"/>
      <c r="P224" s="24"/>
      <c r="Q224" s="7" t="s">
        <v>48</v>
      </c>
      <c r="R224" s="25"/>
      <c r="S224" s="24"/>
      <c r="T224" s="24"/>
      <c r="U224" s="24"/>
      <c r="V224" s="25"/>
      <c r="W224" s="24"/>
      <c r="X224" s="25"/>
      <c r="Y224" s="13">
        <v>1553.3</v>
      </c>
      <c r="Z224" s="13">
        <v>10</v>
      </c>
      <c r="AA224" s="13">
        <v>10</v>
      </c>
      <c r="AB224" s="13">
        <v>3</v>
      </c>
      <c r="AC224" s="13">
        <v>2</v>
      </c>
      <c r="AD224" s="13">
        <v>281.02999999999997</v>
      </c>
      <c r="AE224" s="13">
        <v>281.02999999999997</v>
      </c>
      <c r="AF224" s="26">
        <f t="shared" si="11"/>
        <v>112.41199999999999</v>
      </c>
      <c r="AG224" s="27" t="s">
        <v>1342</v>
      </c>
    </row>
    <row r="225" spans="1:33" ht="58.2" customHeight="1" x14ac:dyDescent="0.35">
      <c r="A225" s="15">
        <v>287</v>
      </c>
      <c r="B225" s="16">
        <v>287</v>
      </c>
      <c r="C225" s="17" t="s">
        <v>522</v>
      </c>
      <c r="D225" s="18">
        <v>2017</v>
      </c>
      <c r="E225" s="19" t="s">
        <v>523</v>
      </c>
      <c r="F225" s="16" t="s">
        <v>524</v>
      </c>
      <c r="G225" s="7" t="s">
        <v>46</v>
      </c>
      <c r="H225" s="16" t="s">
        <v>47</v>
      </c>
      <c r="I225" s="20">
        <v>66640</v>
      </c>
      <c r="J225" s="21">
        <v>95.2</v>
      </c>
      <c r="K225" s="16"/>
      <c r="L225" s="28"/>
      <c r="M225" s="28"/>
      <c r="N225" s="7" t="s">
        <v>53</v>
      </c>
      <c r="O225" s="7" t="s">
        <v>54</v>
      </c>
      <c r="P225" s="24"/>
      <c r="Q225" s="7" t="s">
        <v>54</v>
      </c>
      <c r="R225" s="25">
        <v>9420425.6899999995</v>
      </c>
      <c r="S225" s="24"/>
      <c r="T225" s="24" t="s">
        <v>42</v>
      </c>
      <c r="U225" s="24" t="s">
        <v>42</v>
      </c>
      <c r="V225" s="25"/>
      <c r="W225" s="24"/>
      <c r="X225" s="25">
        <v>7825872</v>
      </c>
      <c r="Y225" s="13"/>
      <c r="Z225" s="13"/>
      <c r="AA225" s="13"/>
      <c r="AB225" s="13"/>
      <c r="AC225" s="13">
        <v>2</v>
      </c>
      <c r="AD225" s="13"/>
      <c r="AE225" s="13"/>
      <c r="AF225" s="26">
        <f t="shared" si="11"/>
        <v>0</v>
      </c>
    </row>
    <row r="226" spans="1:33" ht="53.4" customHeight="1" x14ac:dyDescent="0.35">
      <c r="A226" s="15">
        <v>288</v>
      </c>
      <c r="B226" s="16">
        <v>288</v>
      </c>
      <c r="C226" s="17" t="s">
        <v>522</v>
      </c>
      <c r="D226" s="18">
        <v>2017</v>
      </c>
      <c r="E226" s="19" t="s">
        <v>525</v>
      </c>
      <c r="F226" s="16" t="s">
        <v>526</v>
      </c>
      <c r="G226" s="7" t="s">
        <v>46</v>
      </c>
      <c r="H226" s="16" t="s">
        <v>47</v>
      </c>
      <c r="I226" s="20">
        <v>78400</v>
      </c>
      <c r="J226" s="21">
        <v>112</v>
      </c>
      <c r="K226" s="16"/>
      <c r="L226" s="28"/>
      <c r="M226" s="28"/>
      <c r="N226" s="7" t="s">
        <v>53</v>
      </c>
      <c r="O226" s="7" t="s">
        <v>54</v>
      </c>
      <c r="P226" s="24"/>
      <c r="Q226" s="7" t="s">
        <v>54</v>
      </c>
      <c r="R226" s="25">
        <v>4804767.78</v>
      </c>
      <c r="S226" s="24"/>
      <c r="T226" s="24" t="s">
        <v>42</v>
      </c>
      <c r="U226" s="24" t="s">
        <v>42</v>
      </c>
      <c r="V226" s="25"/>
      <c r="W226" s="24"/>
      <c r="X226" s="25">
        <v>6023320.4199999999</v>
      </c>
      <c r="Y226" s="13"/>
      <c r="Z226" s="13"/>
      <c r="AA226" s="13"/>
      <c r="AB226" s="13"/>
      <c r="AC226" s="13">
        <v>2</v>
      </c>
      <c r="AD226" s="13"/>
      <c r="AE226" s="13"/>
      <c r="AF226" s="26">
        <f t="shared" si="11"/>
        <v>0</v>
      </c>
    </row>
    <row r="227" spans="1:33" ht="54" x14ac:dyDescent="0.35">
      <c r="A227" s="15">
        <v>289</v>
      </c>
      <c r="B227" s="16">
        <v>289</v>
      </c>
      <c r="C227" s="17" t="s">
        <v>522</v>
      </c>
      <c r="D227" s="18">
        <v>2017</v>
      </c>
      <c r="E227" s="19" t="s">
        <v>527</v>
      </c>
      <c r="F227" s="16" t="s">
        <v>528</v>
      </c>
      <c r="G227" s="7" t="s">
        <v>46</v>
      </c>
      <c r="H227" s="16" t="s">
        <v>47</v>
      </c>
      <c r="I227" s="20">
        <v>91000</v>
      </c>
      <c r="J227" s="21">
        <v>130</v>
      </c>
      <c r="K227" s="16">
        <f>3.2*0.8*48</f>
        <v>122.88000000000002</v>
      </c>
      <c r="L227" s="22">
        <f t="shared" ref="L227:L238" si="13">(K227/J227)-1</f>
        <v>-5.476923076923057E-2</v>
      </c>
      <c r="M227" s="28" t="s">
        <v>99</v>
      </c>
      <c r="N227" s="7">
        <v>0</v>
      </c>
      <c r="O227" s="7"/>
      <c r="P227" s="24"/>
      <c r="Q227" s="7" t="s">
        <v>48</v>
      </c>
      <c r="R227" s="25"/>
      <c r="S227" s="24"/>
      <c r="T227" s="24"/>
      <c r="U227" s="24"/>
      <c r="V227" s="25"/>
      <c r="W227" s="24"/>
      <c r="X227" s="25"/>
      <c r="Y227" s="13">
        <v>10162</v>
      </c>
      <c r="Z227" s="13">
        <v>12.5</v>
      </c>
      <c r="AA227" s="13">
        <v>13</v>
      </c>
      <c r="AB227" s="13">
        <v>5</v>
      </c>
      <c r="AC227" s="13">
        <v>2</v>
      </c>
      <c r="AD227" s="13">
        <v>643.46</v>
      </c>
      <c r="AE227" s="13">
        <v>643.46</v>
      </c>
      <c r="AF227" s="26">
        <f t="shared" si="11"/>
        <v>257.38400000000001</v>
      </c>
      <c r="AG227" s="27" t="s">
        <v>1343</v>
      </c>
    </row>
    <row r="228" spans="1:33" ht="54" x14ac:dyDescent="0.35">
      <c r="A228" s="15">
        <v>290</v>
      </c>
      <c r="B228" s="16">
        <v>290</v>
      </c>
      <c r="C228" s="17" t="s">
        <v>522</v>
      </c>
      <c r="D228" s="18">
        <v>2017</v>
      </c>
      <c r="E228" s="19" t="s">
        <v>529</v>
      </c>
      <c r="F228" s="16" t="s">
        <v>530</v>
      </c>
      <c r="G228" s="7" t="s">
        <v>46</v>
      </c>
      <c r="H228" s="16" t="s">
        <v>47</v>
      </c>
      <c r="I228" s="20">
        <v>20160</v>
      </c>
      <c r="J228" s="21">
        <v>28.8</v>
      </c>
      <c r="K228" s="16">
        <f>3.2*0.8*46</f>
        <v>117.76000000000002</v>
      </c>
      <c r="L228" s="22">
        <f t="shared" si="13"/>
        <v>3.0888888888888895</v>
      </c>
      <c r="M228" s="28"/>
      <c r="N228" s="7">
        <v>0</v>
      </c>
      <c r="O228" s="7"/>
      <c r="P228" s="24"/>
      <c r="Q228" s="7" t="s">
        <v>48</v>
      </c>
      <c r="R228" s="25"/>
      <c r="S228" s="24"/>
      <c r="T228" s="24" t="s">
        <v>42</v>
      </c>
      <c r="U228" s="24" t="s">
        <v>42</v>
      </c>
      <c r="V228" s="25"/>
      <c r="W228" s="24"/>
      <c r="X228" s="25"/>
      <c r="Y228" s="13">
        <v>9576</v>
      </c>
      <c r="Z228" s="13">
        <v>11.2</v>
      </c>
      <c r="AA228" s="13">
        <v>12</v>
      </c>
      <c r="AB228" s="13">
        <v>4</v>
      </c>
      <c r="AC228" s="13">
        <v>2</v>
      </c>
      <c r="AD228" s="13">
        <v>559.4</v>
      </c>
      <c r="AE228" s="13">
        <v>559.4</v>
      </c>
      <c r="AF228" s="26">
        <f t="shared" si="11"/>
        <v>223.76</v>
      </c>
      <c r="AG228" s="27" t="s">
        <v>1344</v>
      </c>
    </row>
    <row r="229" spans="1:33" ht="54" x14ac:dyDescent="0.35">
      <c r="A229" s="15">
        <v>291</v>
      </c>
      <c r="B229" s="16">
        <v>291</v>
      </c>
      <c r="C229" s="17" t="s">
        <v>522</v>
      </c>
      <c r="D229" s="18">
        <v>2017</v>
      </c>
      <c r="E229" s="19" t="s">
        <v>531</v>
      </c>
      <c r="F229" s="16" t="s">
        <v>532</v>
      </c>
      <c r="G229" s="7" t="s">
        <v>46</v>
      </c>
      <c r="H229" s="16" t="s">
        <v>47</v>
      </c>
      <c r="I229" s="20">
        <v>8750</v>
      </c>
      <c r="J229" s="21">
        <v>12.5</v>
      </c>
      <c r="K229" s="16"/>
      <c r="L229" s="22">
        <f t="shared" si="13"/>
        <v>-1</v>
      </c>
      <c r="M229" s="28" t="s">
        <v>99</v>
      </c>
      <c r="N229" s="7">
        <v>0</v>
      </c>
      <c r="O229" s="7"/>
      <c r="P229" s="24"/>
      <c r="Q229" s="7" t="s">
        <v>48</v>
      </c>
      <c r="R229" s="25"/>
      <c r="S229" s="24" t="s">
        <v>42</v>
      </c>
      <c r="T229" s="24"/>
      <c r="U229" s="24"/>
      <c r="V229" s="25"/>
      <c r="W229" s="24"/>
      <c r="X229" s="25"/>
      <c r="Y229" s="13">
        <v>3623</v>
      </c>
      <c r="Z229" s="13">
        <v>6.8</v>
      </c>
      <c r="AA229" s="13">
        <v>7</v>
      </c>
      <c r="AB229" s="13">
        <v>2</v>
      </c>
      <c r="AC229" s="13">
        <v>2</v>
      </c>
      <c r="AD229" s="13">
        <v>252.04</v>
      </c>
      <c r="AE229" s="13">
        <v>252.04</v>
      </c>
      <c r="AF229" s="26">
        <f t="shared" si="11"/>
        <v>100.816</v>
      </c>
      <c r="AG229" s="27" t="s">
        <v>1345</v>
      </c>
    </row>
    <row r="230" spans="1:33" ht="54" x14ac:dyDescent="0.35">
      <c r="A230" s="15">
        <v>292</v>
      </c>
      <c r="B230" s="16">
        <v>292</v>
      </c>
      <c r="C230" s="17" t="s">
        <v>522</v>
      </c>
      <c r="D230" s="18">
        <v>2017</v>
      </c>
      <c r="E230" s="19" t="s">
        <v>533</v>
      </c>
      <c r="F230" s="16" t="s">
        <v>534</v>
      </c>
      <c r="G230" s="7" t="s">
        <v>46</v>
      </c>
      <c r="H230" s="16" t="s">
        <v>47</v>
      </c>
      <c r="I230" s="20">
        <v>10500</v>
      </c>
      <c r="J230" s="21">
        <v>15</v>
      </c>
      <c r="K230" s="16"/>
      <c r="L230" s="22">
        <f t="shared" si="13"/>
        <v>-1</v>
      </c>
      <c r="M230" s="28" t="s">
        <v>99</v>
      </c>
      <c r="N230" s="7">
        <v>0</v>
      </c>
      <c r="O230" s="7"/>
      <c r="P230" s="24"/>
      <c r="Q230" s="7" t="s">
        <v>48</v>
      </c>
      <c r="R230" s="25"/>
      <c r="S230" s="24" t="s">
        <v>42</v>
      </c>
      <c r="T230" s="24"/>
      <c r="U230" s="24"/>
      <c r="V230" s="25"/>
      <c r="W230" s="24"/>
      <c r="X230" s="25"/>
      <c r="Y230" s="13">
        <v>1683</v>
      </c>
      <c r="Z230" s="13">
        <v>6.93</v>
      </c>
      <c r="AA230" s="13">
        <v>7</v>
      </c>
      <c r="AB230" s="13">
        <v>2</v>
      </c>
      <c r="AC230" s="13">
        <v>2</v>
      </c>
      <c r="AD230" s="13">
        <v>166.25</v>
      </c>
      <c r="AE230" s="13">
        <v>166.25</v>
      </c>
      <c r="AF230" s="26">
        <f t="shared" si="11"/>
        <v>66.5</v>
      </c>
      <c r="AG230" s="27" t="s">
        <v>1346</v>
      </c>
    </row>
    <row r="231" spans="1:33" ht="54" x14ac:dyDescent="0.35">
      <c r="A231" s="15">
        <v>293</v>
      </c>
      <c r="B231" s="16">
        <v>293</v>
      </c>
      <c r="C231" s="17" t="s">
        <v>522</v>
      </c>
      <c r="D231" s="18">
        <v>2017</v>
      </c>
      <c r="E231" s="19" t="s">
        <v>535</v>
      </c>
      <c r="F231" s="16" t="s">
        <v>536</v>
      </c>
      <c r="G231" s="7" t="s">
        <v>46</v>
      </c>
      <c r="H231" s="16" t="s">
        <v>47</v>
      </c>
      <c r="I231" s="20">
        <v>8750</v>
      </c>
      <c r="J231" s="21">
        <v>12.5</v>
      </c>
      <c r="K231" s="16"/>
      <c r="L231" s="22">
        <f t="shared" si="13"/>
        <v>-1</v>
      </c>
      <c r="M231" s="28" t="s">
        <v>99</v>
      </c>
      <c r="N231" s="7">
        <v>0</v>
      </c>
      <c r="O231" s="7"/>
      <c r="P231" s="24"/>
      <c r="Q231" s="7" t="s">
        <v>48</v>
      </c>
      <c r="R231" s="25"/>
      <c r="S231" s="24" t="s">
        <v>42</v>
      </c>
      <c r="T231" s="24"/>
      <c r="U231" s="24"/>
      <c r="V231" s="25"/>
      <c r="W231" s="24"/>
      <c r="X231" s="25"/>
      <c r="Y231" s="13">
        <v>3516</v>
      </c>
      <c r="Z231" s="13">
        <v>6.6</v>
      </c>
      <c r="AA231" s="13">
        <v>7</v>
      </c>
      <c r="AB231" s="13">
        <v>2</v>
      </c>
      <c r="AC231" s="13">
        <v>2</v>
      </c>
      <c r="AD231" s="13">
        <v>247.31</v>
      </c>
      <c r="AE231" s="13">
        <v>247.31</v>
      </c>
      <c r="AF231" s="26">
        <f t="shared" si="11"/>
        <v>98.924000000000007</v>
      </c>
      <c r="AG231" s="27" t="s">
        <v>1347</v>
      </c>
    </row>
    <row r="232" spans="1:33" ht="37.799999999999997" customHeight="1" x14ac:dyDescent="0.35">
      <c r="A232" s="15">
        <v>294</v>
      </c>
      <c r="B232" s="16">
        <v>294</v>
      </c>
      <c r="C232" s="17" t="s">
        <v>522</v>
      </c>
      <c r="D232" s="18">
        <v>2017</v>
      </c>
      <c r="E232" s="19" t="s">
        <v>537</v>
      </c>
      <c r="F232" s="16" t="s">
        <v>538</v>
      </c>
      <c r="G232" s="7" t="s">
        <v>38</v>
      </c>
      <c r="H232" s="16" t="s">
        <v>39</v>
      </c>
      <c r="I232" s="20">
        <v>595000</v>
      </c>
      <c r="J232" s="21">
        <v>850</v>
      </c>
      <c r="K232" s="16">
        <f>212.6*2.5</f>
        <v>531.5</v>
      </c>
      <c r="L232" s="22">
        <f t="shared" si="13"/>
        <v>-0.37470588235294122</v>
      </c>
      <c r="M232" s="28">
        <v>1</v>
      </c>
      <c r="N232" s="7">
        <v>0</v>
      </c>
      <c r="O232" s="7" t="s">
        <v>40</v>
      </c>
      <c r="P232" s="24"/>
      <c r="Q232" s="7" t="s">
        <v>41</v>
      </c>
      <c r="R232" s="25"/>
      <c r="S232" s="24"/>
      <c r="T232" s="24" t="s">
        <v>42</v>
      </c>
      <c r="U232" s="24" t="s">
        <v>42</v>
      </c>
      <c r="V232" s="48">
        <v>3461673.1</v>
      </c>
      <c r="W232" s="24"/>
      <c r="X232" s="25"/>
      <c r="Y232" s="13">
        <v>16317</v>
      </c>
      <c r="Z232" s="13">
        <v>14.7</v>
      </c>
      <c r="AA232" s="13">
        <v>15</v>
      </c>
      <c r="AB232" s="13">
        <v>5</v>
      </c>
      <c r="AC232" s="13">
        <v>2</v>
      </c>
      <c r="AD232" s="13">
        <v>995.46</v>
      </c>
      <c r="AE232" s="13">
        <v>995.46</v>
      </c>
      <c r="AF232" s="26">
        <f t="shared" si="11"/>
        <v>398.18400000000003</v>
      </c>
      <c r="AG232" s="27" t="s">
        <v>1348</v>
      </c>
    </row>
    <row r="233" spans="1:33" ht="54" x14ac:dyDescent="0.35">
      <c r="A233" s="15">
        <v>295</v>
      </c>
      <c r="B233" s="16">
        <v>295</v>
      </c>
      <c r="C233" s="17" t="s">
        <v>522</v>
      </c>
      <c r="D233" s="18">
        <v>2017</v>
      </c>
      <c r="E233" s="19" t="s">
        <v>539</v>
      </c>
      <c r="F233" s="16" t="s">
        <v>540</v>
      </c>
      <c r="G233" s="7" t="s">
        <v>46</v>
      </c>
      <c r="H233" s="16" t="s">
        <v>47</v>
      </c>
      <c r="I233" s="20">
        <v>25200</v>
      </c>
      <c r="J233" s="21">
        <v>36</v>
      </c>
      <c r="K233" s="16"/>
      <c r="L233" s="22">
        <f t="shared" si="13"/>
        <v>-1</v>
      </c>
      <c r="M233" s="28" t="s">
        <v>99</v>
      </c>
      <c r="N233" s="7">
        <v>0</v>
      </c>
      <c r="O233" s="7"/>
      <c r="P233" s="24"/>
      <c r="Q233" s="7" t="s">
        <v>48</v>
      </c>
      <c r="R233" s="25"/>
      <c r="S233" s="24" t="s">
        <v>42</v>
      </c>
      <c r="T233" s="24"/>
      <c r="U233" s="24"/>
      <c r="V233" s="25"/>
      <c r="W233" s="24"/>
      <c r="X233" s="25"/>
      <c r="Y233" s="13">
        <v>3166</v>
      </c>
      <c r="Z233" s="13">
        <v>7</v>
      </c>
      <c r="AA233" s="13">
        <v>7</v>
      </c>
      <c r="AB233" s="13">
        <v>2</v>
      </c>
      <c r="AC233" s="13">
        <v>2</v>
      </c>
      <c r="AD233" s="13">
        <v>231.83</v>
      </c>
      <c r="AE233" s="13">
        <v>231.83</v>
      </c>
      <c r="AF233" s="26">
        <f t="shared" si="11"/>
        <v>92.732000000000014</v>
      </c>
      <c r="AG233" s="27" t="s">
        <v>1349</v>
      </c>
    </row>
    <row r="234" spans="1:33" ht="54" x14ac:dyDescent="0.35">
      <c r="A234" s="15">
        <v>296</v>
      </c>
      <c r="B234" s="16">
        <v>296</v>
      </c>
      <c r="C234" s="17" t="s">
        <v>522</v>
      </c>
      <c r="D234" s="18">
        <v>2017</v>
      </c>
      <c r="E234" s="19" t="s">
        <v>541</v>
      </c>
      <c r="F234" s="16" t="s">
        <v>542</v>
      </c>
      <c r="G234" s="7" t="s">
        <v>46</v>
      </c>
      <c r="H234" s="16" t="s">
        <v>47</v>
      </c>
      <c r="I234" s="20">
        <v>25200</v>
      </c>
      <c r="J234" s="21">
        <v>36</v>
      </c>
      <c r="K234" s="16"/>
      <c r="L234" s="22">
        <f t="shared" si="13"/>
        <v>-1</v>
      </c>
      <c r="M234" s="28" t="s">
        <v>99</v>
      </c>
      <c r="N234" s="7">
        <v>0</v>
      </c>
      <c r="O234" s="7"/>
      <c r="P234" s="24"/>
      <c r="Q234" s="7" t="s">
        <v>48</v>
      </c>
      <c r="R234" s="25"/>
      <c r="S234" s="24" t="s">
        <v>42</v>
      </c>
      <c r="T234" s="24"/>
      <c r="U234" s="24"/>
      <c r="V234" s="25"/>
      <c r="W234" s="24"/>
      <c r="X234" s="25"/>
      <c r="Y234" s="13">
        <v>3166</v>
      </c>
      <c r="Z234" s="13">
        <v>7</v>
      </c>
      <c r="AA234" s="13">
        <v>7</v>
      </c>
      <c r="AB234" s="13">
        <v>2</v>
      </c>
      <c r="AC234" s="13">
        <v>2</v>
      </c>
      <c r="AD234" s="13">
        <v>231.83</v>
      </c>
      <c r="AE234" s="13">
        <v>231.83</v>
      </c>
      <c r="AF234" s="26">
        <f t="shared" si="11"/>
        <v>92.732000000000014</v>
      </c>
      <c r="AG234" s="27" t="s">
        <v>1350</v>
      </c>
    </row>
    <row r="235" spans="1:33" ht="54" x14ac:dyDescent="0.35">
      <c r="A235" s="15">
        <v>297</v>
      </c>
      <c r="B235" s="16">
        <v>297</v>
      </c>
      <c r="C235" s="17" t="s">
        <v>522</v>
      </c>
      <c r="D235" s="18">
        <v>2017</v>
      </c>
      <c r="E235" s="19" t="s">
        <v>543</v>
      </c>
      <c r="F235" s="16" t="s">
        <v>544</v>
      </c>
      <c r="G235" s="7" t="s">
        <v>46</v>
      </c>
      <c r="H235" s="16" t="s">
        <v>47</v>
      </c>
      <c r="I235" s="20">
        <v>25200</v>
      </c>
      <c r="J235" s="21">
        <v>36</v>
      </c>
      <c r="K235" s="16"/>
      <c r="L235" s="22">
        <f t="shared" si="13"/>
        <v>-1</v>
      </c>
      <c r="M235" s="28" t="s">
        <v>99</v>
      </c>
      <c r="N235" s="7">
        <v>0</v>
      </c>
      <c r="O235" s="7"/>
      <c r="P235" s="24"/>
      <c r="Q235" s="7" t="s">
        <v>48</v>
      </c>
      <c r="R235" s="25"/>
      <c r="S235" s="24" t="s">
        <v>42</v>
      </c>
      <c r="T235" s="24"/>
      <c r="U235" s="24"/>
      <c r="V235" s="25"/>
      <c r="W235" s="24"/>
      <c r="X235" s="25"/>
      <c r="Y235" s="13">
        <v>3166</v>
      </c>
      <c r="Z235" s="13">
        <v>7</v>
      </c>
      <c r="AA235" s="13">
        <v>7</v>
      </c>
      <c r="AB235" s="13">
        <v>2</v>
      </c>
      <c r="AC235" s="13">
        <v>2</v>
      </c>
      <c r="AD235" s="13">
        <v>231.83</v>
      </c>
      <c r="AE235" s="13">
        <v>231.83</v>
      </c>
      <c r="AF235" s="26">
        <f t="shared" si="11"/>
        <v>92.732000000000014</v>
      </c>
      <c r="AG235" s="27" t="s">
        <v>1351</v>
      </c>
    </row>
    <row r="236" spans="1:33" ht="54" x14ac:dyDescent="0.35">
      <c r="A236" s="15">
        <v>298</v>
      </c>
      <c r="B236" s="16">
        <v>298</v>
      </c>
      <c r="C236" s="17" t="s">
        <v>522</v>
      </c>
      <c r="D236" s="18">
        <v>2017</v>
      </c>
      <c r="E236" s="19" t="s">
        <v>545</v>
      </c>
      <c r="F236" s="16" t="s">
        <v>546</v>
      </c>
      <c r="G236" s="7" t="s">
        <v>46</v>
      </c>
      <c r="H236" s="16" t="s">
        <v>47</v>
      </c>
      <c r="I236" s="20">
        <v>25200</v>
      </c>
      <c r="J236" s="21">
        <v>36</v>
      </c>
      <c r="K236" s="16"/>
      <c r="L236" s="22">
        <f t="shared" si="13"/>
        <v>-1</v>
      </c>
      <c r="M236" s="28" t="s">
        <v>99</v>
      </c>
      <c r="N236" s="7">
        <v>0</v>
      </c>
      <c r="O236" s="7"/>
      <c r="P236" s="24"/>
      <c r="Q236" s="7" t="s">
        <v>48</v>
      </c>
      <c r="R236" s="25"/>
      <c r="S236" s="24" t="s">
        <v>42</v>
      </c>
      <c r="T236" s="24"/>
      <c r="U236" s="24"/>
      <c r="V236" s="25"/>
      <c r="W236" s="24"/>
      <c r="X236" s="25"/>
      <c r="Y236" s="13">
        <v>3166</v>
      </c>
      <c r="Z236" s="13">
        <v>5.6</v>
      </c>
      <c r="AA236" s="13">
        <v>6</v>
      </c>
      <c r="AB236" s="13">
        <v>2</v>
      </c>
      <c r="AC236" s="13">
        <v>2</v>
      </c>
      <c r="AD236" s="13">
        <v>236.3</v>
      </c>
      <c r="AE236" s="13">
        <v>236.3</v>
      </c>
      <c r="AF236" s="26">
        <f t="shared" si="11"/>
        <v>94.52000000000001</v>
      </c>
      <c r="AG236" s="27" t="s">
        <v>1352</v>
      </c>
    </row>
    <row r="237" spans="1:33" ht="54" x14ac:dyDescent="0.35">
      <c r="A237" s="15">
        <v>299</v>
      </c>
      <c r="B237" s="16">
        <v>299</v>
      </c>
      <c r="C237" s="17" t="s">
        <v>522</v>
      </c>
      <c r="D237" s="18">
        <v>2017</v>
      </c>
      <c r="E237" s="19" t="s">
        <v>547</v>
      </c>
      <c r="F237" s="16" t="s">
        <v>548</v>
      </c>
      <c r="G237" s="7" t="s">
        <v>46</v>
      </c>
      <c r="H237" s="16" t="s">
        <v>47</v>
      </c>
      <c r="I237" s="20">
        <v>25200</v>
      </c>
      <c r="J237" s="21">
        <v>36</v>
      </c>
      <c r="K237" s="16"/>
      <c r="L237" s="22">
        <f t="shared" si="13"/>
        <v>-1</v>
      </c>
      <c r="M237" s="28" t="s">
        <v>99</v>
      </c>
      <c r="N237" s="7">
        <v>0</v>
      </c>
      <c r="O237" s="7"/>
      <c r="P237" s="24"/>
      <c r="Q237" s="7" t="s">
        <v>48</v>
      </c>
      <c r="R237" s="25"/>
      <c r="S237" s="24" t="s">
        <v>42</v>
      </c>
      <c r="T237" s="24"/>
      <c r="U237" s="24"/>
      <c r="V237" s="25"/>
      <c r="W237" s="24"/>
      <c r="X237" s="25"/>
      <c r="Y237" s="13">
        <v>3166</v>
      </c>
      <c r="Z237" s="13">
        <v>7</v>
      </c>
      <c r="AA237" s="13">
        <v>7</v>
      </c>
      <c r="AB237" s="13">
        <v>2</v>
      </c>
      <c r="AC237" s="13">
        <v>2</v>
      </c>
      <c r="AD237" s="13">
        <v>231.83</v>
      </c>
      <c r="AE237" s="13">
        <v>231.83</v>
      </c>
      <c r="AF237" s="26">
        <f t="shared" si="11"/>
        <v>92.732000000000014</v>
      </c>
      <c r="AG237" s="27" t="s">
        <v>1353</v>
      </c>
    </row>
    <row r="238" spans="1:33" ht="61.8" customHeight="1" x14ac:dyDescent="0.35">
      <c r="A238" s="15">
        <v>300</v>
      </c>
      <c r="B238" s="16">
        <v>300</v>
      </c>
      <c r="C238" s="17" t="s">
        <v>522</v>
      </c>
      <c r="D238" s="18">
        <v>2016</v>
      </c>
      <c r="E238" s="19" t="s">
        <v>549</v>
      </c>
      <c r="F238" s="16" t="s">
        <v>550</v>
      </c>
      <c r="G238" s="7" t="s">
        <v>46</v>
      </c>
      <c r="H238" s="16" t="s">
        <v>47</v>
      </c>
      <c r="I238" s="20">
        <v>50610</v>
      </c>
      <c r="J238" s="21">
        <v>72.3</v>
      </c>
      <c r="K238" s="16">
        <f>3.2*0.8*30</f>
        <v>76.800000000000011</v>
      </c>
      <c r="L238" s="22">
        <f t="shared" si="13"/>
        <v>6.2240663900415161E-2</v>
      </c>
      <c r="M238" s="28">
        <v>1</v>
      </c>
      <c r="N238" s="7">
        <v>0</v>
      </c>
      <c r="O238" s="7" t="s">
        <v>40</v>
      </c>
      <c r="P238" s="24"/>
      <c r="Q238" s="7" t="s">
        <v>41</v>
      </c>
      <c r="R238" s="25"/>
      <c r="S238" s="24"/>
      <c r="T238" s="24" t="s">
        <v>42</v>
      </c>
      <c r="U238" s="24" t="s">
        <v>42</v>
      </c>
      <c r="V238" s="25">
        <v>5464353.1799999997</v>
      </c>
      <c r="W238" s="24"/>
      <c r="X238" s="25"/>
      <c r="Y238" s="13">
        <v>9927</v>
      </c>
      <c r="Z238" s="13">
        <v>11.5</v>
      </c>
      <c r="AA238" s="13">
        <v>12</v>
      </c>
      <c r="AB238" s="13">
        <v>4</v>
      </c>
      <c r="AC238" s="13">
        <v>2</v>
      </c>
      <c r="AD238" s="13">
        <v>572.41999999999996</v>
      </c>
      <c r="AE238" s="13"/>
      <c r="AF238" s="26">
        <f t="shared" si="11"/>
        <v>0</v>
      </c>
      <c r="AG238" s="27" t="s">
        <v>1354</v>
      </c>
    </row>
    <row r="239" spans="1:33" ht="69" customHeight="1" x14ac:dyDescent="0.35">
      <c r="A239" s="15">
        <v>301</v>
      </c>
      <c r="B239" s="16">
        <v>301</v>
      </c>
      <c r="C239" s="17" t="s">
        <v>551</v>
      </c>
      <c r="D239" s="18">
        <v>2016</v>
      </c>
      <c r="E239" s="19" t="s">
        <v>552</v>
      </c>
      <c r="F239" s="16" t="s">
        <v>553</v>
      </c>
      <c r="G239" s="7" t="s">
        <v>554</v>
      </c>
      <c r="H239" s="16" t="s">
        <v>555</v>
      </c>
      <c r="I239" s="20">
        <v>31500</v>
      </c>
      <c r="J239" s="21">
        <v>45</v>
      </c>
      <c r="K239" s="16"/>
      <c r="L239" s="28"/>
      <c r="M239" s="28"/>
      <c r="N239" s="7" t="s">
        <v>53</v>
      </c>
      <c r="O239" s="7" t="s">
        <v>40</v>
      </c>
      <c r="P239" s="24"/>
      <c r="Q239" s="7" t="s">
        <v>41</v>
      </c>
      <c r="R239" s="25"/>
      <c r="S239" s="24"/>
      <c r="T239" s="24" t="s">
        <v>42</v>
      </c>
      <c r="U239" s="24" t="s">
        <v>42</v>
      </c>
      <c r="V239" s="48">
        <v>1810568.04</v>
      </c>
      <c r="W239" s="24"/>
      <c r="X239" s="25"/>
      <c r="Y239" s="13">
        <v>27283</v>
      </c>
      <c r="Z239" s="13">
        <v>12.5</v>
      </c>
      <c r="AA239" s="13">
        <v>13</v>
      </c>
      <c r="AB239" s="13">
        <v>4</v>
      </c>
      <c r="AC239" s="13">
        <v>2</v>
      </c>
      <c r="AD239" s="13">
        <v>1178.3399999999999</v>
      </c>
      <c r="AE239" s="13">
        <v>1178.3399999999999</v>
      </c>
      <c r="AF239" s="26">
        <f t="shared" si="11"/>
        <v>471.33600000000001</v>
      </c>
      <c r="AG239" s="27" t="s">
        <v>1355</v>
      </c>
    </row>
    <row r="240" spans="1:33" ht="49.2" customHeight="1" x14ac:dyDescent="0.35">
      <c r="A240" s="15">
        <v>302</v>
      </c>
      <c r="B240" s="16">
        <v>302</v>
      </c>
      <c r="C240" s="17" t="s">
        <v>556</v>
      </c>
      <c r="D240" s="18">
        <v>2017</v>
      </c>
      <c r="E240" s="19" t="s">
        <v>557</v>
      </c>
      <c r="F240" s="16" t="s">
        <v>558</v>
      </c>
      <c r="G240" s="7" t="s">
        <v>38</v>
      </c>
      <c r="H240" s="16" t="s">
        <v>39</v>
      </c>
      <c r="I240" s="20">
        <v>39200</v>
      </c>
      <c r="J240" s="21">
        <v>56</v>
      </c>
      <c r="K240" s="16"/>
      <c r="L240" s="28"/>
      <c r="M240" s="28"/>
      <c r="N240" s="7" t="s">
        <v>53</v>
      </c>
      <c r="O240" s="7" t="s">
        <v>54</v>
      </c>
      <c r="P240" s="24"/>
      <c r="Q240" s="7" t="s">
        <v>54</v>
      </c>
      <c r="R240" s="25"/>
      <c r="S240" s="24"/>
      <c r="T240" s="24" t="s">
        <v>42</v>
      </c>
      <c r="U240" s="24" t="s">
        <v>42</v>
      </c>
      <c r="V240" s="25"/>
      <c r="W240" s="24"/>
      <c r="X240" s="25">
        <v>1774737.38</v>
      </c>
      <c r="Y240" s="13"/>
      <c r="Z240" s="13"/>
      <c r="AA240" s="13"/>
      <c r="AB240" s="13"/>
      <c r="AC240" s="13">
        <v>2</v>
      </c>
      <c r="AD240" s="13"/>
      <c r="AE240" s="13"/>
      <c r="AF240" s="26">
        <f t="shared" si="11"/>
        <v>0</v>
      </c>
    </row>
    <row r="241" spans="1:33" ht="36" x14ac:dyDescent="0.35">
      <c r="A241" s="15">
        <v>303</v>
      </c>
      <c r="B241" s="16">
        <v>303</v>
      </c>
      <c r="C241" s="17" t="s">
        <v>556</v>
      </c>
      <c r="D241" s="18">
        <v>2017</v>
      </c>
      <c r="E241" s="19" t="s">
        <v>559</v>
      </c>
      <c r="F241" s="16" t="s">
        <v>560</v>
      </c>
      <c r="G241" s="7" t="s">
        <v>38</v>
      </c>
      <c r="H241" s="16" t="s">
        <v>39</v>
      </c>
      <c r="I241" s="20">
        <v>31500</v>
      </c>
      <c r="J241" s="21">
        <v>45</v>
      </c>
      <c r="K241" s="16">
        <f>(20*2+7.12*2)*0.8</f>
        <v>43.392000000000003</v>
      </c>
      <c r="L241" s="22">
        <f>(K241/J241)-1</f>
        <v>-3.5733333333333284E-2</v>
      </c>
      <c r="M241" s="28"/>
      <c r="N241" s="7" t="s">
        <v>561</v>
      </c>
      <c r="O241" s="7"/>
      <c r="P241" s="24"/>
      <c r="Q241" s="7" t="s">
        <v>48</v>
      </c>
      <c r="R241" s="25"/>
      <c r="S241" s="24"/>
      <c r="T241" s="24" t="s">
        <v>42</v>
      </c>
      <c r="U241" s="24" t="s">
        <v>42</v>
      </c>
      <c r="V241" s="25"/>
      <c r="W241" s="24"/>
      <c r="X241" s="25"/>
      <c r="Y241" s="13">
        <v>916</v>
      </c>
      <c r="Z241" s="13">
        <v>5.6</v>
      </c>
      <c r="AA241" s="13">
        <v>6</v>
      </c>
      <c r="AB241" s="13">
        <v>2</v>
      </c>
      <c r="AC241" s="13">
        <v>2</v>
      </c>
      <c r="AD241" s="13">
        <v>186.84</v>
      </c>
      <c r="AE241" s="13">
        <v>186.84</v>
      </c>
      <c r="AF241" s="26">
        <f t="shared" si="11"/>
        <v>74.736000000000004</v>
      </c>
      <c r="AG241" s="27" t="s">
        <v>1356</v>
      </c>
    </row>
    <row r="242" spans="1:33" ht="36" x14ac:dyDescent="0.35">
      <c r="A242" s="45">
        <v>305</v>
      </c>
      <c r="B242" s="16">
        <v>305</v>
      </c>
      <c r="C242" s="17" t="s">
        <v>562</v>
      </c>
      <c r="D242" s="18">
        <v>2018</v>
      </c>
      <c r="E242" s="19" t="s">
        <v>563</v>
      </c>
      <c r="F242" s="16" t="s">
        <v>564</v>
      </c>
      <c r="G242" s="7" t="s">
        <v>38</v>
      </c>
      <c r="H242" s="16" t="s">
        <v>39</v>
      </c>
      <c r="I242" s="20">
        <v>69300</v>
      </c>
      <c r="J242" s="21">
        <v>90</v>
      </c>
      <c r="K242" s="16">
        <f>(15.4*2+12.8*2)*1.8</f>
        <v>101.52000000000001</v>
      </c>
      <c r="L242" s="22">
        <f>(K242/J242)-1</f>
        <v>0.12800000000000011</v>
      </c>
      <c r="M242" s="28">
        <v>1</v>
      </c>
      <c r="N242" s="7">
        <v>0</v>
      </c>
      <c r="O242" s="7"/>
      <c r="P242" s="24"/>
      <c r="Q242" s="7" t="s">
        <v>48</v>
      </c>
      <c r="R242" s="25"/>
      <c r="S242" s="24"/>
      <c r="T242" s="24"/>
      <c r="U242" s="24"/>
      <c r="V242" s="25"/>
      <c r="W242" s="24"/>
      <c r="X242" s="25"/>
      <c r="Y242" s="13">
        <v>993</v>
      </c>
      <c r="Z242" s="13">
        <v>5.5</v>
      </c>
      <c r="AA242" s="13">
        <v>6</v>
      </c>
      <c r="AB242" s="13">
        <v>2</v>
      </c>
      <c r="AC242" s="13">
        <v>2</v>
      </c>
      <c r="AD242" s="13">
        <v>190.29</v>
      </c>
      <c r="AE242" s="13">
        <v>190.29</v>
      </c>
      <c r="AF242" s="26">
        <f t="shared" si="11"/>
        <v>76.116</v>
      </c>
      <c r="AG242" s="27" t="s">
        <v>1357</v>
      </c>
    </row>
    <row r="243" spans="1:33" ht="36" x14ac:dyDescent="0.35">
      <c r="A243" s="15">
        <v>309</v>
      </c>
      <c r="B243" s="16">
        <v>309</v>
      </c>
      <c r="C243" s="17" t="s">
        <v>562</v>
      </c>
      <c r="D243" s="18">
        <v>2017</v>
      </c>
      <c r="E243" s="19" t="s">
        <v>565</v>
      </c>
      <c r="F243" s="16" t="s">
        <v>566</v>
      </c>
      <c r="G243" s="7" t="s">
        <v>38</v>
      </c>
      <c r="H243" s="16" t="s">
        <v>39</v>
      </c>
      <c r="I243" s="20">
        <v>102900</v>
      </c>
      <c r="J243" s="21">
        <v>147</v>
      </c>
      <c r="K243" s="16">
        <f>(27*2+12.5*2)*1.7</f>
        <v>134.29999999999998</v>
      </c>
      <c r="L243" s="22">
        <f>(K243/J243)-1</f>
        <v>-8.6394557823129325E-2</v>
      </c>
      <c r="M243" s="28">
        <v>1</v>
      </c>
      <c r="N243" s="7">
        <v>0</v>
      </c>
      <c r="O243" s="7"/>
      <c r="P243" s="24"/>
      <c r="Q243" s="7" t="s">
        <v>48</v>
      </c>
      <c r="R243" s="25"/>
      <c r="S243" s="24"/>
      <c r="T243" s="24"/>
      <c r="U243" s="24"/>
      <c r="V243" s="25"/>
      <c r="W243" s="24"/>
      <c r="X243" s="25"/>
      <c r="Y243" s="13">
        <v>1867</v>
      </c>
      <c r="Z243" s="13">
        <v>6.46</v>
      </c>
      <c r="AA243" s="13">
        <v>7</v>
      </c>
      <c r="AB243" s="13">
        <v>2</v>
      </c>
      <c r="AC243" s="13">
        <v>2</v>
      </c>
      <c r="AD243" s="13">
        <v>227.22</v>
      </c>
      <c r="AE243" s="13">
        <v>227.22</v>
      </c>
      <c r="AF243" s="26">
        <f t="shared" si="11"/>
        <v>90.888000000000005</v>
      </c>
      <c r="AG243" s="27" t="s">
        <v>1358</v>
      </c>
    </row>
    <row r="244" spans="1:33" ht="47.4" customHeight="1" x14ac:dyDescent="0.35">
      <c r="A244" s="15">
        <v>312</v>
      </c>
      <c r="B244" s="16">
        <v>312</v>
      </c>
      <c r="C244" s="17" t="s">
        <v>567</v>
      </c>
      <c r="D244" s="18">
        <v>2016</v>
      </c>
      <c r="E244" s="19" t="s">
        <v>568</v>
      </c>
      <c r="F244" s="16" t="s">
        <v>569</v>
      </c>
      <c r="G244" s="7" t="s">
        <v>46</v>
      </c>
      <c r="H244" s="16" t="s">
        <v>47</v>
      </c>
      <c r="I244" s="20">
        <v>37199.58</v>
      </c>
      <c r="J244" s="21">
        <v>78</v>
      </c>
      <c r="K244" s="16">
        <f>1.8*0.9*60</f>
        <v>97.2</v>
      </c>
      <c r="L244" s="22">
        <f>(K244/J244)-1</f>
        <v>0.24615384615384617</v>
      </c>
      <c r="M244" s="28"/>
      <c r="N244" s="7" t="s">
        <v>561</v>
      </c>
      <c r="O244" s="7"/>
      <c r="P244" s="24"/>
      <c r="Q244" s="7" t="s">
        <v>48</v>
      </c>
      <c r="R244" s="25"/>
      <c r="S244" s="24"/>
      <c r="T244" s="24" t="s">
        <v>42</v>
      </c>
      <c r="U244" s="24" t="s">
        <v>42</v>
      </c>
      <c r="V244" s="25">
        <v>5903044.8799999999</v>
      </c>
      <c r="W244" s="24"/>
      <c r="X244" s="25"/>
      <c r="Y244" s="13">
        <v>8802</v>
      </c>
      <c r="Z244" s="13">
        <v>13.5</v>
      </c>
      <c r="AA244" s="13">
        <v>14</v>
      </c>
      <c r="AB244" s="13">
        <v>5</v>
      </c>
      <c r="AC244" s="13">
        <v>2</v>
      </c>
      <c r="AD244" s="13">
        <v>582.37</v>
      </c>
      <c r="AE244" s="13"/>
      <c r="AF244" s="26">
        <f t="shared" si="11"/>
        <v>0</v>
      </c>
      <c r="AG244" s="27" t="s">
        <v>1359</v>
      </c>
    </row>
    <row r="245" spans="1:33" ht="63" customHeight="1" x14ac:dyDescent="0.35">
      <c r="A245" s="15">
        <v>313</v>
      </c>
      <c r="B245" s="16">
        <v>313</v>
      </c>
      <c r="C245" s="17" t="s">
        <v>567</v>
      </c>
      <c r="D245" s="18">
        <v>2016</v>
      </c>
      <c r="E245" s="19" t="s">
        <v>570</v>
      </c>
      <c r="F245" s="16" t="s">
        <v>571</v>
      </c>
      <c r="G245" s="7" t="s">
        <v>46</v>
      </c>
      <c r="H245" s="16" t="s">
        <v>47</v>
      </c>
      <c r="I245" s="20">
        <v>10301.42</v>
      </c>
      <c r="J245" s="21">
        <v>21.6</v>
      </c>
      <c r="K245" s="16"/>
      <c r="L245" s="28"/>
      <c r="M245" s="28"/>
      <c r="N245" s="7" t="s">
        <v>53</v>
      </c>
      <c r="O245" s="7" t="s">
        <v>54</v>
      </c>
      <c r="P245" s="24"/>
      <c r="Q245" s="7" t="s">
        <v>54</v>
      </c>
      <c r="R245" s="25">
        <v>1867192.3</v>
      </c>
      <c r="S245" s="24"/>
      <c r="T245" s="24" t="s">
        <v>42</v>
      </c>
      <c r="U245" s="24" t="s">
        <v>42</v>
      </c>
      <c r="V245" s="25"/>
      <c r="W245" s="24"/>
      <c r="X245" s="25">
        <v>1844645.44</v>
      </c>
      <c r="Y245" s="13"/>
      <c r="Z245" s="13"/>
      <c r="AA245" s="13"/>
      <c r="AB245" s="13"/>
      <c r="AC245" s="13">
        <v>2</v>
      </c>
      <c r="AD245" s="13"/>
      <c r="AE245" s="13"/>
      <c r="AF245" s="26">
        <f t="shared" si="11"/>
        <v>0</v>
      </c>
    </row>
    <row r="246" spans="1:33" ht="48.6" customHeight="1" x14ac:dyDescent="0.35">
      <c r="A246" s="15">
        <v>314</v>
      </c>
      <c r="B246" s="16">
        <v>314</v>
      </c>
      <c r="C246" s="17" t="s">
        <v>567</v>
      </c>
      <c r="D246" s="18">
        <v>2017</v>
      </c>
      <c r="E246" s="19" t="s">
        <v>572</v>
      </c>
      <c r="F246" s="16" t="s">
        <v>573</v>
      </c>
      <c r="G246" s="7" t="s">
        <v>38</v>
      </c>
      <c r="H246" s="16" t="s">
        <v>39</v>
      </c>
      <c r="I246" s="20">
        <v>138250</v>
      </c>
      <c r="J246" s="21">
        <v>197.5</v>
      </c>
      <c r="K246" s="16"/>
      <c r="L246" s="28"/>
      <c r="M246" s="28"/>
      <c r="N246" s="7" t="s">
        <v>53</v>
      </c>
      <c r="O246" s="7" t="s">
        <v>54</v>
      </c>
      <c r="P246" s="24"/>
      <c r="Q246" s="7" t="s">
        <v>54</v>
      </c>
      <c r="R246" s="25">
        <v>13238751</v>
      </c>
      <c r="S246" s="24"/>
      <c r="T246" s="24" t="s">
        <v>42</v>
      </c>
      <c r="U246" s="24" t="s">
        <v>42</v>
      </c>
      <c r="V246" s="25"/>
      <c r="W246" s="24"/>
      <c r="X246" s="25">
        <v>13238751</v>
      </c>
      <c r="Y246" s="13"/>
      <c r="Z246" s="13"/>
      <c r="AA246" s="13"/>
      <c r="AB246" s="13"/>
      <c r="AC246" s="13">
        <v>2</v>
      </c>
      <c r="AD246" s="13"/>
      <c r="AE246" s="13"/>
      <c r="AF246" s="26">
        <f t="shared" si="11"/>
        <v>0</v>
      </c>
    </row>
    <row r="247" spans="1:33" ht="50.4" customHeight="1" x14ac:dyDescent="0.35">
      <c r="A247" s="15">
        <v>315</v>
      </c>
      <c r="B247" s="16">
        <v>315</v>
      </c>
      <c r="C247" s="17" t="s">
        <v>567</v>
      </c>
      <c r="D247" s="18">
        <v>2017</v>
      </c>
      <c r="E247" s="19" t="s">
        <v>574</v>
      </c>
      <c r="F247" s="16" t="s">
        <v>575</v>
      </c>
      <c r="G247" s="7" t="s">
        <v>38</v>
      </c>
      <c r="H247" s="16" t="s">
        <v>39</v>
      </c>
      <c r="I247" s="20">
        <v>119070</v>
      </c>
      <c r="J247" s="21">
        <v>170.1</v>
      </c>
      <c r="K247" s="16"/>
      <c r="L247" s="28"/>
      <c r="M247" s="28"/>
      <c r="N247" s="7" t="s">
        <v>53</v>
      </c>
      <c r="O247" s="7" t="s">
        <v>54</v>
      </c>
      <c r="P247" s="24"/>
      <c r="Q247" s="7" t="s">
        <v>54</v>
      </c>
      <c r="R247" s="25">
        <v>11673846</v>
      </c>
      <c r="S247" s="24"/>
      <c r="T247" s="24" t="s">
        <v>42</v>
      </c>
      <c r="U247" s="24" t="s">
        <v>42</v>
      </c>
      <c r="V247" s="25"/>
      <c r="W247" s="24"/>
      <c r="X247" s="25">
        <v>11673846</v>
      </c>
      <c r="Y247" s="13"/>
      <c r="Z247" s="13"/>
      <c r="AA247" s="13"/>
      <c r="AB247" s="13"/>
      <c r="AC247" s="13">
        <v>2</v>
      </c>
      <c r="AD247" s="13"/>
      <c r="AE247" s="13"/>
      <c r="AF247" s="26">
        <f t="shared" si="11"/>
        <v>0</v>
      </c>
    </row>
    <row r="248" spans="1:33" ht="46.2" customHeight="1" x14ac:dyDescent="0.35">
      <c r="A248" s="15">
        <v>316</v>
      </c>
      <c r="B248" s="16">
        <v>316</v>
      </c>
      <c r="C248" s="17" t="s">
        <v>567</v>
      </c>
      <c r="D248" s="18">
        <v>2017</v>
      </c>
      <c r="E248" s="19" t="s">
        <v>576</v>
      </c>
      <c r="F248" s="16" t="s">
        <v>577</v>
      </c>
      <c r="G248" s="7" t="s">
        <v>38</v>
      </c>
      <c r="H248" s="16" t="s">
        <v>39</v>
      </c>
      <c r="I248" s="20">
        <v>114940</v>
      </c>
      <c r="J248" s="21">
        <v>164.2</v>
      </c>
      <c r="K248" s="16"/>
      <c r="L248" s="28"/>
      <c r="M248" s="28"/>
      <c r="N248" s="7" t="s">
        <v>53</v>
      </c>
      <c r="O248" s="7" t="s">
        <v>54</v>
      </c>
      <c r="P248" s="24"/>
      <c r="Q248" s="7" t="s">
        <v>54</v>
      </c>
      <c r="R248" s="25"/>
      <c r="S248" s="24"/>
      <c r="T248" s="24"/>
      <c r="U248" s="24"/>
      <c r="V248" s="48">
        <v>120013.08</v>
      </c>
      <c r="W248" s="24"/>
      <c r="X248" s="25"/>
      <c r="Y248" s="13">
        <v>15292</v>
      </c>
      <c r="Z248" s="13">
        <v>13.17</v>
      </c>
      <c r="AA248" s="13">
        <v>14</v>
      </c>
      <c r="AB248" s="13">
        <v>4</v>
      </c>
      <c r="AC248" s="13">
        <v>2</v>
      </c>
      <c r="AD248" s="13">
        <v>858.63</v>
      </c>
      <c r="AE248" s="13">
        <v>858.63</v>
      </c>
      <c r="AF248" s="26">
        <f t="shared" si="11"/>
        <v>343.452</v>
      </c>
      <c r="AG248" s="27" t="s">
        <v>1360</v>
      </c>
    </row>
    <row r="249" spans="1:33" ht="52.8" customHeight="1" x14ac:dyDescent="0.35">
      <c r="A249" s="15">
        <v>317</v>
      </c>
      <c r="B249" s="16">
        <v>317</v>
      </c>
      <c r="C249" s="17" t="s">
        <v>567</v>
      </c>
      <c r="D249" s="18">
        <v>2017</v>
      </c>
      <c r="E249" s="19" t="s">
        <v>578</v>
      </c>
      <c r="F249" s="16" t="s">
        <v>579</v>
      </c>
      <c r="G249" s="7" t="s">
        <v>46</v>
      </c>
      <c r="H249" s="16" t="s">
        <v>47</v>
      </c>
      <c r="I249" s="20">
        <v>26612.01</v>
      </c>
      <c r="J249" s="21">
        <v>55.8</v>
      </c>
      <c r="K249" s="16"/>
      <c r="L249" s="28"/>
      <c r="M249" s="28"/>
      <c r="N249" s="7" t="s">
        <v>53</v>
      </c>
      <c r="O249" s="7" t="s">
        <v>54</v>
      </c>
      <c r="P249" s="24"/>
      <c r="Q249" s="7" t="s">
        <v>54</v>
      </c>
      <c r="R249" s="25"/>
      <c r="S249" s="24"/>
      <c r="T249" s="24" t="s">
        <v>42</v>
      </c>
      <c r="U249" s="24" t="s">
        <v>42</v>
      </c>
      <c r="V249" s="25"/>
      <c r="W249" s="24"/>
      <c r="X249" s="25">
        <v>4704825.0999999996</v>
      </c>
      <c r="Y249" s="13"/>
      <c r="Z249" s="13"/>
      <c r="AA249" s="13"/>
      <c r="AB249" s="13"/>
      <c r="AC249" s="13">
        <v>2</v>
      </c>
      <c r="AD249" s="13"/>
      <c r="AE249" s="13"/>
      <c r="AF249" s="26">
        <f t="shared" si="11"/>
        <v>0</v>
      </c>
    </row>
    <row r="250" spans="1:33" ht="60" customHeight="1" x14ac:dyDescent="0.35">
      <c r="A250" s="45">
        <v>318</v>
      </c>
      <c r="B250" s="16">
        <v>318</v>
      </c>
      <c r="C250" s="17" t="s">
        <v>567</v>
      </c>
      <c r="D250" s="18">
        <v>2017</v>
      </c>
      <c r="E250" s="19" t="s">
        <v>580</v>
      </c>
      <c r="F250" s="16" t="s">
        <v>581</v>
      </c>
      <c r="G250" s="7" t="s">
        <v>46</v>
      </c>
      <c r="H250" s="16" t="s">
        <v>555</v>
      </c>
      <c r="I250" s="20">
        <v>58800</v>
      </c>
      <c r="J250" s="21">
        <v>84</v>
      </c>
      <c r="K250" s="16"/>
      <c r="L250" s="28"/>
      <c r="M250" s="28"/>
      <c r="N250" s="7" t="s">
        <v>53</v>
      </c>
      <c r="O250" s="7" t="s">
        <v>54</v>
      </c>
      <c r="P250" s="24"/>
      <c r="Q250" s="7" t="s">
        <v>54</v>
      </c>
      <c r="R250" s="25">
        <v>1630770.74</v>
      </c>
      <c r="S250" s="24"/>
      <c r="T250" s="24" t="s">
        <v>42</v>
      </c>
      <c r="U250" s="24" t="s">
        <v>42</v>
      </c>
      <c r="V250" s="25"/>
      <c r="W250" s="24"/>
      <c r="X250" s="25">
        <v>6791393.9800000004</v>
      </c>
      <c r="Y250" s="13"/>
      <c r="Z250" s="13"/>
      <c r="AA250" s="13"/>
      <c r="AB250" s="13"/>
      <c r="AC250" s="13">
        <v>2</v>
      </c>
      <c r="AD250" s="13"/>
      <c r="AE250" s="13"/>
      <c r="AF250" s="26">
        <f t="shared" si="11"/>
        <v>0</v>
      </c>
    </row>
    <row r="251" spans="1:33" ht="60" customHeight="1" x14ac:dyDescent="0.35">
      <c r="A251" s="15">
        <v>319</v>
      </c>
      <c r="B251" s="16">
        <v>319</v>
      </c>
      <c r="C251" s="17" t="s">
        <v>567</v>
      </c>
      <c r="D251" s="18">
        <v>2017</v>
      </c>
      <c r="E251" s="19" t="s">
        <v>582</v>
      </c>
      <c r="F251" s="16" t="s">
        <v>583</v>
      </c>
      <c r="G251" s="7" t="s">
        <v>46</v>
      </c>
      <c r="H251" s="16" t="s">
        <v>47</v>
      </c>
      <c r="I251" s="20">
        <v>48370</v>
      </c>
      <c r="J251" s="21">
        <v>69.099999999999994</v>
      </c>
      <c r="K251" s="16"/>
      <c r="L251" s="28"/>
      <c r="M251" s="28"/>
      <c r="N251" s="7" t="s">
        <v>53</v>
      </c>
      <c r="O251" s="7" t="s">
        <v>54</v>
      </c>
      <c r="P251" s="24"/>
      <c r="Q251" s="7" t="s">
        <v>54</v>
      </c>
      <c r="R251" s="25">
        <v>1630770.74</v>
      </c>
      <c r="S251" s="24"/>
      <c r="T251" s="24" t="s">
        <v>42</v>
      </c>
      <c r="U251" s="24" t="s">
        <v>42</v>
      </c>
      <c r="V251" s="25"/>
      <c r="W251" s="24"/>
      <c r="X251" s="25">
        <v>1123174.1000000001</v>
      </c>
      <c r="Y251" s="13"/>
      <c r="Z251" s="13"/>
      <c r="AA251" s="13"/>
      <c r="AB251" s="13"/>
      <c r="AC251" s="13">
        <v>2</v>
      </c>
      <c r="AD251" s="13"/>
      <c r="AE251" s="13"/>
      <c r="AF251" s="26">
        <f t="shared" si="11"/>
        <v>0</v>
      </c>
    </row>
    <row r="252" spans="1:33" ht="54" x14ac:dyDescent="0.35">
      <c r="A252" s="15">
        <v>320</v>
      </c>
      <c r="B252" s="16">
        <v>320</v>
      </c>
      <c r="C252" s="17" t="s">
        <v>567</v>
      </c>
      <c r="D252" s="18">
        <v>2016</v>
      </c>
      <c r="E252" s="19" t="s">
        <v>584</v>
      </c>
      <c r="F252" s="16" t="s">
        <v>585</v>
      </c>
      <c r="G252" s="7" t="s">
        <v>46</v>
      </c>
      <c r="H252" s="16" t="s">
        <v>47</v>
      </c>
      <c r="I252" s="20">
        <v>42840</v>
      </c>
      <c r="J252" s="21">
        <v>61.2</v>
      </c>
      <c r="K252" s="16">
        <f>6*2*5*4</f>
        <v>240</v>
      </c>
      <c r="L252" s="22">
        <f>(K252/J252)-1</f>
        <v>2.9215686274509802</v>
      </c>
      <c r="M252" s="28"/>
      <c r="N252" s="7">
        <v>0</v>
      </c>
      <c r="O252" s="7"/>
      <c r="P252" s="24"/>
      <c r="Q252" s="7" t="s">
        <v>48</v>
      </c>
      <c r="R252" s="25"/>
      <c r="S252" s="24"/>
      <c r="T252" s="24"/>
      <c r="U252" s="24"/>
      <c r="V252" s="25"/>
      <c r="W252" s="24"/>
      <c r="X252" s="25"/>
      <c r="Y252" s="13">
        <v>14663</v>
      </c>
      <c r="Z252" s="13">
        <v>14.3</v>
      </c>
      <c r="AA252" s="13">
        <v>15</v>
      </c>
      <c r="AB252" s="13">
        <v>5</v>
      </c>
      <c r="AC252" s="13">
        <v>2</v>
      </c>
      <c r="AD252" s="13">
        <v>762.24</v>
      </c>
      <c r="AE252" s="13">
        <v>762.24</v>
      </c>
      <c r="AF252" s="26">
        <f t="shared" si="11"/>
        <v>304.89600000000002</v>
      </c>
      <c r="AG252" s="27" t="s">
        <v>1361</v>
      </c>
    </row>
    <row r="253" spans="1:33" ht="36" x14ac:dyDescent="0.35">
      <c r="A253" s="15">
        <v>321</v>
      </c>
      <c r="B253" s="16">
        <v>321</v>
      </c>
      <c r="C253" s="17" t="s">
        <v>586</v>
      </c>
      <c r="D253" s="18">
        <v>2017</v>
      </c>
      <c r="E253" s="19" t="s">
        <v>587</v>
      </c>
      <c r="F253" s="16" t="s">
        <v>588</v>
      </c>
      <c r="G253" s="7" t="s">
        <v>38</v>
      </c>
      <c r="H253" s="16" t="s">
        <v>39</v>
      </c>
      <c r="I253" s="20">
        <v>429100</v>
      </c>
      <c r="J253" s="21">
        <v>613</v>
      </c>
      <c r="K253" s="16">
        <f>(40*2+12*2)*1.7</f>
        <v>176.79999999999998</v>
      </c>
      <c r="L253" s="22">
        <f>(K253/J253)-1</f>
        <v>-0.71158238172920063</v>
      </c>
      <c r="M253" s="28"/>
      <c r="N253" s="7" t="s">
        <v>561</v>
      </c>
      <c r="O253" s="7"/>
      <c r="P253" s="24"/>
      <c r="Q253" s="7" t="s">
        <v>48</v>
      </c>
      <c r="R253" s="25"/>
      <c r="S253" s="24"/>
      <c r="T253" s="24"/>
      <c r="U253" s="24"/>
      <c r="V253" s="25"/>
      <c r="W253" s="24"/>
      <c r="X253" s="25"/>
      <c r="Y253" s="13">
        <v>4001</v>
      </c>
      <c r="Z253" s="13">
        <v>7.8</v>
      </c>
      <c r="AA253" s="13">
        <v>8</v>
      </c>
      <c r="AB253" s="13">
        <v>2</v>
      </c>
      <c r="AC253" s="13">
        <v>2</v>
      </c>
      <c r="AD253" s="13">
        <v>315.43</v>
      </c>
      <c r="AE253" s="13">
        <v>315.43</v>
      </c>
      <c r="AF253" s="26">
        <f t="shared" si="11"/>
        <v>126.17200000000001</v>
      </c>
      <c r="AG253" s="27" t="s">
        <v>1362</v>
      </c>
    </row>
    <row r="254" spans="1:33" ht="54" x14ac:dyDescent="0.35">
      <c r="A254" s="15">
        <v>323</v>
      </c>
      <c r="B254" s="16">
        <v>323</v>
      </c>
      <c r="C254" s="17" t="s">
        <v>586</v>
      </c>
      <c r="D254" s="18">
        <v>2016</v>
      </c>
      <c r="E254" s="19" t="s">
        <v>589</v>
      </c>
      <c r="F254" s="16" t="s">
        <v>590</v>
      </c>
      <c r="G254" s="7" t="s">
        <v>46</v>
      </c>
      <c r="H254" s="16" t="s">
        <v>47</v>
      </c>
      <c r="I254" s="20">
        <v>48370</v>
      </c>
      <c r="J254" s="21">
        <v>69.099999999999994</v>
      </c>
      <c r="K254" s="16">
        <f>3*1*64</f>
        <v>192</v>
      </c>
      <c r="L254" s="22">
        <f t="shared" ref="L254:L262" si="14">(K254/J254)-1</f>
        <v>1.7785817655571639</v>
      </c>
      <c r="M254" s="28"/>
      <c r="N254" s="7">
        <v>0</v>
      </c>
      <c r="O254" s="7"/>
      <c r="P254" s="24"/>
      <c r="Q254" s="7" t="s">
        <v>48</v>
      </c>
      <c r="R254" s="25"/>
      <c r="S254" s="24"/>
      <c r="T254" s="24"/>
      <c r="U254" s="24"/>
      <c r="V254" s="25"/>
      <c r="W254" s="24"/>
      <c r="X254" s="25"/>
      <c r="Y254" s="13">
        <v>11994</v>
      </c>
      <c r="Z254" s="13">
        <v>14</v>
      </c>
      <c r="AA254" s="13">
        <v>14</v>
      </c>
      <c r="AB254" s="13">
        <v>5</v>
      </c>
      <c r="AC254" s="13">
        <v>2</v>
      </c>
      <c r="AD254" s="13">
        <v>691.82</v>
      </c>
      <c r="AE254" s="13">
        <v>691.82</v>
      </c>
      <c r="AF254" s="26">
        <f t="shared" si="11"/>
        <v>276.72800000000001</v>
      </c>
      <c r="AG254" s="27" t="s">
        <v>1363</v>
      </c>
    </row>
    <row r="255" spans="1:33" ht="54" x14ac:dyDescent="0.35">
      <c r="A255" s="15">
        <v>324</v>
      </c>
      <c r="B255" s="16">
        <v>324</v>
      </c>
      <c r="C255" s="17" t="s">
        <v>586</v>
      </c>
      <c r="D255" s="18">
        <v>2016</v>
      </c>
      <c r="E255" s="19" t="s">
        <v>591</v>
      </c>
      <c r="F255" s="16" t="s">
        <v>592</v>
      </c>
      <c r="G255" s="7" t="s">
        <v>46</v>
      </c>
      <c r="H255" s="16" t="s">
        <v>47</v>
      </c>
      <c r="I255" s="20">
        <v>42840</v>
      </c>
      <c r="J255" s="21">
        <v>61.2</v>
      </c>
      <c r="K255" s="16">
        <f>3.2*0.8*80</f>
        <v>204.80000000000004</v>
      </c>
      <c r="L255" s="22">
        <f t="shared" si="14"/>
        <v>2.3464052287581705</v>
      </c>
      <c r="M255" s="28"/>
      <c r="N255" s="7">
        <v>0</v>
      </c>
      <c r="O255" s="7"/>
      <c r="P255" s="24"/>
      <c r="Q255" s="7" t="s">
        <v>48</v>
      </c>
      <c r="R255" s="25"/>
      <c r="S255" s="24"/>
      <c r="T255" s="24"/>
      <c r="U255" s="24"/>
      <c r="V255" s="25"/>
      <c r="W255" s="24"/>
      <c r="X255" s="25"/>
      <c r="Y255" s="13">
        <v>17604</v>
      </c>
      <c r="Z255" s="13">
        <v>14</v>
      </c>
      <c r="AA255" s="13">
        <v>14</v>
      </c>
      <c r="AB255" s="13">
        <v>5</v>
      </c>
      <c r="AC255" s="13">
        <v>2</v>
      </c>
      <c r="AD255" s="13">
        <v>884.17</v>
      </c>
      <c r="AE255" s="13">
        <v>884.17</v>
      </c>
      <c r="AF255" s="26">
        <f t="shared" si="11"/>
        <v>353.66800000000001</v>
      </c>
      <c r="AG255" s="27" t="s">
        <v>1364</v>
      </c>
    </row>
    <row r="256" spans="1:33" ht="54" x14ac:dyDescent="0.35">
      <c r="A256" s="15">
        <v>325</v>
      </c>
      <c r="B256" s="16">
        <v>325</v>
      </c>
      <c r="C256" s="17" t="s">
        <v>586</v>
      </c>
      <c r="D256" s="18">
        <v>2016</v>
      </c>
      <c r="E256" s="19" t="s">
        <v>593</v>
      </c>
      <c r="F256" s="16" t="s">
        <v>594</v>
      </c>
      <c r="G256" s="7" t="s">
        <v>46</v>
      </c>
      <c r="H256" s="16" t="s">
        <v>47</v>
      </c>
      <c r="I256" s="20">
        <v>45500</v>
      </c>
      <c r="J256" s="21">
        <v>65</v>
      </c>
      <c r="K256" s="16">
        <f>3.2*0.8*48</f>
        <v>122.88000000000002</v>
      </c>
      <c r="L256" s="22">
        <f t="shared" si="14"/>
        <v>0.89046153846153886</v>
      </c>
      <c r="M256" s="28"/>
      <c r="N256" s="7">
        <v>0</v>
      </c>
      <c r="O256" s="7"/>
      <c r="P256" s="24"/>
      <c r="Q256" s="7" t="s">
        <v>48</v>
      </c>
      <c r="R256" s="25"/>
      <c r="S256" s="24"/>
      <c r="T256" s="24"/>
      <c r="U256" s="24"/>
      <c r="V256" s="25"/>
      <c r="W256" s="24"/>
      <c r="X256" s="25"/>
      <c r="Y256" s="13">
        <v>11099</v>
      </c>
      <c r="Z256" s="13">
        <v>14</v>
      </c>
      <c r="AA256" s="13">
        <v>14</v>
      </c>
      <c r="AB256" s="13">
        <v>5</v>
      </c>
      <c r="AC256" s="13">
        <v>2</v>
      </c>
      <c r="AD256" s="13">
        <v>661.13</v>
      </c>
      <c r="AE256" s="13">
        <v>661.13</v>
      </c>
      <c r="AF256" s="26">
        <f t="shared" si="11"/>
        <v>264.452</v>
      </c>
      <c r="AG256" s="27" t="s">
        <v>1365</v>
      </c>
    </row>
    <row r="257" spans="1:33" ht="54" x14ac:dyDescent="0.35">
      <c r="A257" s="15">
        <v>326</v>
      </c>
      <c r="B257" s="16">
        <v>326</v>
      </c>
      <c r="C257" s="17" t="s">
        <v>586</v>
      </c>
      <c r="D257" s="18">
        <v>2016</v>
      </c>
      <c r="E257" s="19" t="s">
        <v>595</v>
      </c>
      <c r="F257" s="16" t="s">
        <v>596</v>
      </c>
      <c r="G257" s="7" t="s">
        <v>46</v>
      </c>
      <c r="H257" s="16" t="s">
        <v>47</v>
      </c>
      <c r="I257" s="20">
        <v>52570</v>
      </c>
      <c r="J257" s="21">
        <v>75.099999999999994</v>
      </c>
      <c r="K257" s="16">
        <f>3.15*0.6*80</f>
        <v>151.19999999999999</v>
      </c>
      <c r="L257" s="22">
        <f t="shared" si="14"/>
        <v>1.0133155792276964</v>
      </c>
      <c r="M257" s="28"/>
      <c r="N257" s="7">
        <v>0</v>
      </c>
      <c r="O257" s="7"/>
      <c r="P257" s="24"/>
      <c r="Q257" s="7" t="s">
        <v>48</v>
      </c>
      <c r="R257" s="25"/>
      <c r="S257" s="24"/>
      <c r="T257" s="24"/>
      <c r="U257" s="24"/>
      <c r="V257" s="25"/>
      <c r="W257" s="24"/>
      <c r="X257" s="25"/>
      <c r="Y257" s="13">
        <v>13619</v>
      </c>
      <c r="Z257" s="13">
        <v>14</v>
      </c>
      <c r="AA257" s="13">
        <v>14</v>
      </c>
      <c r="AB257" s="13">
        <v>5</v>
      </c>
      <c r="AC257" s="13">
        <v>2</v>
      </c>
      <c r="AD257" s="13">
        <v>747.53</v>
      </c>
      <c r="AE257" s="13">
        <v>747.53</v>
      </c>
      <c r="AF257" s="26">
        <f t="shared" si="11"/>
        <v>299.012</v>
      </c>
      <c r="AG257" s="27" t="s">
        <v>1366</v>
      </c>
    </row>
    <row r="258" spans="1:33" ht="54" x14ac:dyDescent="0.35">
      <c r="A258" s="15">
        <v>327</v>
      </c>
      <c r="B258" s="16">
        <v>327</v>
      </c>
      <c r="C258" s="17" t="s">
        <v>586</v>
      </c>
      <c r="D258" s="18">
        <v>2016</v>
      </c>
      <c r="E258" s="19" t="s">
        <v>597</v>
      </c>
      <c r="F258" s="16" t="s">
        <v>598</v>
      </c>
      <c r="G258" s="7" t="s">
        <v>46</v>
      </c>
      <c r="H258" s="16" t="s">
        <v>47</v>
      </c>
      <c r="I258" s="20">
        <v>45500</v>
      </c>
      <c r="J258" s="21">
        <v>65</v>
      </c>
      <c r="K258" s="16">
        <f>3.2*0.8*64</f>
        <v>163.84000000000003</v>
      </c>
      <c r="L258" s="22">
        <f t="shared" si="14"/>
        <v>1.5206153846153851</v>
      </c>
      <c r="M258" s="28"/>
      <c r="N258" s="7">
        <v>0</v>
      </c>
      <c r="O258" s="7"/>
      <c r="P258" s="24"/>
      <c r="Q258" s="7" t="s">
        <v>48</v>
      </c>
      <c r="R258" s="25"/>
      <c r="S258" s="24"/>
      <c r="T258" s="24"/>
      <c r="U258" s="24"/>
      <c r="V258" s="25"/>
      <c r="W258" s="24"/>
      <c r="X258" s="25"/>
      <c r="Y258" s="13">
        <v>12044</v>
      </c>
      <c r="Z258" s="13">
        <v>14</v>
      </c>
      <c r="AA258" s="13">
        <v>14</v>
      </c>
      <c r="AB258" s="13">
        <v>5</v>
      </c>
      <c r="AC258" s="13">
        <v>2</v>
      </c>
      <c r="AD258" s="13">
        <v>693.53</v>
      </c>
      <c r="AE258" s="13">
        <v>693.53</v>
      </c>
      <c r="AF258" s="26">
        <f t="shared" si="11"/>
        <v>277.41199999999998</v>
      </c>
      <c r="AG258" s="27" t="s">
        <v>1367</v>
      </c>
    </row>
    <row r="259" spans="1:33" ht="54" x14ac:dyDescent="0.35">
      <c r="A259" s="15">
        <v>328</v>
      </c>
      <c r="B259" s="16">
        <v>328</v>
      </c>
      <c r="C259" s="17" t="s">
        <v>586</v>
      </c>
      <c r="D259" s="18">
        <v>2016</v>
      </c>
      <c r="E259" s="19" t="s">
        <v>599</v>
      </c>
      <c r="F259" s="16" t="s">
        <v>600</v>
      </c>
      <c r="G259" s="7" t="s">
        <v>46</v>
      </c>
      <c r="H259" s="16" t="s">
        <v>47</v>
      </c>
      <c r="I259" s="20">
        <v>50400</v>
      </c>
      <c r="J259" s="21">
        <v>72</v>
      </c>
      <c r="K259" s="16">
        <f>3.2*0.8*64</f>
        <v>163.84000000000003</v>
      </c>
      <c r="L259" s="22">
        <f t="shared" si="14"/>
        <v>1.275555555555556</v>
      </c>
      <c r="M259" s="28"/>
      <c r="N259" s="7">
        <v>0</v>
      </c>
      <c r="O259" s="7"/>
      <c r="P259" s="24"/>
      <c r="Q259" s="7" t="s">
        <v>48</v>
      </c>
      <c r="R259" s="25"/>
      <c r="S259" s="24"/>
      <c r="T259" s="24"/>
      <c r="U259" s="24"/>
      <c r="V259" s="25"/>
      <c r="W259" s="24"/>
      <c r="X259" s="25"/>
      <c r="Y259" s="13">
        <v>12481</v>
      </c>
      <c r="Z259" s="13">
        <v>14</v>
      </c>
      <c r="AA259" s="13">
        <v>14</v>
      </c>
      <c r="AB259" s="13">
        <v>5</v>
      </c>
      <c r="AC259" s="13">
        <v>2</v>
      </c>
      <c r="AD259" s="13">
        <v>708.51</v>
      </c>
      <c r="AE259" s="13">
        <v>708.51</v>
      </c>
      <c r="AF259" s="26">
        <f t="shared" si="11"/>
        <v>283.404</v>
      </c>
      <c r="AG259" s="27" t="s">
        <v>1368</v>
      </c>
    </row>
    <row r="260" spans="1:33" ht="54" x14ac:dyDescent="0.35">
      <c r="A260" s="15">
        <v>329</v>
      </c>
      <c r="B260" s="16">
        <v>329</v>
      </c>
      <c r="C260" s="17" t="s">
        <v>586</v>
      </c>
      <c r="D260" s="18">
        <v>2016</v>
      </c>
      <c r="E260" s="19" t="s">
        <v>601</v>
      </c>
      <c r="F260" s="16" t="s">
        <v>602</v>
      </c>
      <c r="G260" s="7" t="s">
        <v>46</v>
      </c>
      <c r="H260" s="16" t="s">
        <v>47</v>
      </c>
      <c r="I260" s="20">
        <v>45500</v>
      </c>
      <c r="J260" s="21">
        <v>65</v>
      </c>
      <c r="K260" s="16">
        <f>3.2*0.9*48</f>
        <v>138.24</v>
      </c>
      <c r="L260" s="22">
        <f t="shared" si="14"/>
        <v>1.1267692307692307</v>
      </c>
      <c r="M260" s="28"/>
      <c r="N260" s="7">
        <v>0</v>
      </c>
      <c r="O260" s="7"/>
      <c r="P260" s="24"/>
      <c r="Q260" s="7" t="s">
        <v>48</v>
      </c>
      <c r="R260" s="25"/>
      <c r="S260" s="24"/>
      <c r="T260" s="24"/>
      <c r="U260" s="24"/>
      <c r="V260" s="25"/>
      <c r="W260" s="24"/>
      <c r="X260" s="25"/>
      <c r="Y260" s="13">
        <v>8914</v>
      </c>
      <c r="Z260" s="13">
        <v>14</v>
      </c>
      <c r="AA260" s="13">
        <v>14</v>
      </c>
      <c r="AB260" s="13">
        <v>5</v>
      </c>
      <c r="AC260" s="13">
        <v>2</v>
      </c>
      <c r="AD260" s="13">
        <v>586.21</v>
      </c>
      <c r="AE260" s="13">
        <v>586.21</v>
      </c>
      <c r="AF260" s="26">
        <f t="shared" ref="AF260:AF323" si="15">AE260*0.4</f>
        <v>234.48400000000004</v>
      </c>
      <c r="AG260" s="27" t="s">
        <v>1369</v>
      </c>
    </row>
    <row r="261" spans="1:33" ht="54" x14ac:dyDescent="0.35">
      <c r="A261" s="15">
        <v>330</v>
      </c>
      <c r="B261" s="16">
        <v>330</v>
      </c>
      <c r="C261" s="17" t="s">
        <v>586</v>
      </c>
      <c r="D261" s="18">
        <v>2016</v>
      </c>
      <c r="E261" s="19" t="s">
        <v>603</v>
      </c>
      <c r="F261" s="16" t="s">
        <v>604</v>
      </c>
      <c r="G261" s="7" t="s">
        <v>46</v>
      </c>
      <c r="H261" s="16" t="s">
        <v>47</v>
      </c>
      <c r="I261" s="20">
        <v>42840</v>
      </c>
      <c r="J261" s="21">
        <v>61.2</v>
      </c>
      <c r="K261" s="16">
        <f>3.2*0.8*56</f>
        <v>143.36000000000001</v>
      </c>
      <c r="L261" s="22">
        <f t="shared" si="14"/>
        <v>1.3424836601307191</v>
      </c>
      <c r="M261" s="28"/>
      <c r="N261" s="7">
        <v>0</v>
      </c>
      <c r="O261" s="7"/>
      <c r="P261" s="24"/>
      <c r="Q261" s="7" t="s">
        <v>48</v>
      </c>
      <c r="R261" s="25"/>
      <c r="S261" s="24"/>
      <c r="T261" s="24"/>
      <c r="U261" s="24"/>
      <c r="V261" s="25"/>
      <c r="W261" s="24"/>
      <c r="X261" s="25"/>
      <c r="Y261" s="13">
        <v>12180</v>
      </c>
      <c r="Z261" s="13">
        <v>14</v>
      </c>
      <c r="AA261" s="13">
        <v>14</v>
      </c>
      <c r="AB261" s="13">
        <v>5</v>
      </c>
      <c r="AC261" s="13">
        <v>2</v>
      </c>
      <c r="AD261" s="13">
        <v>698.19</v>
      </c>
      <c r="AE261" s="13">
        <v>698.19</v>
      </c>
      <c r="AF261" s="26">
        <f t="shared" si="15"/>
        <v>279.27600000000001</v>
      </c>
      <c r="AG261" s="27" t="s">
        <v>1370</v>
      </c>
    </row>
    <row r="262" spans="1:33" ht="36" x14ac:dyDescent="0.35">
      <c r="A262" s="15">
        <v>331</v>
      </c>
      <c r="B262" s="16">
        <v>331</v>
      </c>
      <c r="C262" s="17" t="s">
        <v>586</v>
      </c>
      <c r="D262" s="18">
        <v>2018</v>
      </c>
      <c r="E262" s="19" t="s">
        <v>605</v>
      </c>
      <c r="F262" s="16" t="s">
        <v>606</v>
      </c>
      <c r="G262" s="7" t="s">
        <v>38</v>
      </c>
      <c r="H262" s="16" t="s">
        <v>39</v>
      </c>
      <c r="I262" s="20">
        <v>106260</v>
      </c>
      <c r="J262" s="21">
        <v>138</v>
      </c>
      <c r="K262" s="16">
        <f>(31*2+12*2)*1.8</f>
        <v>154.80000000000001</v>
      </c>
      <c r="L262" s="22">
        <f t="shared" si="14"/>
        <v>0.12173913043478279</v>
      </c>
      <c r="M262" s="28">
        <v>1</v>
      </c>
      <c r="N262" s="7">
        <v>0</v>
      </c>
      <c r="O262" s="7"/>
      <c r="P262" s="24"/>
      <c r="Q262" s="7" t="s">
        <v>48</v>
      </c>
      <c r="R262" s="25"/>
      <c r="S262" s="24"/>
      <c r="T262" s="24"/>
      <c r="U262" s="24"/>
      <c r="V262" s="25"/>
      <c r="W262" s="24"/>
      <c r="X262" s="25"/>
      <c r="Y262" s="13">
        <v>4237</v>
      </c>
      <c r="Z262" s="13">
        <v>8</v>
      </c>
      <c r="AA262" s="13">
        <v>8</v>
      </c>
      <c r="AB262" s="13">
        <v>2</v>
      </c>
      <c r="AC262" s="13">
        <v>2</v>
      </c>
      <c r="AD262" s="13">
        <v>325.44</v>
      </c>
      <c r="AE262" s="13">
        <v>325.44</v>
      </c>
      <c r="AF262" s="26">
        <f t="shared" si="15"/>
        <v>130.17600000000002</v>
      </c>
      <c r="AG262" s="27" t="s">
        <v>1371</v>
      </c>
    </row>
    <row r="263" spans="1:33" ht="36" x14ac:dyDescent="0.35">
      <c r="A263" s="15">
        <v>333</v>
      </c>
      <c r="B263" s="16">
        <v>333</v>
      </c>
      <c r="C263" s="17" t="s">
        <v>586</v>
      </c>
      <c r="D263" s="18">
        <v>2017</v>
      </c>
      <c r="E263" s="19" t="s">
        <v>607</v>
      </c>
      <c r="F263" s="16" t="s">
        <v>608</v>
      </c>
      <c r="G263" s="7" t="s">
        <v>38</v>
      </c>
      <c r="H263" s="16" t="s">
        <v>39</v>
      </c>
      <c r="I263" s="20">
        <v>84000</v>
      </c>
      <c r="J263" s="21">
        <v>120</v>
      </c>
      <c r="K263" s="16">
        <f>(50*2+13.2*2)*1.7</f>
        <v>214.88</v>
      </c>
      <c r="L263" s="22">
        <f>(K263/J263)-1</f>
        <v>0.79066666666666663</v>
      </c>
      <c r="M263" s="28"/>
      <c r="N263" s="7">
        <v>0</v>
      </c>
      <c r="O263" s="7"/>
      <c r="P263" s="24"/>
      <c r="Q263" s="7" t="s">
        <v>48</v>
      </c>
      <c r="R263" s="25"/>
      <c r="S263" s="24"/>
      <c r="T263" s="24"/>
      <c r="U263" s="24"/>
      <c r="V263" s="25"/>
      <c r="W263" s="24"/>
      <c r="X263" s="25"/>
      <c r="Y263" s="13">
        <v>2895</v>
      </c>
      <c r="Z263" s="13">
        <v>5.6</v>
      </c>
      <c r="AA263" s="13">
        <v>6</v>
      </c>
      <c r="AB263" s="13">
        <v>2</v>
      </c>
      <c r="AC263" s="13">
        <v>2</v>
      </c>
      <c r="AD263" s="13">
        <v>275.64</v>
      </c>
      <c r="AE263" s="13">
        <v>275.64</v>
      </c>
      <c r="AF263" s="26">
        <f t="shared" si="15"/>
        <v>110.256</v>
      </c>
      <c r="AG263" s="27" t="s">
        <v>1372</v>
      </c>
    </row>
    <row r="264" spans="1:33" ht="36" x14ac:dyDescent="0.35">
      <c r="A264" s="15">
        <v>335</v>
      </c>
      <c r="B264" s="16">
        <v>335</v>
      </c>
      <c r="C264" s="17" t="s">
        <v>586</v>
      </c>
      <c r="D264" s="18">
        <v>2018</v>
      </c>
      <c r="E264" s="19" t="s">
        <v>609</v>
      </c>
      <c r="F264" s="16" t="s">
        <v>610</v>
      </c>
      <c r="G264" s="7" t="s">
        <v>38</v>
      </c>
      <c r="H264" s="16" t="s">
        <v>39</v>
      </c>
      <c r="I264" s="20">
        <v>58058</v>
      </c>
      <c r="J264" s="21">
        <v>75.400000000000006</v>
      </c>
      <c r="K264" s="16">
        <f>(31*2+12*2)*1.8</f>
        <v>154.80000000000001</v>
      </c>
      <c r="L264" s="22">
        <f t="shared" ref="L264:L272" si="16">(K264/J264)-1</f>
        <v>1.0530503978779842</v>
      </c>
      <c r="M264" s="28"/>
      <c r="N264" s="7">
        <v>0</v>
      </c>
      <c r="O264" s="7"/>
      <c r="P264" s="24"/>
      <c r="Q264" s="7" t="s">
        <v>48</v>
      </c>
      <c r="R264" s="25"/>
      <c r="S264" s="24"/>
      <c r="T264" s="24"/>
      <c r="U264" s="24"/>
      <c r="V264" s="25"/>
      <c r="W264" s="24"/>
      <c r="X264" s="25"/>
      <c r="Y264" s="13">
        <v>2434</v>
      </c>
      <c r="Z264" s="13">
        <v>5.6</v>
      </c>
      <c r="AA264" s="13">
        <v>6</v>
      </c>
      <c r="AB264" s="13">
        <v>2</v>
      </c>
      <c r="AC264" s="13">
        <v>2</v>
      </c>
      <c r="AD264" s="13">
        <v>254.95</v>
      </c>
      <c r="AE264" s="13">
        <v>254.95</v>
      </c>
      <c r="AF264" s="26">
        <f t="shared" si="15"/>
        <v>101.98</v>
      </c>
      <c r="AG264" s="27" t="s">
        <v>1373</v>
      </c>
    </row>
    <row r="265" spans="1:33" ht="36" x14ac:dyDescent="0.35">
      <c r="A265" s="15">
        <v>337</v>
      </c>
      <c r="B265" s="16">
        <v>337</v>
      </c>
      <c r="C265" s="17" t="s">
        <v>586</v>
      </c>
      <c r="D265" s="18">
        <v>2018</v>
      </c>
      <c r="E265" s="19" t="s">
        <v>611</v>
      </c>
      <c r="F265" s="16" t="s">
        <v>612</v>
      </c>
      <c r="G265" s="7" t="s">
        <v>38</v>
      </c>
      <c r="H265" s="16" t="s">
        <v>39</v>
      </c>
      <c r="I265" s="20">
        <v>53130</v>
      </c>
      <c r="J265" s="21">
        <v>69</v>
      </c>
      <c r="K265" s="16">
        <f>78*2.2</f>
        <v>171.60000000000002</v>
      </c>
      <c r="L265" s="22">
        <f t="shared" si="16"/>
        <v>1.4869565217391307</v>
      </c>
      <c r="M265" s="28"/>
      <c r="N265" s="7">
        <v>0</v>
      </c>
      <c r="O265" s="7"/>
      <c r="P265" s="24"/>
      <c r="Q265" s="7" t="s">
        <v>48</v>
      </c>
      <c r="R265" s="25"/>
      <c r="S265" s="24"/>
      <c r="T265" s="24"/>
      <c r="U265" s="24"/>
      <c r="V265" s="25"/>
      <c r="W265" s="24"/>
      <c r="X265" s="25"/>
      <c r="Y265" s="13">
        <v>3136</v>
      </c>
      <c r="Z265" s="13">
        <v>11.5</v>
      </c>
      <c r="AA265" s="13">
        <v>12</v>
      </c>
      <c r="AB265" s="13">
        <v>4</v>
      </c>
      <c r="AC265" s="13">
        <v>2</v>
      </c>
      <c r="AD265" s="13">
        <v>441.24</v>
      </c>
      <c r="AE265" s="13">
        <v>441.24</v>
      </c>
      <c r="AF265" s="26">
        <f t="shared" si="15"/>
        <v>176.49600000000001</v>
      </c>
      <c r="AG265" s="27" t="s">
        <v>1374</v>
      </c>
    </row>
    <row r="266" spans="1:33" ht="36" x14ac:dyDescent="0.35">
      <c r="A266" s="15">
        <v>339</v>
      </c>
      <c r="B266" s="16">
        <v>339</v>
      </c>
      <c r="C266" s="17" t="s">
        <v>586</v>
      </c>
      <c r="D266" s="18">
        <v>2018</v>
      </c>
      <c r="E266" s="19" t="s">
        <v>613</v>
      </c>
      <c r="F266" s="16" t="s">
        <v>614</v>
      </c>
      <c r="G266" s="7" t="s">
        <v>38</v>
      </c>
      <c r="H266" s="16" t="s">
        <v>39</v>
      </c>
      <c r="I266" s="20">
        <v>56518</v>
      </c>
      <c r="J266" s="21">
        <v>73.400000000000006</v>
      </c>
      <c r="K266" s="16">
        <f>18*4*1.8</f>
        <v>129.6</v>
      </c>
      <c r="L266" s="22">
        <f t="shared" si="16"/>
        <v>0.76566757493187998</v>
      </c>
      <c r="M266" s="28"/>
      <c r="N266" s="7">
        <v>0</v>
      </c>
      <c r="O266" s="7"/>
      <c r="P266" s="24"/>
      <c r="Q266" s="7" t="s">
        <v>48</v>
      </c>
      <c r="R266" s="25"/>
      <c r="S266" s="24"/>
      <c r="T266" s="24"/>
      <c r="U266" s="24"/>
      <c r="V266" s="25"/>
      <c r="W266" s="24"/>
      <c r="X266" s="25"/>
      <c r="Y266" s="13">
        <v>2559</v>
      </c>
      <c r="Z266" s="13">
        <v>11.5</v>
      </c>
      <c r="AA266" s="13">
        <v>12</v>
      </c>
      <c r="AB266" s="13">
        <v>4</v>
      </c>
      <c r="AC266" s="13">
        <v>2</v>
      </c>
      <c r="AD266" s="13">
        <v>419.64</v>
      </c>
      <c r="AE266" s="13">
        <v>419.64</v>
      </c>
      <c r="AF266" s="26">
        <f t="shared" si="15"/>
        <v>167.85599999999999</v>
      </c>
      <c r="AG266" s="27" t="s">
        <v>1375</v>
      </c>
    </row>
    <row r="267" spans="1:33" ht="36" x14ac:dyDescent="0.35">
      <c r="A267" s="15">
        <v>341</v>
      </c>
      <c r="B267" s="16">
        <v>341</v>
      </c>
      <c r="C267" s="17" t="s">
        <v>586</v>
      </c>
      <c r="D267" s="18">
        <v>2018</v>
      </c>
      <c r="E267" s="19" t="s">
        <v>615</v>
      </c>
      <c r="F267" s="16" t="s">
        <v>616</v>
      </c>
      <c r="G267" s="7" t="s">
        <v>38</v>
      </c>
      <c r="H267" s="16" t="s">
        <v>39</v>
      </c>
      <c r="I267" s="20">
        <v>64680</v>
      </c>
      <c r="J267" s="21">
        <v>84</v>
      </c>
      <c r="K267" s="16">
        <f>(31*2+12*2)*1.8</f>
        <v>154.80000000000001</v>
      </c>
      <c r="L267" s="22">
        <f t="shared" si="16"/>
        <v>0.84285714285714297</v>
      </c>
      <c r="M267" s="28"/>
      <c r="N267" s="7">
        <v>0</v>
      </c>
      <c r="O267" s="7"/>
      <c r="P267" s="24"/>
      <c r="Q267" s="7" t="s">
        <v>48</v>
      </c>
      <c r="R267" s="25"/>
      <c r="S267" s="24"/>
      <c r="T267" s="24"/>
      <c r="U267" s="24"/>
      <c r="V267" s="25"/>
      <c r="W267" s="24"/>
      <c r="X267" s="25"/>
      <c r="Y267" s="13">
        <v>3018</v>
      </c>
      <c r="Z267" s="13">
        <v>6.05</v>
      </c>
      <c r="AA267" s="13">
        <v>6</v>
      </c>
      <c r="AB267" s="13">
        <v>2</v>
      </c>
      <c r="AC267" s="13">
        <v>2</v>
      </c>
      <c r="AD267" s="13">
        <v>281.16000000000003</v>
      </c>
      <c r="AE267" s="13">
        <v>281.16000000000003</v>
      </c>
      <c r="AF267" s="26">
        <f t="shared" si="15"/>
        <v>112.46400000000001</v>
      </c>
      <c r="AG267" s="27" t="s">
        <v>1376</v>
      </c>
    </row>
    <row r="268" spans="1:33" ht="36" x14ac:dyDescent="0.35">
      <c r="A268" s="15">
        <v>343</v>
      </c>
      <c r="B268" s="16">
        <v>343</v>
      </c>
      <c r="C268" s="17" t="s">
        <v>586</v>
      </c>
      <c r="D268" s="18">
        <v>2018</v>
      </c>
      <c r="E268" s="19" t="s">
        <v>617</v>
      </c>
      <c r="F268" s="16" t="s">
        <v>618</v>
      </c>
      <c r="G268" s="7" t="s">
        <v>38</v>
      </c>
      <c r="H268" s="16" t="s">
        <v>39</v>
      </c>
      <c r="I268" s="20">
        <v>56210</v>
      </c>
      <c r="J268" s="21">
        <v>73</v>
      </c>
      <c r="K268" s="16">
        <f>18*4*1.8</f>
        <v>129.6</v>
      </c>
      <c r="L268" s="22">
        <f t="shared" si="16"/>
        <v>0.77534246575342447</v>
      </c>
      <c r="M268" s="28"/>
      <c r="N268" s="7">
        <v>0</v>
      </c>
      <c r="O268" s="7"/>
      <c r="P268" s="24"/>
      <c r="Q268" s="7" t="s">
        <v>48</v>
      </c>
      <c r="R268" s="25"/>
      <c r="S268" s="24"/>
      <c r="T268" s="24"/>
      <c r="U268" s="24"/>
      <c r="V268" s="25"/>
      <c r="W268" s="24"/>
      <c r="X268" s="25"/>
      <c r="Y268" s="13">
        <v>2889</v>
      </c>
      <c r="Z268" s="13">
        <v>11.5</v>
      </c>
      <c r="AA268" s="13">
        <v>12</v>
      </c>
      <c r="AB268" s="13">
        <v>4</v>
      </c>
      <c r="AC268" s="13">
        <v>2</v>
      </c>
      <c r="AD268" s="13">
        <v>432</v>
      </c>
      <c r="AE268" s="13">
        <v>432</v>
      </c>
      <c r="AF268" s="26">
        <f t="shared" si="15"/>
        <v>172.8</v>
      </c>
      <c r="AG268" s="27" t="s">
        <v>1377</v>
      </c>
    </row>
    <row r="269" spans="1:33" ht="36" x14ac:dyDescent="0.35">
      <c r="A269" s="15">
        <v>345</v>
      </c>
      <c r="B269" s="16">
        <v>345</v>
      </c>
      <c r="C269" s="17" t="s">
        <v>586</v>
      </c>
      <c r="D269" s="18">
        <v>2018</v>
      </c>
      <c r="E269" s="19" t="s">
        <v>619</v>
      </c>
      <c r="F269" s="16" t="s">
        <v>620</v>
      </c>
      <c r="G269" s="7" t="s">
        <v>38</v>
      </c>
      <c r="H269" s="16" t="s">
        <v>39</v>
      </c>
      <c r="I269" s="20">
        <v>72611</v>
      </c>
      <c r="J269" s="21">
        <v>94.3</v>
      </c>
      <c r="K269" s="16">
        <f>(31*2+12*2)*1.8</f>
        <v>154.80000000000001</v>
      </c>
      <c r="L269" s="22">
        <f t="shared" si="16"/>
        <v>0.64156945917285269</v>
      </c>
      <c r="M269" s="28"/>
      <c r="N269" s="7">
        <v>0</v>
      </c>
      <c r="O269" s="7"/>
      <c r="P269" s="24"/>
      <c r="Q269" s="7" t="s">
        <v>48</v>
      </c>
      <c r="R269" s="25"/>
      <c r="S269" s="24"/>
      <c r="T269" s="24"/>
      <c r="U269" s="24"/>
      <c r="V269" s="25"/>
      <c r="W269" s="24"/>
      <c r="X269" s="25"/>
      <c r="Y269" s="13">
        <v>4696</v>
      </c>
      <c r="Z269" s="13">
        <v>8.1999999999999993</v>
      </c>
      <c r="AA269" s="13">
        <v>9</v>
      </c>
      <c r="AB269" s="13">
        <v>3</v>
      </c>
      <c r="AC269" s="13">
        <v>2</v>
      </c>
      <c r="AD269" s="13">
        <v>411.98</v>
      </c>
      <c r="AE269" s="13">
        <v>411.98</v>
      </c>
      <c r="AF269" s="26">
        <f t="shared" si="15"/>
        <v>164.79200000000003</v>
      </c>
      <c r="AG269" s="27" t="s">
        <v>1378</v>
      </c>
    </row>
    <row r="270" spans="1:33" ht="36" x14ac:dyDescent="0.35">
      <c r="A270" s="15">
        <v>347</v>
      </c>
      <c r="B270" s="16">
        <v>347</v>
      </c>
      <c r="C270" s="17" t="s">
        <v>586</v>
      </c>
      <c r="D270" s="18">
        <v>2018</v>
      </c>
      <c r="E270" s="19" t="s">
        <v>621</v>
      </c>
      <c r="F270" s="16" t="s">
        <v>622</v>
      </c>
      <c r="G270" s="7" t="s">
        <v>38</v>
      </c>
      <c r="H270" s="16" t="s">
        <v>39</v>
      </c>
      <c r="I270" s="20">
        <v>58520</v>
      </c>
      <c r="J270" s="21">
        <v>76</v>
      </c>
      <c r="K270" s="16">
        <f>(31*2+12*2)*1.8</f>
        <v>154.80000000000001</v>
      </c>
      <c r="L270" s="22">
        <f t="shared" si="16"/>
        <v>1.0368421052631582</v>
      </c>
      <c r="M270" s="28"/>
      <c r="N270" s="7">
        <v>0</v>
      </c>
      <c r="O270" s="7"/>
      <c r="P270" s="24"/>
      <c r="Q270" s="7" t="s">
        <v>48</v>
      </c>
      <c r="R270" s="25"/>
      <c r="S270" s="24"/>
      <c r="T270" s="24"/>
      <c r="U270" s="24"/>
      <c r="V270" s="25"/>
      <c r="W270" s="24"/>
      <c r="X270" s="25"/>
      <c r="Y270" s="13">
        <v>2466</v>
      </c>
      <c r="Z270" s="13">
        <v>5.6</v>
      </c>
      <c r="AA270" s="13">
        <v>6</v>
      </c>
      <c r="AB270" s="13">
        <v>2</v>
      </c>
      <c r="AC270" s="13">
        <v>2</v>
      </c>
      <c r="AD270" s="13">
        <v>256.39</v>
      </c>
      <c r="AE270" s="13">
        <v>256.39</v>
      </c>
      <c r="AF270" s="26">
        <f t="shared" si="15"/>
        <v>102.556</v>
      </c>
      <c r="AG270" s="27" t="s">
        <v>1379</v>
      </c>
    </row>
    <row r="271" spans="1:33" ht="36" x14ac:dyDescent="0.35">
      <c r="A271" s="15">
        <v>349</v>
      </c>
      <c r="B271" s="16">
        <v>349</v>
      </c>
      <c r="C271" s="17" t="s">
        <v>586</v>
      </c>
      <c r="D271" s="18">
        <v>2018</v>
      </c>
      <c r="E271" s="19" t="s">
        <v>623</v>
      </c>
      <c r="F271" s="16" t="s">
        <v>624</v>
      </c>
      <c r="G271" s="7" t="s">
        <v>38</v>
      </c>
      <c r="H271" s="16" t="s">
        <v>39</v>
      </c>
      <c r="I271" s="20">
        <v>65450</v>
      </c>
      <c r="J271" s="21">
        <v>85</v>
      </c>
      <c r="K271" s="16">
        <f>(31*2+12*2)*1.8</f>
        <v>154.80000000000001</v>
      </c>
      <c r="L271" s="22">
        <f t="shared" si="16"/>
        <v>0.8211764705882354</v>
      </c>
      <c r="M271" s="28"/>
      <c r="N271" s="7">
        <v>0</v>
      </c>
      <c r="O271" s="7"/>
      <c r="P271" s="24"/>
      <c r="Q271" s="7" t="s">
        <v>48</v>
      </c>
      <c r="R271" s="25"/>
      <c r="S271" s="24"/>
      <c r="T271" s="24"/>
      <c r="U271" s="24"/>
      <c r="V271" s="25"/>
      <c r="W271" s="24"/>
      <c r="X271" s="25"/>
      <c r="Y271" s="13">
        <v>3100</v>
      </c>
      <c r="Z271" s="13">
        <v>8.15</v>
      </c>
      <c r="AA271" s="13">
        <v>9</v>
      </c>
      <c r="AB271" s="13">
        <v>3</v>
      </c>
      <c r="AC271" s="13">
        <v>2</v>
      </c>
      <c r="AD271" s="13">
        <v>346.26</v>
      </c>
      <c r="AE271" s="13">
        <v>346.26</v>
      </c>
      <c r="AF271" s="26">
        <f t="shared" si="15"/>
        <v>138.50399999999999</v>
      </c>
      <c r="AG271" s="27" t="s">
        <v>1380</v>
      </c>
    </row>
    <row r="272" spans="1:33" ht="36" x14ac:dyDescent="0.35">
      <c r="A272" s="15">
        <v>351</v>
      </c>
      <c r="B272" s="16">
        <v>351</v>
      </c>
      <c r="C272" s="17" t="s">
        <v>586</v>
      </c>
      <c r="D272" s="18">
        <v>2018</v>
      </c>
      <c r="E272" s="19" t="s">
        <v>625</v>
      </c>
      <c r="F272" s="16" t="s">
        <v>626</v>
      </c>
      <c r="G272" s="7" t="s">
        <v>38</v>
      </c>
      <c r="H272" s="16" t="s">
        <v>39</v>
      </c>
      <c r="I272" s="20">
        <v>65450</v>
      </c>
      <c r="J272" s="21">
        <v>85</v>
      </c>
      <c r="K272" s="16">
        <f>(31*2+12*2)*1.8</f>
        <v>154.80000000000001</v>
      </c>
      <c r="L272" s="22">
        <f t="shared" si="16"/>
        <v>0.8211764705882354</v>
      </c>
      <c r="M272" s="28"/>
      <c r="N272" s="7">
        <v>0</v>
      </c>
      <c r="O272" s="7"/>
      <c r="P272" s="24"/>
      <c r="Q272" s="7" t="s">
        <v>48</v>
      </c>
      <c r="R272" s="25"/>
      <c r="S272" s="24"/>
      <c r="T272" s="24"/>
      <c r="U272" s="24"/>
      <c r="V272" s="25"/>
      <c r="W272" s="24"/>
      <c r="X272" s="25"/>
      <c r="Y272" s="13">
        <v>3127</v>
      </c>
      <c r="Z272" s="13">
        <v>8.1999999999999993</v>
      </c>
      <c r="AA272" s="13">
        <v>9</v>
      </c>
      <c r="AB272" s="13">
        <v>3</v>
      </c>
      <c r="AC272" s="13">
        <v>2</v>
      </c>
      <c r="AD272" s="13">
        <v>347.37</v>
      </c>
      <c r="AE272" s="13">
        <v>347.37</v>
      </c>
      <c r="AF272" s="26">
        <f t="shared" si="15"/>
        <v>138.94800000000001</v>
      </c>
      <c r="AG272" s="27" t="s">
        <v>1381</v>
      </c>
    </row>
    <row r="273" spans="1:33" ht="36" x14ac:dyDescent="0.35">
      <c r="A273" s="15">
        <v>353</v>
      </c>
      <c r="B273" s="16">
        <v>353</v>
      </c>
      <c r="C273" s="17" t="s">
        <v>586</v>
      </c>
      <c r="D273" s="18">
        <v>2018</v>
      </c>
      <c r="E273" s="19" t="s">
        <v>627</v>
      </c>
      <c r="F273" s="16" t="s">
        <v>628</v>
      </c>
      <c r="G273" s="7" t="s">
        <v>38</v>
      </c>
      <c r="H273" s="16" t="s">
        <v>39</v>
      </c>
      <c r="I273" s="20">
        <v>58520</v>
      </c>
      <c r="J273" s="21">
        <v>76</v>
      </c>
      <c r="K273" s="16">
        <f>(33*2+12*2)*1.8</f>
        <v>162</v>
      </c>
      <c r="L273" s="28">
        <f>K273*100/J273-100</f>
        <v>113.15789473684211</v>
      </c>
      <c r="M273" s="28"/>
      <c r="N273" s="7">
        <v>0</v>
      </c>
      <c r="O273" s="7"/>
      <c r="P273" s="24"/>
      <c r="Q273" s="7" t="s">
        <v>48</v>
      </c>
      <c r="R273" s="25"/>
      <c r="S273" s="24"/>
      <c r="T273" s="24"/>
      <c r="U273" s="24"/>
      <c r="V273" s="25"/>
      <c r="W273" s="24"/>
      <c r="X273" s="25"/>
      <c r="Y273" s="13">
        <v>2470</v>
      </c>
      <c r="Z273" s="13">
        <v>5.7</v>
      </c>
      <c r="AA273" s="13">
        <v>6</v>
      </c>
      <c r="AB273" s="13">
        <v>2</v>
      </c>
      <c r="AC273" s="13">
        <v>2</v>
      </c>
      <c r="AD273" s="13">
        <v>256.57</v>
      </c>
      <c r="AE273" s="13">
        <v>256.57</v>
      </c>
      <c r="AF273" s="26">
        <f t="shared" si="15"/>
        <v>102.628</v>
      </c>
      <c r="AG273" s="27" t="s">
        <v>1382</v>
      </c>
    </row>
    <row r="274" spans="1:33" ht="54" x14ac:dyDescent="0.35">
      <c r="A274" s="15">
        <v>356</v>
      </c>
      <c r="B274" s="16">
        <v>356</v>
      </c>
      <c r="C274" s="17" t="s">
        <v>629</v>
      </c>
      <c r="D274" s="18">
        <v>2017</v>
      </c>
      <c r="E274" s="19" t="s">
        <v>630</v>
      </c>
      <c r="F274" s="16" t="s">
        <v>631</v>
      </c>
      <c r="G274" s="7" t="s">
        <v>46</v>
      </c>
      <c r="H274" s="16" t="s">
        <v>47</v>
      </c>
      <c r="I274" s="49">
        <v>20370</v>
      </c>
      <c r="J274" s="21">
        <v>29.1</v>
      </c>
      <c r="K274" s="16">
        <f>2*1*12</f>
        <v>24</v>
      </c>
      <c r="L274" s="22">
        <f t="shared" ref="L274:L284" si="17">(K274/J274)-1</f>
        <v>-0.17525773195876293</v>
      </c>
      <c r="M274" s="28">
        <v>1</v>
      </c>
      <c r="N274" s="7">
        <v>0</v>
      </c>
      <c r="O274" s="7"/>
      <c r="P274" s="24"/>
      <c r="Q274" s="7" t="s">
        <v>48</v>
      </c>
      <c r="R274" s="25"/>
      <c r="S274" s="24"/>
      <c r="T274" s="24"/>
      <c r="U274" s="24"/>
      <c r="V274" s="25"/>
      <c r="W274" s="24"/>
      <c r="X274" s="25"/>
      <c r="Y274" s="13">
        <v>4277</v>
      </c>
      <c r="Z274" s="13">
        <v>9</v>
      </c>
      <c r="AA274" s="13">
        <v>9</v>
      </c>
      <c r="AB274" s="13">
        <v>3</v>
      </c>
      <c r="AC274" s="13">
        <v>2</v>
      </c>
      <c r="AD274" s="13">
        <v>314.82</v>
      </c>
      <c r="AE274" s="13">
        <v>314.82</v>
      </c>
      <c r="AF274" s="26">
        <f t="shared" si="15"/>
        <v>125.928</v>
      </c>
      <c r="AG274" s="27" t="s">
        <v>1383</v>
      </c>
    </row>
    <row r="275" spans="1:33" ht="54" x14ac:dyDescent="0.35">
      <c r="A275" s="15">
        <v>357</v>
      </c>
      <c r="B275" s="16">
        <v>357</v>
      </c>
      <c r="C275" s="17" t="s">
        <v>629</v>
      </c>
      <c r="D275" s="18">
        <v>2017</v>
      </c>
      <c r="E275" s="19" t="s">
        <v>632</v>
      </c>
      <c r="F275" s="16" t="s">
        <v>633</v>
      </c>
      <c r="G275" s="7" t="s">
        <v>46</v>
      </c>
      <c r="H275" s="16" t="s">
        <v>47</v>
      </c>
      <c r="I275" s="49">
        <v>56560</v>
      </c>
      <c r="J275" s="21">
        <v>80.8</v>
      </c>
      <c r="K275" s="16">
        <f>4.56*1.15*8</f>
        <v>41.951999999999991</v>
      </c>
      <c r="L275" s="22">
        <f t="shared" si="17"/>
        <v>-0.48079207920792089</v>
      </c>
      <c r="M275" s="28">
        <v>1</v>
      </c>
      <c r="N275" s="7">
        <v>0</v>
      </c>
      <c r="O275" s="7"/>
      <c r="P275" s="24"/>
      <c r="Q275" s="7" t="s">
        <v>48</v>
      </c>
      <c r="R275" s="25"/>
      <c r="S275" s="24"/>
      <c r="T275" s="24"/>
      <c r="U275" s="24"/>
      <c r="V275" s="25"/>
      <c r="W275" s="24"/>
      <c r="X275" s="25"/>
      <c r="Y275" s="13">
        <v>14832</v>
      </c>
      <c r="Z275" s="13">
        <v>14.5</v>
      </c>
      <c r="AA275" s="13">
        <v>15</v>
      </c>
      <c r="AB275" s="13">
        <v>5</v>
      </c>
      <c r="AC275" s="13">
        <v>2</v>
      </c>
      <c r="AD275" s="13">
        <v>767.79</v>
      </c>
      <c r="AE275" s="13">
        <v>767.79</v>
      </c>
      <c r="AF275" s="26">
        <f t="shared" si="15"/>
        <v>307.11599999999999</v>
      </c>
      <c r="AG275" s="27" t="s">
        <v>1384</v>
      </c>
    </row>
    <row r="276" spans="1:33" ht="54" x14ac:dyDescent="0.35">
      <c r="A276" s="15">
        <v>358</v>
      </c>
      <c r="B276" s="16">
        <v>358</v>
      </c>
      <c r="C276" s="17" t="s">
        <v>629</v>
      </c>
      <c r="D276" s="18">
        <v>2017</v>
      </c>
      <c r="E276" s="19" t="s">
        <v>634</v>
      </c>
      <c r="F276" s="16" t="s">
        <v>635</v>
      </c>
      <c r="G276" s="7" t="s">
        <v>46</v>
      </c>
      <c r="H276" s="16" t="s">
        <v>47</v>
      </c>
      <c r="I276" s="49">
        <v>134400</v>
      </c>
      <c r="J276" s="21">
        <v>192</v>
      </c>
      <c r="K276" s="16">
        <f>3.5*0.7*16*4</f>
        <v>156.79999999999998</v>
      </c>
      <c r="L276" s="22">
        <f t="shared" si="17"/>
        <v>-0.18333333333333346</v>
      </c>
      <c r="M276" s="28">
        <v>1</v>
      </c>
      <c r="N276" s="7">
        <v>0</v>
      </c>
      <c r="O276" s="7"/>
      <c r="P276" s="24"/>
      <c r="Q276" s="7" t="s">
        <v>48</v>
      </c>
      <c r="R276" s="25"/>
      <c r="S276" s="24"/>
      <c r="T276" s="24"/>
      <c r="U276" s="24"/>
      <c r="V276" s="25"/>
      <c r="W276" s="24"/>
      <c r="X276" s="25"/>
      <c r="Y276" s="13">
        <v>12640.6</v>
      </c>
      <c r="Z276" s="13">
        <v>14</v>
      </c>
      <c r="AA276" s="13">
        <v>14</v>
      </c>
      <c r="AB276" s="13">
        <v>5</v>
      </c>
      <c r="AC276" s="13">
        <v>2</v>
      </c>
      <c r="AD276" s="13">
        <v>713.99</v>
      </c>
      <c r="AE276" s="13">
        <v>713.99</v>
      </c>
      <c r="AF276" s="26">
        <f t="shared" si="15"/>
        <v>285.596</v>
      </c>
      <c r="AG276" s="27" t="s">
        <v>1385</v>
      </c>
    </row>
    <row r="277" spans="1:33" ht="54" x14ac:dyDescent="0.35">
      <c r="A277" s="15">
        <v>359</v>
      </c>
      <c r="B277" s="16">
        <v>359</v>
      </c>
      <c r="C277" s="17" t="s">
        <v>636</v>
      </c>
      <c r="D277" s="18">
        <v>2018</v>
      </c>
      <c r="E277" s="19" t="s">
        <v>637</v>
      </c>
      <c r="F277" s="16" t="s">
        <v>638</v>
      </c>
      <c r="G277" s="7" t="s">
        <v>38</v>
      </c>
      <c r="H277" s="16" t="s">
        <v>39</v>
      </c>
      <c r="I277" s="49">
        <v>37114</v>
      </c>
      <c r="J277" s="21">
        <v>48.2</v>
      </c>
      <c r="K277" s="16">
        <f>(12.2*2+47.2*2)*1.8</f>
        <v>213.84000000000003</v>
      </c>
      <c r="L277" s="22">
        <f t="shared" si="17"/>
        <v>3.436514522821577</v>
      </c>
      <c r="M277" s="28"/>
      <c r="N277" s="7">
        <v>0</v>
      </c>
      <c r="O277" s="7"/>
      <c r="P277" s="24"/>
      <c r="Q277" s="7" t="s">
        <v>48</v>
      </c>
      <c r="R277" s="25"/>
      <c r="S277" s="24"/>
      <c r="T277" s="24"/>
      <c r="U277" s="24"/>
      <c r="V277" s="25"/>
      <c r="W277" s="24"/>
      <c r="X277" s="25"/>
      <c r="Y277" s="13">
        <v>1905.76</v>
      </c>
      <c r="Z277" s="13">
        <v>6.9</v>
      </c>
      <c r="AA277" s="13">
        <v>7</v>
      </c>
      <c r="AB277" s="13">
        <v>2</v>
      </c>
      <c r="AC277" s="13">
        <v>2</v>
      </c>
      <c r="AD277" s="13">
        <v>228.91</v>
      </c>
      <c r="AE277" s="13">
        <v>228.91</v>
      </c>
      <c r="AF277" s="26">
        <f t="shared" si="15"/>
        <v>91.564000000000007</v>
      </c>
      <c r="AG277" s="27" t="s">
        <v>1386</v>
      </c>
    </row>
    <row r="278" spans="1:33" ht="54" x14ac:dyDescent="0.35">
      <c r="A278" s="15">
        <v>361</v>
      </c>
      <c r="B278" s="16">
        <v>361</v>
      </c>
      <c r="C278" s="17" t="s">
        <v>636</v>
      </c>
      <c r="D278" s="18">
        <v>2018</v>
      </c>
      <c r="E278" s="19" t="s">
        <v>639</v>
      </c>
      <c r="F278" s="16" t="s">
        <v>640</v>
      </c>
      <c r="G278" s="7" t="s">
        <v>38</v>
      </c>
      <c r="H278" s="16" t="s">
        <v>39</v>
      </c>
      <c r="I278" s="49">
        <v>37268</v>
      </c>
      <c r="J278" s="21">
        <v>48.4</v>
      </c>
      <c r="K278" s="16">
        <f>(15*2+18.35*2)*1.8</f>
        <v>120.06</v>
      </c>
      <c r="L278" s="22">
        <f t="shared" si="17"/>
        <v>1.4805785123966944</v>
      </c>
      <c r="M278" s="28"/>
      <c r="N278" s="7">
        <v>0</v>
      </c>
      <c r="O278" s="7"/>
      <c r="P278" s="24"/>
      <c r="Q278" s="7" t="s">
        <v>48</v>
      </c>
      <c r="R278" s="25"/>
      <c r="S278" s="24"/>
      <c r="T278" s="24"/>
      <c r="U278" s="24"/>
      <c r="V278" s="25"/>
      <c r="W278" s="24"/>
      <c r="X278" s="25"/>
      <c r="Y278" s="13">
        <v>1905.76</v>
      </c>
      <c r="Z278" s="13">
        <v>6.9</v>
      </c>
      <c r="AA278" s="13">
        <v>7</v>
      </c>
      <c r="AB278" s="13">
        <v>2</v>
      </c>
      <c r="AC278" s="13">
        <v>2</v>
      </c>
      <c r="AD278" s="13">
        <v>228.91</v>
      </c>
      <c r="AE278" s="13">
        <v>228.91</v>
      </c>
      <c r="AF278" s="26">
        <f t="shared" si="15"/>
        <v>91.564000000000007</v>
      </c>
      <c r="AG278" s="27" t="s">
        <v>1387</v>
      </c>
    </row>
    <row r="279" spans="1:33" ht="54" x14ac:dyDescent="0.35">
      <c r="A279" s="15">
        <v>363</v>
      </c>
      <c r="B279" s="16">
        <v>363</v>
      </c>
      <c r="C279" s="17" t="s">
        <v>636</v>
      </c>
      <c r="D279" s="18">
        <v>2018</v>
      </c>
      <c r="E279" s="19" t="s">
        <v>641</v>
      </c>
      <c r="F279" s="16" t="s">
        <v>642</v>
      </c>
      <c r="G279" s="7" t="s">
        <v>38</v>
      </c>
      <c r="H279" s="16" t="s">
        <v>39</v>
      </c>
      <c r="I279" s="49">
        <v>37268</v>
      </c>
      <c r="J279" s="21">
        <v>48.4</v>
      </c>
      <c r="K279" s="16">
        <f>(18*2+18.3*2)*1.8</f>
        <v>130.68</v>
      </c>
      <c r="L279" s="22">
        <f t="shared" si="17"/>
        <v>1.7000000000000002</v>
      </c>
      <c r="M279" s="28"/>
      <c r="N279" s="7">
        <v>0</v>
      </c>
      <c r="O279" s="7"/>
      <c r="P279" s="24"/>
      <c r="Q279" s="7" t="s">
        <v>48</v>
      </c>
      <c r="R279" s="25"/>
      <c r="S279" s="24"/>
      <c r="T279" s="24"/>
      <c r="U279" s="24"/>
      <c r="V279" s="25"/>
      <c r="W279" s="24"/>
      <c r="X279" s="25"/>
      <c r="Y279" s="13">
        <v>1905.76</v>
      </c>
      <c r="Z279" s="13">
        <v>6.9</v>
      </c>
      <c r="AA279" s="13">
        <v>7</v>
      </c>
      <c r="AB279" s="13">
        <v>2</v>
      </c>
      <c r="AC279" s="13">
        <v>2</v>
      </c>
      <c r="AD279" s="13">
        <v>228.91</v>
      </c>
      <c r="AE279" s="13">
        <v>228.91</v>
      </c>
      <c r="AF279" s="26">
        <f t="shared" si="15"/>
        <v>91.564000000000007</v>
      </c>
      <c r="AG279" s="27" t="s">
        <v>1388</v>
      </c>
    </row>
    <row r="280" spans="1:33" ht="54" x14ac:dyDescent="0.35">
      <c r="A280" s="15">
        <v>365</v>
      </c>
      <c r="B280" s="16">
        <v>365</v>
      </c>
      <c r="C280" s="17" t="s">
        <v>636</v>
      </c>
      <c r="D280" s="18">
        <v>2018</v>
      </c>
      <c r="E280" s="19" t="s">
        <v>643</v>
      </c>
      <c r="F280" s="16" t="s">
        <v>644</v>
      </c>
      <c r="G280" s="7" t="s">
        <v>38</v>
      </c>
      <c r="H280" s="16" t="s">
        <v>39</v>
      </c>
      <c r="I280" s="49">
        <v>37114</v>
      </c>
      <c r="J280" s="21">
        <v>48.2</v>
      </c>
      <c r="K280" s="16">
        <f>(14.9*2+18.7*2)*1.8</f>
        <v>120.96000000000001</v>
      </c>
      <c r="L280" s="22">
        <f t="shared" si="17"/>
        <v>1.5095435684647303</v>
      </c>
      <c r="M280" s="28"/>
      <c r="N280" s="7">
        <v>0</v>
      </c>
      <c r="O280" s="7"/>
      <c r="P280" s="24"/>
      <c r="Q280" s="7" t="s">
        <v>48</v>
      </c>
      <c r="R280" s="25"/>
      <c r="S280" s="24"/>
      <c r="T280" s="24"/>
      <c r="U280" s="24"/>
      <c r="V280" s="25"/>
      <c r="W280" s="24"/>
      <c r="X280" s="25"/>
      <c r="Y280" s="13">
        <v>1905.76</v>
      </c>
      <c r="Z280" s="13">
        <v>6.9</v>
      </c>
      <c r="AA280" s="13">
        <v>7</v>
      </c>
      <c r="AB280" s="13">
        <v>2</v>
      </c>
      <c r="AC280" s="13">
        <v>2</v>
      </c>
      <c r="AD280" s="13">
        <v>228.91</v>
      </c>
      <c r="AE280" s="13">
        <v>228.91</v>
      </c>
      <c r="AF280" s="26">
        <f t="shared" si="15"/>
        <v>91.564000000000007</v>
      </c>
      <c r="AG280" s="27" t="s">
        <v>1389</v>
      </c>
    </row>
    <row r="281" spans="1:33" ht="54" x14ac:dyDescent="0.35">
      <c r="A281" s="15">
        <v>367</v>
      </c>
      <c r="B281" s="16">
        <v>367</v>
      </c>
      <c r="C281" s="17" t="s">
        <v>636</v>
      </c>
      <c r="D281" s="18">
        <v>2017</v>
      </c>
      <c r="E281" s="19" t="s">
        <v>645</v>
      </c>
      <c r="F281" s="16" t="s">
        <v>646</v>
      </c>
      <c r="G281" s="7" t="s">
        <v>38</v>
      </c>
      <c r="H281" s="16" t="s">
        <v>39</v>
      </c>
      <c r="I281" s="49">
        <v>81690</v>
      </c>
      <c r="J281" s="21">
        <v>116.7</v>
      </c>
      <c r="K281" s="16">
        <f>(12.8*2+53.9*2)*1.8</f>
        <v>240.12</v>
      </c>
      <c r="L281" s="22">
        <f t="shared" si="17"/>
        <v>1.0575835475578406</v>
      </c>
      <c r="M281" s="28"/>
      <c r="N281" s="7">
        <v>0</v>
      </c>
      <c r="O281" s="7"/>
      <c r="P281" s="24"/>
      <c r="Q281" s="7" t="s">
        <v>48</v>
      </c>
      <c r="R281" s="25"/>
      <c r="S281" s="24"/>
      <c r="T281" s="24"/>
      <c r="U281" s="24"/>
      <c r="V281" s="25"/>
      <c r="W281" s="24"/>
      <c r="X281" s="25"/>
      <c r="Y281" s="13">
        <v>9190</v>
      </c>
      <c r="Z281" s="13">
        <v>11.4</v>
      </c>
      <c r="AA281" s="13">
        <v>12</v>
      </c>
      <c r="AB281" s="13">
        <v>4</v>
      </c>
      <c r="AC281" s="13">
        <v>2</v>
      </c>
      <c r="AD281" s="13">
        <v>667.87</v>
      </c>
      <c r="AE281" s="13">
        <v>667.87</v>
      </c>
      <c r="AF281" s="26">
        <f t="shared" si="15"/>
        <v>267.14800000000002</v>
      </c>
      <c r="AG281" s="27" t="s">
        <v>1390</v>
      </c>
    </row>
    <row r="282" spans="1:33" ht="54" x14ac:dyDescent="0.35">
      <c r="A282" s="15">
        <v>368</v>
      </c>
      <c r="B282" s="16">
        <v>368</v>
      </c>
      <c r="C282" s="17" t="s">
        <v>636</v>
      </c>
      <c r="D282" s="18">
        <v>2017</v>
      </c>
      <c r="E282" s="19" t="s">
        <v>647</v>
      </c>
      <c r="F282" s="16" t="s">
        <v>648</v>
      </c>
      <c r="G282" s="7" t="s">
        <v>38</v>
      </c>
      <c r="H282" s="16" t="s">
        <v>39</v>
      </c>
      <c r="I282" s="49">
        <v>80710</v>
      </c>
      <c r="J282" s="21">
        <v>115.3</v>
      </c>
      <c r="K282" s="16">
        <f>(12*2+53.7*2)*1.8</f>
        <v>236.52</v>
      </c>
      <c r="L282" s="22">
        <f t="shared" si="17"/>
        <v>1.0513443191673897</v>
      </c>
      <c r="M282" s="28"/>
      <c r="N282" s="7">
        <v>0</v>
      </c>
      <c r="O282" s="7"/>
      <c r="P282" s="24"/>
      <c r="Q282" s="7" t="s">
        <v>48</v>
      </c>
      <c r="R282" s="25"/>
      <c r="S282" s="24"/>
      <c r="T282" s="24"/>
      <c r="U282" s="24"/>
      <c r="V282" s="25"/>
      <c r="W282" s="24"/>
      <c r="X282" s="25"/>
      <c r="Y282" s="13">
        <v>8744.4</v>
      </c>
      <c r="Z282" s="13">
        <v>13.5</v>
      </c>
      <c r="AA282" s="13">
        <v>14</v>
      </c>
      <c r="AB282" s="13">
        <v>5</v>
      </c>
      <c r="AC282" s="13">
        <v>2</v>
      </c>
      <c r="AD282" s="13">
        <v>751.09</v>
      </c>
      <c r="AE282" s="13">
        <v>751.09</v>
      </c>
      <c r="AF282" s="26">
        <f t="shared" si="15"/>
        <v>300.43600000000004</v>
      </c>
      <c r="AG282" s="27" t="s">
        <v>1391</v>
      </c>
    </row>
    <row r="283" spans="1:33" ht="54" x14ac:dyDescent="0.35">
      <c r="A283" s="15">
        <v>370</v>
      </c>
      <c r="B283" s="16">
        <v>370</v>
      </c>
      <c r="C283" s="17" t="s">
        <v>636</v>
      </c>
      <c r="D283" s="18">
        <v>2017</v>
      </c>
      <c r="E283" s="19" t="s">
        <v>649</v>
      </c>
      <c r="F283" s="16" t="s">
        <v>650</v>
      </c>
      <c r="G283" s="7" t="s">
        <v>46</v>
      </c>
      <c r="H283" s="16" t="s">
        <v>47</v>
      </c>
      <c r="I283" s="49">
        <v>54600</v>
      </c>
      <c r="J283" s="21">
        <v>78</v>
      </c>
      <c r="K283" s="16">
        <f>3.2*0.8*30</f>
        <v>76.800000000000011</v>
      </c>
      <c r="L283" s="22">
        <f t="shared" si="17"/>
        <v>-1.5384615384615219E-2</v>
      </c>
      <c r="M283" s="28">
        <v>1</v>
      </c>
      <c r="N283" s="7">
        <v>0</v>
      </c>
      <c r="O283" s="7"/>
      <c r="P283" s="24"/>
      <c r="Q283" s="7" t="s">
        <v>48</v>
      </c>
      <c r="R283" s="25"/>
      <c r="S283" s="24"/>
      <c r="T283" s="24"/>
      <c r="U283" s="24"/>
      <c r="V283" s="25"/>
      <c r="W283" s="24"/>
      <c r="X283" s="25"/>
      <c r="Y283" s="13">
        <v>9190</v>
      </c>
      <c r="Z283" s="13">
        <v>11.4</v>
      </c>
      <c r="AA283" s="13">
        <v>12</v>
      </c>
      <c r="AB283" s="13">
        <v>4</v>
      </c>
      <c r="AC283" s="13">
        <v>2</v>
      </c>
      <c r="AD283" s="13">
        <v>545.08000000000004</v>
      </c>
      <c r="AE283" s="13">
        <v>545.08000000000004</v>
      </c>
      <c r="AF283" s="26">
        <f t="shared" si="15"/>
        <v>218.03200000000004</v>
      </c>
      <c r="AG283" s="27" t="s">
        <v>1390</v>
      </c>
    </row>
    <row r="284" spans="1:33" ht="54" x14ac:dyDescent="0.35">
      <c r="A284" s="15">
        <v>372</v>
      </c>
      <c r="B284" s="16">
        <v>372</v>
      </c>
      <c r="C284" s="17" t="s">
        <v>636</v>
      </c>
      <c r="D284" s="18">
        <v>2017</v>
      </c>
      <c r="E284" s="19" t="s">
        <v>651</v>
      </c>
      <c r="F284" s="16" t="s">
        <v>652</v>
      </c>
      <c r="G284" s="7" t="s">
        <v>46</v>
      </c>
      <c r="H284" s="16" t="s">
        <v>47</v>
      </c>
      <c r="I284" s="49">
        <v>88690</v>
      </c>
      <c r="J284" s="21">
        <v>126.7</v>
      </c>
      <c r="K284" s="16">
        <f>3.4*0.8*45</f>
        <v>122.4</v>
      </c>
      <c r="L284" s="22">
        <f t="shared" si="17"/>
        <v>-3.3938437253354325E-2</v>
      </c>
      <c r="M284" s="28">
        <v>1</v>
      </c>
      <c r="N284" s="7">
        <v>0</v>
      </c>
      <c r="O284" s="7"/>
      <c r="P284" s="24"/>
      <c r="Q284" s="7" t="s">
        <v>48</v>
      </c>
      <c r="R284" s="25"/>
      <c r="S284" s="24"/>
      <c r="T284" s="24"/>
      <c r="U284" s="24"/>
      <c r="V284" s="25"/>
      <c r="W284" s="24"/>
      <c r="X284" s="25"/>
      <c r="Y284" s="13">
        <v>8744.4</v>
      </c>
      <c r="Z284" s="13">
        <v>13.5</v>
      </c>
      <c r="AA284" s="13">
        <v>14</v>
      </c>
      <c r="AB284" s="13">
        <v>5</v>
      </c>
      <c r="AC284" s="13">
        <v>2</v>
      </c>
      <c r="AD284" s="13">
        <v>580.4</v>
      </c>
      <c r="AE284" s="13">
        <v>580.4</v>
      </c>
      <c r="AF284" s="26">
        <f t="shared" si="15"/>
        <v>232.16</v>
      </c>
      <c r="AG284" s="27" t="s">
        <v>1391</v>
      </c>
    </row>
    <row r="285" spans="1:33" s="56" customFormat="1" ht="40.799999999999997" customHeight="1" x14ac:dyDescent="0.35">
      <c r="A285" s="15">
        <v>0</v>
      </c>
      <c r="B285" s="50">
        <v>373</v>
      </c>
      <c r="C285" s="17" t="s">
        <v>636</v>
      </c>
      <c r="D285" s="51"/>
      <c r="E285" s="52" t="s">
        <v>653</v>
      </c>
      <c r="F285" s="50" t="s">
        <v>654</v>
      </c>
      <c r="G285" s="53" t="s">
        <v>38</v>
      </c>
      <c r="H285" s="50" t="s">
        <v>39</v>
      </c>
      <c r="I285" s="20">
        <v>60900</v>
      </c>
      <c r="J285" s="54">
        <v>87</v>
      </c>
      <c r="K285" s="50"/>
      <c r="L285" s="55"/>
      <c r="M285" s="55"/>
      <c r="N285" s="53">
        <v>0</v>
      </c>
      <c r="O285" s="7"/>
      <c r="P285" s="24"/>
      <c r="Q285" s="7" t="s">
        <v>48</v>
      </c>
      <c r="R285" s="25"/>
      <c r="S285" s="24"/>
      <c r="T285" s="24"/>
      <c r="U285" s="24"/>
      <c r="V285" s="25"/>
      <c r="W285" s="24"/>
      <c r="X285" s="25"/>
      <c r="Y285" s="13">
        <v>2297</v>
      </c>
      <c r="Z285" s="13">
        <v>5.5</v>
      </c>
      <c r="AA285" s="13">
        <v>6</v>
      </c>
      <c r="AB285" s="13">
        <v>2</v>
      </c>
      <c r="AC285" s="13">
        <v>2</v>
      </c>
      <c r="AD285" s="13">
        <v>248.81</v>
      </c>
      <c r="AE285" s="13">
        <v>248.81</v>
      </c>
      <c r="AF285" s="26">
        <f t="shared" si="15"/>
        <v>99.524000000000001</v>
      </c>
      <c r="AG285" s="27" t="s">
        <v>1392</v>
      </c>
    </row>
    <row r="286" spans="1:33" ht="39.6" customHeight="1" x14ac:dyDescent="0.35">
      <c r="A286" s="15">
        <v>374</v>
      </c>
      <c r="B286" s="16">
        <v>374</v>
      </c>
      <c r="C286" s="17" t="s">
        <v>655</v>
      </c>
      <c r="D286" s="18">
        <v>2017</v>
      </c>
      <c r="E286" s="19" t="s">
        <v>656</v>
      </c>
      <c r="F286" s="16" t="s">
        <v>657</v>
      </c>
      <c r="G286" s="7" t="s">
        <v>38</v>
      </c>
      <c r="H286" s="16" t="s">
        <v>39</v>
      </c>
      <c r="I286" s="20">
        <v>892150</v>
      </c>
      <c r="J286" s="57">
        <v>1274.5</v>
      </c>
      <c r="K286" s="16">
        <f>(12*2+86.6*2)*1.8</f>
        <v>354.96</v>
      </c>
      <c r="L286" s="22">
        <f>(K286/J286)-1</f>
        <v>-0.72149078069831307</v>
      </c>
      <c r="M286" s="28" t="s">
        <v>375</v>
      </c>
      <c r="N286" s="7">
        <v>0</v>
      </c>
      <c r="O286" s="7"/>
      <c r="P286" s="24"/>
      <c r="Q286" s="7" t="s">
        <v>48</v>
      </c>
      <c r="R286" s="25"/>
      <c r="S286" s="24"/>
      <c r="T286" s="24"/>
      <c r="U286" s="24"/>
      <c r="V286" s="25"/>
      <c r="W286" s="24"/>
      <c r="X286" s="25"/>
      <c r="Y286" s="13">
        <v>15494</v>
      </c>
      <c r="Z286" s="13">
        <v>13.75</v>
      </c>
      <c r="AA286" s="13">
        <v>14</v>
      </c>
      <c r="AB286" s="13">
        <v>5</v>
      </c>
      <c r="AC286" s="13">
        <v>2</v>
      </c>
      <c r="AD286" s="13">
        <v>987.14</v>
      </c>
      <c r="AE286" s="13">
        <v>987.14</v>
      </c>
      <c r="AF286" s="26">
        <f t="shared" si="15"/>
        <v>394.85599999999999</v>
      </c>
      <c r="AG286" s="27" t="s">
        <v>1393</v>
      </c>
    </row>
    <row r="287" spans="1:33" ht="56.4" customHeight="1" x14ac:dyDescent="0.35">
      <c r="A287" s="15">
        <v>375</v>
      </c>
      <c r="B287" s="16">
        <v>375</v>
      </c>
      <c r="C287" s="17" t="s">
        <v>655</v>
      </c>
      <c r="D287" s="18">
        <v>2016</v>
      </c>
      <c r="E287" s="19" t="s">
        <v>658</v>
      </c>
      <c r="F287" s="16" t="s">
        <v>659</v>
      </c>
      <c r="G287" s="7" t="s">
        <v>46</v>
      </c>
      <c r="H287" s="16" t="s">
        <v>47</v>
      </c>
      <c r="I287" s="20">
        <v>51975</v>
      </c>
      <c r="J287" s="21">
        <v>74.25</v>
      </c>
      <c r="K287" s="16"/>
      <c r="L287" s="28"/>
      <c r="M287" s="28"/>
      <c r="N287" s="7" t="s">
        <v>53</v>
      </c>
      <c r="O287" s="7" t="s">
        <v>54</v>
      </c>
      <c r="P287" s="24" t="s">
        <v>88</v>
      </c>
      <c r="Q287" s="7" t="s">
        <v>54</v>
      </c>
      <c r="R287" s="25">
        <v>3156153.89</v>
      </c>
      <c r="S287" s="24"/>
      <c r="T287" s="24" t="s">
        <v>42</v>
      </c>
      <c r="U287" s="24" t="s">
        <v>42</v>
      </c>
      <c r="V287" s="25"/>
      <c r="W287" s="24"/>
      <c r="X287" s="25">
        <v>3151153.89</v>
      </c>
      <c r="Y287" s="13"/>
      <c r="Z287" s="13"/>
      <c r="AA287" s="13"/>
      <c r="AB287" s="13"/>
      <c r="AC287" s="13">
        <v>2</v>
      </c>
      <c r="AD287" s="13"/>
      <c r="AE287" s="13"/>
      <c r="AF287" s="26">
        <f t="shared" si="15"/>
        <v>0</v>
      </c>
    </row>
    <row r="288" spans="1:33" ht="54.6" customHeight="1" x14ac:dyDescent="0.35">
      <c r="A288" s="15">
        <v>376</v>
      </c>
      <c r="B288" s="16">
        <v>376</v>
      </c>
      <c r="C288" s="17" t="s">
        <v>655</v>
      </c>
      <c r="D288" s="18">
        <v>2016</v>
      </c>
      <c r="E288" s="19" t="s">
        <v>660</v>
      </c>
      <c r="F288" s="16" t="s">
        <v>661</v>
      </c>
      <c r="G288" s="7" t="s">
        <v>46</v>
      </c>
      <c r="H288" s="16" t="s">
        <v>47</v>
      </c>
      <c r="I288" s="20">
        <v>93548</v>
      </c>
      <c r="J288" s="21">
        <v>133.63999999999999</v>
      </c>
      <c r="K288" s="16"/>
      <c r="L288" s="28"/>
      <c r="M288" s="28"/>
      <c r="N288" s="7" t="s">
        <v>561</v>
      </c>
      <c r="O288" s="7" t="s">
        <v>40</v>
      </c>
      <c r="P288" s="24"/>
      <c r="Q288" s="7" t="s">
        <v>41</v>
      </c>
      <c r="R288" s="25"/>
      <c r="S288" s="24"/>
      <c r="T288" s="24" t="s">
        <v>42</v>
      </c>
      <c r="U288" s="24" t="s">
        <v>42</v>
      </c>
      <c r="V288" s="25">
        <v>5479709.2300000004</v>
      </c>
      <c r="W288" s="24"/>
      <c r="X288" s="25"/>
      <c r="Y288" s="13">
        <v>5735</v>
      </c>
      <c r="Z288" s="13">
        <v>12.09</v>
      </c>
      <c r="AA288" s="13">
        <v>12</v>
      </c>
      <c r="AB288" s="13">
        <v>4</v>
      </c>
      <c r="AC288" s="13">
        <v>2</v>
      </c>
      <c r="AD288" s="13">
        <v>416.87</v>
      </c>
      <c r="AE288" s="13"/>
      <c r="AF288" s="26">
        <f t="shared" si="15"/>
        <v>0</v>
      </c>
      <c r="AG288" s="27" t="s">
        <v>1394</v>
      </c>
    </row>
    <row r="289" spans="1:33" ht="54.6" customHeight="1" x14ac:dyDescent="0.35">
      <c r="A289" s="15">
        <v>377</v>
      </c>
      <c r="B289" s="16">
        <v>377</v>
      </c>
      <c r="C289" s="17" t="s">
        <v>655</v>
      </c>
      <c r="D289" s="18">
        <v>2017</v>
      </c>
      <c r="E289" s="19" t="s">
        <v>662</v>
      </c>
      <c r="F289" s="16" t="s">
        <v>663</v>
      </c>
      <c r="G289" s="7" t="s">
        <v>46</v>
      </c>
      <c r="H289" s="16" t="s">
        <v>47</v>
      </c>
      <c r="I289" s="20">
        <v>14307.53</v>
      </c>
      <c r="J289" s="21">
        <v>30</v>
      </c>
      <c r="K289" s="16">
        <v>76.8</v>
      </c>
      <c r="L289" s="28"/>
      <c r="M289" s="28"/>
      <c r="N289" s="7" t="s">
        <v>87</v>
      </c>
      <c r="O289" s="7" t="s">
        <v>54</v>
      </c>
      <c r="P289" s="24" t="s">
        <v>88</v>
      </c>
      <c r="Q289" s="7" t="s">
        <v>54</v>
      </c>
      <c r="R289" s="25">
        <v>5126989.3099999996</v>
      </c>
      <c r="S289" s="24"/>
      <c r="T289" s="24" t="s">
        <v>42</v>
      </c>
      <c r="U289" s="24" t="s">
        <v>42</v>
      </c>
      <c r="V289" s="25"/>
      <c r="W289" s="24"/>
      <c r="X289" s="25">
        <v>5121989.3099999996</v>
      </c>
      <c r="Y289" s="13"/>
      <c r="Z289" s="13"/>
      <c r="AA289" s="13"/>
      <c r="AB289" s="13"/>
      <c r="AC289" s="13">
        <v>2</v>
      </c>
      <c r="AD289" s="13"/>
      <c r="AE289" s="13"/>
      <c r="AF289" s="26">
        <f t="shared" si="15"/>
        <v>0</v>
      </c>
    </row>
    <row r="290" spans="1:33" ht="54.6" customHeight="1" x14ac:dyDescent="0.35">
      <c r="A290" s="15">
        <v>378</v>
      </c>
      <c r="B290" s="16">
        <v>378</v>
      </c>
      <c r="C290" s="17" t="s">
        <v>655</v>
      </c>
      <c r="D290" s="18">
        <v>2017</v>
      </c>
      <c r="E290" s="19" t="s">
        <v>664</v>
      </c>
      <c r="F290" s="16" t="s">
        <v>665</v>
      </c>
      <c r="G290" s="7" t="s">
        <v>46</v>
      </c>
      <c r="H290" s="16" t="s">
        <v>47</v>
      </c>
      <c r="I290" s="20">
        <v>40156.47</v>
      </c>
      <c r="J290" s="21">
        <v>84.2</v>
      </c>
      <c r="K290" s="16">
        <v>199.68</v>
      </c>
      <c r="L290" s="28"/>
      <c r="M290" s="28"/>
      <c r="N290" s="7" t="s">
        <v>87</v>
      </c>
      <c r="O290" s="7" t="s">
        <v>54</v>
      </c>
      <c r="P290" s="24" t="s">
        <v>88</v>
      </c>
      <c r="Q290" s="7" t="s">
        <v>54</v>
      </c>
      <c r="R290" s="25">
        <v>12614135.119999999</v>
      </c>
      <c r="S290" s="24"/>
      <c r="T290" s="24" t="s">
        <v>42</v>
      </c>
      <c r="U290" s="24" t="s">
        <v>42</v>
      </c>
      <c r="V290" s="25"/>
      <c r="W290" s="24"/>
      <c r="X290" s="25">
        <v>12599135.119999999</v>
      </c>
      <c r="Y290" s="13"/>
      <c r="Z290" s="13"/>
      <c r="AA290" s="13"/>
      <c r="AB290" s="13"/>
      <c r="AC290" s="13">
        <v>2</v>
      </c>
      <c r="AD290" s="13"/>
      <c r="AE290" s="13"/>
      <c r="AF290" s="26">
        <f t="shared" si="15"/>
        <v>0</v>
      </c>
    </row>
    <row r="291" spans="1:33" ht="36" x14ac:dyDescent="0.35">
      <c r="A291" s="15">
        <v>379</v>
      </c>
      <c r="B291" s="16">
        <v>379</v>
      </c>
      <c r="C291" s="17" t="s">
        <v>655</v>
      </c>
      <c r="D291" s="18">
        <v>2017</v>
      </c>
      <c r="E291" s="19" t="s">
        <v>666</v>
      </c>
      <c r="F291" s="16" t="s">
        <v>667</v>
      </c>
      <c r="G291" s="7" t="s">
        <v>38</v>
      </c>
      <c r="H291" s="16" t="s">
        <v>39</v>
      </c>
      <c r="I291" s="20">
        <v>224000</v>
      </c>
      <c r="J291" s="21">
        <v>320</v>
      </c>
      <c r="K291" s="16">
        <f>86.2*2.5</f>
        <v>215.5</v>
      </c>
      <c r="L291" s="22">
        <f>(K291/J291)-1</f>
        <v>-0.32656249999999998</v>
      </c>
      <c r="M291" s="28" t="s">
        <v>99</v>
      </c>
      <c r="N291" s="7">
        <v>0</v>
      </c>
      <c r="O291" s="7"/>
      <c r="P291" s="24"/>
      <c r="Q291" s="7" t="s">
        <v>48</v>
      </c>
      <c r="R291" s="25"/>
      <c r="S291" s="24"/>
      <c r="T291" s="24"/>
      <c r="U291" s="24"/>
      <c r="V291" s="25"/>
      <c r="W291" s="24"/>
      <c r="X291" s="25"/>
      <c r="Y291" s="13">
        <v>10980.75</v>
      </c>
      <c r="Z291" s="13">
        <v>25.2</v>
      </c>
      <c r="AA291" s="13">
        <v>21</v>
      </c>
      <c r="AB291" s="13">
        <v>9</v>
      </c>
      <c r="AC291" s="13">
        <v>2</v>
      </c>
      <c r="AD291" s="13">
        <v>1016.9</v>
      </c>
      <c r="AE291" s="13">
        <v>1016.9</v>
      </c>
      <c r="AF291" s="26">
        <f t="shared" si="15"/>
        <v>406.76</v>
      </c>
      <c r="AG291" s="27" t="s">
        <v>1395</v>
      </c>
    </row>
    <row r="292" spans="1:33" ht="63" customHeight="1" x14ac:dyDescent="0.35">
      <c r="A292" s="15">
        <v>381</v>
      </c>
      <c r="B292" s="16">
        <v>381</v>
      </c>
      <c r="C292" s="17" t="s">
        <v>655</v>
      </c>
      <c r="D292" s="18">
        <v>2017</v>
      </c>
      <c r="E292" s="19" t="s">
        <v>668</v>
      </c>
      <c r="F292" s="16" t="s">
        <v>669</v>
      </c>
      <c r="G292" s="7" t="s">
        <v>46</v>
      </c>
      <c r="H292" s="16" t="s">
        <v>555</v>
      </c>
      <c r="I292" s="20">
        <v>33600</v>
      </c>
      <c r="J292" s="21">
        <v>48</v>
      </c>
      <c r="K292" s="16"/>
      <c r="L292" s="28"/>
      <c r="M292" s="28"/>
      <c r="N292" s="7" t="s">
        <v>53</v>
      </c>
      <c r="O292" s="7" t="s">
        <v>54</v>
      </c>
      <c r="P292" s="24" t="s">
        <v>88</v>
      </c>
      <c r="Q292" s="7" t="s">
        <v>40</v>
      </c>
      <c r="R292" s="25">
        <v>3855238.48</v>
      </c>
      <c r="S292" s="24"/>
      <c r="T292" s="24" t="s">
        <v>42</v>
      </c>
      <c r="U292" s="24" t="s">
        <v>42</v>
      </c>
      <c r="V292" s="25"/>
      <c r="W292" s="24"/>
      <c r="X292" s="25">
        <v>3850238.48</v>
      </c>
      <c r="Y292" s="13"/>
      <c r="Z292" s="13"/>
      <c r="AA292" s="13"/>
      <c r="AB292" s="13"/>
      <c r="AC292" s="13">
        <v>2</v>
      </c>
      <c r="AD292" s="13"/>
      <c r="AE292" s="13"/>
      <c r="AF292" s="26">
        <f t="shared" si="15"/>
        <v>0</v>
      </c>
    </row>
    <row r="293" spans="1:33" ht="36" x14ac:dyDescent="0.35">
      <c r="A293" s="15">
        <v>382</v>
      </c>
      <c r="B293" s="16">
        <v>382</v>
      </c>
      <c r="C293" s="17" t="s">
        <v>655</v>
      </c>
      <c r="D293" s="18">
        <v>2017</v>
      </c>
      <c r="E293" s="19" t="s">
        <v>670</v>
      </c>
      <c r="F293" s="16" t="s">
        <v>671</v>
      </c>
      <c r="G293" s="7" t="s">
        <v>38</v>
      </c>
      <c r="H293" s="16" t="s">
        <v>39</v>
      </c>
      <c r="I293" s="20">
        <v>96264</v>
      </c>
      <c r="J293" s="21">
        <v>137.52000000000001</v>
      </c>
      <c r="K293" s="16">
        <f>(58.09*2+10.7*2)*1.8</f>
        <v>247.64400000000003</v>
      </c>
      <c r="L293" s="22">
        <f>(K293/J293)-1</f>
        <v>0.80078534031413628</v>
      </c>
      <c r="M293" s="28"/>
      <c r="N293" s="7">
        <v>0</v>
      </c>
      <c r="O293" s="7"/>
      <c r="P293" s="24"/>
      <c r="Q293" s="7" t="s">
        <v>48</v>
      </c>
      <c r="R293" s="25"/>
      <c r="S293" s="24"/>
      <c r="T293" s="24"/>
      <c r="U293" s="24"/>
      <c r="V293" s="25"/>
      <c r="W293" s="24"/>
      <c r="X293" s="25"/>
      <c r="Y293" s="13">
        <v>6247</v>
      </c>
      <c r="Z293" s="13">
        <v>9.6</v>
      </c>
      <c r="AA293" s="13">
        <v>10</v>
      </c>
      <c r="AB293" s="13">
        <v>3</v>
      </c>
      <c r="AC293" s="13">
        <v>2</v>
      </c>
      <c r="AD293" s="13">
        <v>469.69</v>
      </c>
      <c r="AE293" s="13">
        <v>469.69</v>
      </c>
      <c r="AF293" s="26">
        <f t="shared" si="15"/>
        <v>187.876</v>
      </c>
      <c r="AG293" s="27" t="s">
        <v>1396</v>
      </c>
    </row>
    <row r="294" spans="1:33" ht="54" x14ac:dyDescent="0.35">
      <c r="A294" s="15">
        <v>384</v>
      </c>
      <c r="B294" s="16">
        <v>384</v>
      </c>
      <c r="C294" s="17" t="s">
        <v>655</v>
      </c>
      <c r="D294" s="18">
        <v>2017</v>
      </c>
      <c r="E294" s="19" t="s">
        <v>672</v>
      </c>
      <c r="F294" s="16" t="s">
        <v>673</v>
      </c>
      <c r="G294" s="7" t="s">
        <v>46</v>
      </c>
      <c r="H294" s="16" t="s">
        <v>47</v>
      </c>
      <c r="I294" s="20">
        <v>18599.79</v>
      </c>
      <c r="J294" s="21">
        <v>39</v>
      </c>
      <c r="K294" s="16">
        <f>3.2*0.85*42</f>
        <v>114.24000000000001</v>
      </c>
      <c r="L294" s="22">
        <f>(K294/J294)-1</f>
        <v>1.9292307692307693</v>
      </c>
      <c r="M294" s="28"/>
      <c r="N294" s="7">
        <v>0</v>
      </c>
      <c r="O294" s="7"/>
      <c r="P294" s="24"/>
      <c r="Q294" s="7" t="s">
        <v>48</v>
      </c>
      <c r="R294" s="25"/>
      <c r="S294" s="24"/>
      <c r="T294" s="24"/>
      <c r="U294" s="24"/>
      <c r="V294" s="25"/>
      <c r="W294" s="24"/>
      <c r="X294" s="25"/>
      <c r="Y294" s="13">
        <v>12363</v>
      </c>
      <c r="Z294" s="13">
        <v>14.5</v>
      </c>
      <c r="AA294" s="13">
        <v>15</v>
      </c>
      <c r="AB294" s="13">
        <v>5</v>
      </c>
      <c r="AC294" s="13">
        <v>2</v>
      </c>
      <c r="AD294" s="13">
        <v>686.69</v>
      </c>
      <c r="AE294" s="13">
        <v>686.69</v>
      </c>
      <c r="AF294" s="26">
        <f t="shared" si="15"/>
        <v>274.67600000000004</v>
      </c>
      <c r="AG294" s="27" t="s">
        <v>1397</v>
      </c>
    </row>
    <row r="295" spans="1:33" ht="54" x14ac:dyDescent="0.35">
      <c r="A295" s="15">
        <v>385</v>
      </c>
      <c r="B295" s="16">
        <v>385</v>
      </c>
      <c r="C295" s="17" t="s">
        <v>655</v>
      </c>
      <c r="D295" s="18">
        <v>2017</v>
      </c>
      <c r="E295" s="19" t="s">
        <v>674</v>
      </c>
      <c r="F295" s="16" t="s">
        <v>675</v>
      </c>
      <c r="G295" s="7" t="s">
        <v>46</v>
      </c>
      <c r="H295" s="16" t="s">
        <v>47</v>
      </c>
      <c r="I295" s="20">
        <v>48300</v>
      </c>
      <c r="J295" s="21">
        <v>69</v>
      </c>
      <c r="K295" s="16">
        <f>(20.8*2+15.45*2)*1.8</f>
        <v>130.5</v>
      </c>
      <c r="L295" s="22">
        <f>(K295/J295)-1</f>
        <v>0.89130434782608692</v>
      </c>
      <c r="M295" s="28"/>
      <c r="N295" s="7">
        <v>0</v>
      </c>
      <c r="O295" s="7"/>
      <c r="P295" s="24"/>
      <c r="Q295" s="7" t="s">
        <v>48</v>
      </c>
      <c r="R295" s="25"/>
      <c r="S295" s="24"/>
      <c r="T295" s="24"/>
      <c r="U295" s="24"/>
      <c r="V295" s="25"/>
      <c r="W295" s="24"/>
      <c r="X295" s="25"/>
      <c r="Y295" s="13">
        <v>2153</v>
      </c>
      <c r="Z295" s="13">
        <v>6.7</v>
      </c>
      <c r="AA295" s="13">
        <v>7</v>
      </c>
      <c r="AB295" s="13">
        <v>2</v>
      </c>
      <c r="AC295" s="13">
        <v>2</v>
      </c>
      <c r="AD295" s="13">
        <v>187.04</v>
      </c>
      <c r="AE295" s="13">
        <v>187.04</v>
      </c>
      <c r="AF295" s="26">
        <f t="shared" si="15"/>
        <v>74.816000000000003</v>
      </c>
      <c r="AG295" s="27" t="s">
        <v>1398</v>
      </c>
    </row>
    <row r="296" spans="1:33" ht="36" x14ac:dyDescent="0.35">
      <c r="A296" s="15">
        <v>386</v>
      </c>
      <c r="B296" s="16">
        <v>386</v>
      </c>
      <c r="C296" s="17" t="s">
        <v>676</v>
      </c>
      <c r="D296" s="18">
        <v>2017</v>
      </c>
      <c r="E296" s="19" t="s">
        <v>677</v>
      </c>
      <c r="F296" s="16" t="s">
        <v>678</v>
      </c>
      <c r="G296" s="7" t="s">
        <v>38</v>
      </c>
      <c r="H296" s="16" t="s">
        <v>39</v>
      </c>
      <c r="I296" s="20">
        <v>56000</v>
      </c>
      <c r="J296" s="21">
        <v>80</v>
      </c>
      <c r="K296" s="16"/>
      <c r="L296" s="28"/>
      <c r="M296" s="28"/>
      <c r="N296" s="7">
        <v>0</v>
      </c>
      <c r="O296" s="7"/>
      <c r="P296" s="24"/>
      <c r="Q296" s="7" t="s">
        <v>48</v>
      </c>
      <c r="R296" s="25"/>
      <c r="S296" s="24"/>
      <c r="T296" s="24"/>
      <c r="U296" s="24"/>
      <c r="V296" s="25"/>
      <c r="W296" s="24"/>
      <c r="X296" s="25"/>
      <c r="Y296" s="13">
        <v>2146</v>
      </c>
      <c r="Z296" s="13">
        <v>5.6</v>
      </c>
      <c r="AA296" s="13">
        <v>6</v>
      </c>
      <c r="AB296" s="13">
        <v>2</v>
      </c>
      <c r="AC296" s="13">
        <v>2</v>
      </c>
      <c r="AD296" s="13">
        <v>242.03</v>
      </c>
      <c r="AE296" s="13">
        <v>242.03</v>
      </c>
      <c r="AF296" s="26">
        <f t="shared" si="15"/>
        <v>96.812000000000012</v>
      </c>
      <c r="AG296" s="27" t="s">
        <v>1399</v>
      </c>
    </row>
    <row r="297" spans="1:33" ht="54" x14ac:dyDescent="0.35">
      <c r="A297" s="15">
        <v>388</v>
      </c>
      <c r="B297" s="16">
        <v>388</v>
      </c>
      <c r="C297" s="17" t="s">
        <v>676</v>
      </c>
      <c r="D297" s="18">
        <v>2017</v>
      </c>
      <c r="E297" s="19" t="s">
        <v>677</v>
      </c>
      <c r="F297" s="16" t="s">
        <v>679</v>
      </c>
      <c r="G297" s="7" t="s">
        <v>46</v>
      </c>
      <c r="H297" s="16" t="s">
        <v>47</v>
      </c>
      <c r="I297" s="20">
        <v>62748</v>
      </c>
      <c r="J297" s="21">
        <v>89.64</v>
      </c>
      <c r="K297" s="16"/>
      <c r="L297" s="28"/>
      <c r="M297" s="28"/>
      <c r="N297" s="7">
        <v>0</v>
      </c>
      <c r="O297" s="7"/>
      <c r="P297" s="24"/>
      <c r="Q297" s="7" t="s">
        <v>48</v>
      </c>
      <c r="R297" s="25"/>
      <c r="S297" s="24"/>
      <c r="T297" s="24"/>
      <c r="U297" s="24"/>
      <c r="V297" s="25"/>
      <c r="W297" s="24"/>
      <c r="X297" s="25"/>
      <c r="Y297" s="13">
        <v>2146</v>
      </c>
      <c r="Z297" s="13">
        <v>5.6</v>
      </c>
      <c r="AA297" s="13">
        <v>6</v>
      </c>
      <c r="AB297" s="13">
        <v>2</v>
      </c>
      <c r="AC297" s="13">
        <v>2</v>
      </c>
      <c r="AD297" s="13">
        <v>189.75</v>
      </c>
      <c r="AE297" s="13">
        <v>189.75</v>
      </c>
      <c r="AF297" s="26">
        <f t="shared" si="15"/>
        <v>75.900000000000006</v>
      </c>
      <c r="AG297" s="27" t="s">
        <v>1400</v>
      </c>
    </row>
    <row r="298" spans="1:33" ht="36" x14ac:dyDescent="0.35">
      <c r="A298" s="15">
        <v>389</v>
      </c>
      <c r="B298" s="16">
        <v>389</v>
      </c>
      <c r="C298" s="17" t="s">
        <v>676</v>
      </c>
      <c r="D298" s="18">
        <v>2017</v>
      </c>
      <c r="E298" s="19" t="s">
        <v>680</v>
      </c>
      <c r="F298" s="16" t="s">
        <v>681</v>
      </c>
      <c r="G298" s="7" t="s">
        <v>38</v>
      </c>
      <c r="H298" s="16" t="s">
        <v>39</v>
      </c>
      <c r="I298" s="20">
        <v>61880</v>
      </c>
      <c r="J298" s="21">
        <v>88.4</v>
      </c>
      <c r="K298" s="16">
        <f>(11*2+33*2)*1.8</f>
        <v>158.4</v>
      </c>
      <c r="L298" s="22">
        <f>(K298/J298)-1</f>
        <v>0.79185520361990935</v>
      </c>
      <c r="M298" s="28"/>
      <c r="N298" s="7">
        <v>0</v>
      </c>
      <c r="O298" s="7"/>
      <c r="P298" s="24"/>
      <c r="Q298" s="7" t="s">
        <v>48</v>
      </c>
      <c r="R298" s="25"/>
      <c r="S298" s="24"/>
      <c r="T298" s="24"/>
      <c r="U298" s="24"/>
      <c r="V298" s="25"/>
      <c r="W298" s="24" t="s">
        <v>344</v>
      </c>
      <c r="X298" s="25"/>
      <c r="Y298" s="13">
        <v>3888</v>
      </c>
      <c r="Z298" s="13">
        <v>12</v>
      </c>
      <c r="AA298" s="13">
        <v>12</v>
      </c>
      <c r="AB298" s="13">
        <v>3</v>
      </c>
      <c r="AC298" s="13">
        <v>2</v>
      </c>
      <c r="AD298" s="13">
        <v>364.14</v>
      </c>
      <c r="AE298" s="13">
        <v>364.14</v>
      </c>
      <c r="AF298" s="26">
        <f t="shared" si="15"/>
        <v>145.65600000000001</v>
      </c>
      <c r="AG298" s="30" t="s">
        <v>1401</v>
      </c>
    </row>
    <row r="299" spans="1:33" ht="57.6" customHeight="1" x14ac:dyDescent="0.35">
      <c r="A299" s="15">
        <v>390</v>
      </c>
      <c r="B299" s="16">
        <v>390</v>
      </c>
      <c r="C299" s="17" t="s">
        <v>676</v>
      </c>
      <c r="D299" s="18">
        <v>2017</v>
      </c>
      <c r="E299" s="19" t="s">
        <v>682</v>
      </c>
      <c r="F299" s="16" t="s">
        <v>683</v>
      </c>
      <c r="G299" s="7" t="s">
        <v>46</v>
      </c>
      <c r="H299" s="16" t="s">
        <v>47</v>
      </c>
      <c r="I299" s="20">
        <v>64960</v>
      </c>
      <c r="J299" s="21">
        <v>92.8</v>
      </c>
      <c r="K299" s="16"/>
      <c r="L299" s="28"/>
      <c r="M299" s="28"/>
      <c r="N299" s="7">
        <v>0</v>
      </c>
      <c r="O299" s="7" t="s">
        <v>40</v>
      </c>
      <c r="P299" s="24"/>
      <c r="Q299" s="7" t="s">
        <v>41</v>
      </c>
      <c r="R299" s="25"/>
      <c r="S299" s="24"/>
      <c r="T299" s="24" t="s">
        <v>42</v>
      </c>
      <c r="U299" s="24" t="s">
        <v>42</v>
      </c>
      <c r="V299" s="25"/>
      <c r="W299" s="24" t="s">
        <v>43</v>
      </c>
      <c r="X299" s="25">
        <v>5568806.6900000004</v>
      </c>
      <c r="Y299" s="13">
        <v>24480</v>
      </c>
      <c r="Z299" s="13">
        <v>10.9</v>
      </c>
      <c r="AA299" s="13">
        <v>11</v>
      </c>
      <c r="AB299" s="13">
        <v>4</v>
      </c>
      <c r="AC299" s="13">
        <v>2</v>
      </c>
      <c r="AD299" s="13">
        <v>1147.78</v>
      </c>
      <c r="AE299" s="13"/>
      <c r="AF299" s="26">
        <f t="shared" si="15"/>
        <v>0</v>
      </c>
      <c r="AG299" s="27" t="s">
        <v>1402</v>
      </c>
    </row>
    <row r="300" spans="1:33" ht="59.4" customHeight="1" x14ac:dyDescent="0.35">
      <c r="A300" s="15">
        <v>391</v>
      </c>
      <c r="B300" s="16">
        <v>391</v>
      </c>
      <c r="C300" s="17" t="s">
        <v>676</v>
      </c>
      <c r="D300" s="18">
        <v>2017</v>
      </c>
      <c r="E300" s="19" t="s">
        <v>684</v>
      </c>
      <c r="F300" s="16" t="s">
        <v>685</v>
      </c>
      <c r="G300" s="7" t="s">
        <v>46</v>
      </c>
      <c r="H300" s="16" t="s">
        <v>47</v>
      </c>
      <c r="I300" s="20">
        <v>11340</v>
      </c>
      <c r="J300" s="21">
        <v>16.2</v>
      </c>
      <c r="K300" s="16"/>
      <c r="L300" s="28"/>
      <c r="M300" s="28"/>
      <c r="N300" s="7" t="s">
        <v>53</v>
      </c>
      <c r="O300" s="7" t="s">
        <v>40</v>
      </c>
      <c r="P300" s="24"/>
      <c r="Q300" s="7" t="s">
        <v>41</v>
      </c>
      <c r="R300" s="25"/>
      <c r="S300" s="24"/>
      <c r="T300" s="24" t="s">
        <v>42</v>
      </c>
      <c r="U300" s="24" t="s">
        <v>42</v>
      </c>
      <c r="V300" s="25"/>
      <c r="W300" s="24" t="s">
        <v>43</v>
      </c>
      <c r="X300" s="25">
        <v>1134306.3700000001</v>
      </c>
      <c r="Y300" s="13">
        <v>3888</v>
      </c>
      <c r="Z300" s="13">
        <v>12</v>
      </c>
      <c r="AA300" s="13">
        <v>12</v>
      </c>
      <c r="AB300" s="13">
        <v>3</v>
      </c>
      <c r="AC300" s="13">
        <v>2</v>
      </c>
      <c r="AD300" s="13">
        <v>282.01</v>
      </c>
      <c r="AE300" s="13"/>
      <c r="AF300" s="26">
        <f t="shared" si="15"/>
        <v>0</v>
      </c>
      <c r="AG300" s="30" t="s">
        <v>1401</v>
      </c>
    </row>
    <row r="301" spans="1:33" ht="36" x14ac:dyDescent="0.35">
      <c r="A301" s="15">
        <v>393</v>
      </c>
      <c r="B301" s="16">
        <v>393</v>
      </c>
      <c r="C301" s="17" t="s">
        <v>676</v>
      </c>
      <c r="D301" s="18">
        <v>2017</v>
      </c>
      <c r="E301" s="19" t="s">
        <v>686</v>
      </c>
      <c r="F301" s="16" t="s">
        <v>687</v>
      </c>
      <c r="G301" s="7" t="s">
        <v>38</v>
      </c>
      <c r="H301" s="16" t="s">
        <v>39</v>
      </c>
      <c r="I301" s="20">
        <v>868000</v>
      </c>
      <c r="J301" s="57">
        <v>1240</v>
      </c>
      <c r="K301" s="49">
        <f>2.4*0.9*32</f>
        <v>69.12</v>
      </c>
      <c r="L301" s="22">
        <f>(K301/J301)-1</f>
        <v>-0.94425806451612904</v>
      </c>
      <c r="M301" s="28">
        <v>1</v>
      </c>
      <c r="N301" s="7">
        <v>0</v>
      </c>
      <c r="O301" s="7"/>
      <c r="P301" s="24"/>
      <c r="Q301" s="7" t="s">
        <v>48</v>
      </c>
      <c r="R301" s="25"/>
      <c r="S301" s="24"/>
      <c r="T301" s="24"/>
      <c r="U301" s="24"/>
      <c r="V301" s="25"/>
      <c r="W301" s="24"/>
      <c r="X301" s="25"/>
      <c r="Y301" s="13">
        <v>12349</v>
      </c>
      <c r="Z301" s="13">
        <v>14</v>
      </c>
      <c r="AA301" s="13">
        <v>14</v>
      </c>
      <c r="AB301" s="13">
        <v>5</v>
      </c>
      <c r="AC301" s="13">
        <v>2</v>
      </c>
      <c r="AD301" s="13">
        <v>877.15</v>
      </c>
      <c r="AE301" s="13">
        <v>877.15</v>
      </c>
      <c r="AF301" s="26">
        <f t="shared" si="15"/>
        <v>350.86</v>
      </c>
      <c r="AG301" s="27" t="s">
        <v>1403</v>
      </c>
    </row>
    <row r="302" spans="1:33" ht="51.6" customHeight="1" x14ac:dyDescent="0.35">
      <c r="A302" s="15">
        <v>395</v>
      </c>
      <c r="B302" s="16">
        <v>395</v>
      </c>
      <c r="C302" s="17" t="s">
        <v>676</v>
      </c>
      <c r="D302" s="18">
        <v>2017</v>
      </c>
      <c r="E302" s="19" t="s">
        <v>688</v>
      </c>
      <c r="F302" s="16" t="s">
        <v>689</v>
      </c>
      <c r="G302" s="7" t="s">
        <v>46</v>
      </c>
      <c r="H302" s="16" t="s">
        <v>47</v>
      </c>
      <c r="I302" s="20">
        <v>134400</v>
      </c>
      <c r="J302" s="21">
        <v>192</v>
      </c>
      <c r="K302" s="49">
        <f>2.4*0.9*64</f>
        <v>138.24</v>
      </c>
      <c r="L302" s="22">
        <f>(K302/J302)-1</f>
        <v>-0.27999999999999992</v>
      </c>
      <c r="M302" s="28">
        <v>1</v>
      </c>
      <c r="N302" s="7">
        <v>0</v>
      </c>
      <c r="O302" s="7" t="s">
        <v>40</v>
      </c>
      <c r="P302" s="24"/>
      <c r="Q302" s="7" t="s">
        <v>41</v>
      </c>
      <c r="R302" s="25"/>
      <c r="S302" s="24"/>
      <c r="T302" s="24" t="s">
        <v>42</v>
      </c>
      <c r="U302" s="24" t="s">
        <v>42</v>
      </c>
      <c r="V302" s="25">
        <v>1121616.76</v>
      </c>
      <c r="W302" s="24"/>
      <c r="X302" s="25"/>
      <c r="Y302" s="13">
        <v>12759</v>
      </c>
      <c r="Z302" s="13">
        <v>14.75</v>
      </c>
      <c r="AA302" s="13">
        <v>15</v>
      </c>
      <c r="AB302" s="13">
        <v>5</v>
      </c>
      <c r="AC302" s="13">
        <v>2</v>
      </c>
      <c r="AD302" s="13">
        <v>699.7</v>
      </c>
      <c r="AE302" s="13"/>
      <c r="AF302" s="26">
        <f t="shared" si="15"/>
        <v>0</v>
      </c>
      <c r="AG302" s="27" t="s">
        <v>1404</v>
      </c>
    </row>
    <row r="303" spans="1:33" ht="54" x14ac:dyDescent="0.35">
      <c r="A303" s="15">
        <v>396</v>
      </c>
      <c r="B303" s="16">
        <v>396</v>
      </c>
      <c r="C303" s="17" t="s">
        <v>676</v>
      </c>
      <c r="D303" s="18">
        <v>2016</v>
      </c>
      <c r="E303" s="19" t="s">
        <v>690</v>
      </c>
      <c r="F303" s="16" t="s">
        <v>691</v>
      </c>
      <c r="G303" s="7" t="s">
        <v>46</v>
      </c>
      <c r="H303" s="16" t="s">
        <v>47</v>
      </c>
      <c r="I303" s="20">
        <v>7280</v>
      </c>
      <c r="J303" s="21">
        <v>10.4</v>
      </c>
      <c r="K303" s="16"/>
      <c r="L303" s="28"/>
      <c r="M303" s="28"/>
      <c r="N303" s="7">
        <v>0</v>
      </c>
      <c r="O303" s="7"/>
      <c r="P303" s="24"/>
      <c r="Q303" s="7" t="s">
        <v>48</v>
      </c>
      <c r="R303" s="25"/>
      <c r="S303" s="24"/>
      <c r="T303" s="24"/>
      <c r="U303" s="24"/>
      <c r="V303" s="25"/>
      <c r="W303" s="24"/>
      <c r="X303" s="25"/>
      <c r="Y303" s="13">
        <v>7810</v>
      </c>
      <c r="Z303" s="13">
        <v>10.35</v>
      </c>
      <c r="AA303" s="13">
        <v>11</v>
      </c>
      <c r="AB303" s="13">
        <v>3</v>
      </c>
      <c r="AC303" s="13">
        <v>2</v>
      </c>
      <c r="AD303" s="13">
        <v>438.82</v>
      </c>
      <c r="AE303" s="13">
        <v>438.82</v>
      </c>
      <c r="AF303" s="26">
        <f t="shared" si="15"/>
        <v>175.52800000000002</v>
      </c>
      <c r="AG303" s="27" t="s">
        <v>1405</v>
      </c>
    </row>
    <row r="304" spans="1:33" ht="54" x14ac:dyDescent="0.35">
      <c r="A304" s="15">
        <v>397</v>
      </c>
      <c r="B304" s="16">
        <v>397</v>
      </c>
      <c r="C304" s="17" t="s">
        <v>676</v>
      </c>
      <c r="D304" s="18">
        <v>2016</v>
      </c>
      <c r="E304" s="19" t="s">
        <v>692</v>
      </c>
      <c r="F304" s="16" t="s">
        <v>693</v>
      </c>
      <c r="G304" s="7" t="s">
        <v>46</v>
      </c>
      <c r="H304" s="16" t="s">
        <v>47</v>
      </c>
      <c r="I304" s="20">
        <v>7280</v>
      </c>
      <c r="J304" s="21">
        <v>10.4</v>
      </c>
      <c r="K304" s="16"/>
      <c r="L304" s="28"/>
      <c r="M304" s="28"/>
      <c r="N304" s="7">
        <v>0</v>
      </c>
      <c r="O304" s="7"/>
      <c r="P304" s="24"/>
      <c r="Q304" s="7" t="s">
        <v>48</v>
      </c>
      <c r="R304" s="25"/>
      <c r="S304" s="24"/>
      <c r="T304" s="24"/>
      <c r="U304" s="24"/>
      <c r="V304" s="25"/>
      <c r="W304" s="24"/>
      <c r="X304" s="25"/>
      <c r="Y304" s="13">
        <v>7450</v>
      </c>
      <c r="Z304" s="13">
        <v>10.8</v>
      </c>
      <c r="AA304" s="13">
        <v>11</v>
      </c>
      <c r="AB304" s="13">
        <v>3</v>
      </c>
      <c r="AC304" s="13">
        <v>2</v>
      </c>
      <c r="AD304" s="13">
        <v>424.94</v>
      </c>
      <c r="AE304" s="13">
        <v>424.94</v>
      </c>
      <c r="AF304" s="26">
        <f t="shared" si="15"/>
        <v>169.976</v>
      </c>
      <c r="AG304" s="27" t="s">
        <v>1406</v>
      </c>
    </row>
    <row r="305" spans="1:33" s="56" customFormat="1" ht="54" x14ac:dyDescent="0.35">
      <c r="A305" s="58">
        <v>0</v>
      </c>
      <c r="B305" s="50">
        <v>398</v>
      </c>
      <c r="C305" s="17" t="s">
        <v>676</v>
      </c>
      <c r="D305" s="51"/>
      <c r="E305" s="52" t="s">
        <v>694</v>
      </c>
      <c r="F305" s="50" t="s">
        <v>695</v>
      </c>
      <c r="G305" s="53" t="s">
        <v>46</v>
      </c>
      <c r="H305" s="50" t="s">
        <v>47</v>
      </c>
      <c r="I305" s="20">
        <v>42560</v>
      </c>
      <c r="J305" s="54">
        <v>60.8</v>
      </c>
      <c r="K305" s="50"/>
      <c r="L305" s="55"/>
      <c r="M305" s="55"/>
      <c r="N305" s="53">
        <v>0</v>
      </c>
      <c r="O305" s="7"/>
      <c r="P305" s="24"/>
      <c r="Q305" s="7" t="s">
        <v>48</v>
      </c>
      <c r="R305" s="25"/>
      <c r="S305" s="24"/>
      <c r="T305" s="24"/>
      <c r="U305" s="24"/>
      <c r="V305" s="25"/>
      <c r="W305" s="24"/>
      <c r="X305" s="25"/>
      <c r="Y305" s="13">
        <v>6612</v>
      </c>
      <c r="Z305" s="13">
        <v>11.25</v>
      </c>
      <c r="AA305" s="13">
        <v>12</v>
      </c>
      <c r="AB305" s="13">
        <v>3</v>
      </c>
      <c r="AC305" s="13">
        <v>2</v>
      </c>
      <c r="AD305" s="13">
        <v>383.09</v>
      </c>
      <c r="AE305" s="13">
        <v>383.09</v>
      </c>
      <c r="AF305" s="26">
        <f t="shared" si="15"/>
        <v>153.23599999999999</v>
      </c>
      <c r="AG305" s="27" t="s">
        <v>1407</v>
      </c>
    </row>
    <row r="306" spans="1:33" ht="36" x14ac:dyDescent="0.35">
      <c r="A306" s="15">
        <v>399</v>
      </c>
      <c r="B306" s="16">
        <v>399</v>
      </c>
      <c r="C306" s="17" t="s">
        <v>676</v>
      </c>
      <c r="D306" s="18">
        <v>2016</v>
      </c>
      <c r="E306" s="19" t="s">
        <v>694</v>
      </c>
      <c r="F306" s="16" t="s">
        <v>696</v>
      </c>
      <c r="G306" s="7" t="s">
        <v>38</v>
      </c>
      <c r="H306" s="16" t="s">
        <v>39</v>
      </c>
      <c r="I306" s="20">
        <v>350000</v>
      </c>
      <c r="J306" s="21">
        <v>500</v>
      </c>
      <c r="K306" s="49">
        <f>(60*2+17*2)*2.5</f>
        <v>385</v>
      </c>
      <c r="L306" s="22">
        <f t="shared" ref="L306:L330" si="18">(K306/J306)-1</f>
        <v>-0.22999999999999998</v>
      </c>
      <c r="M306" s="28">
        <v>1</v>
      </c>
      <c r="N306" s="7">
        <v>0</v>
      </c>
      <c r="O306" s="7"/>
      <c r="P306" s="24"/>
      <c r="Q306" s="7" t="s">
        <v>48</v>
      </c>
      <c r="R306" s="25"/>
      <c r="S306" s="24"/>
      <c r="T306" s="24"/>
      <c r="U306" s="24"/>
      <c r="V306" s="25"/>
      <c r="W306" s="24"/>
      <c r="X306" s="25"/>
      <c r="Y306" s="13">
        <v>6612</v>
      </c>
      <c r="Z306" s="13">
        <v>11.25</v>
      </c>
      <c r="AA306" s="13">
        <v>12</v>
      </c>
      <c r="AB306" s="13">
        <v>3</v>
      </c>
      <c r="AC306" s="13">
        <v>2</v>
      </c>
      <c r="AD306" s="13">
        <v>466.12</v>
      </c>
      <c r="AE306" s="13">
        <v>466.12</v>
      </c>
      <c r="AF306" s="26">
        <f t="shared" si="15"/>
        <v>186.44800000000001</v>
      </c>
      <c r="AG306" s="27" t="s">
        <v>1407</v>
      </c>
    </row>
    <row r="307" spans="1:33" ht="54" x14ac:dyDescent="0.35">
      <c r="A307" s="15">
        <v>400</v>
      </c>
      <c r="B307" s="16">
        <v>400</v>
      </c>
      <c r="C307" s="17" t="s">
        <v>676</v>
      </c>
      <c r="D307" s="18">
        <v>2016</v>
      </c>
      <c r="E307" s="19" t="s">
        <v>697</v>
      </c>
      <c r="F307" s="16" t="s">
        <v>698</v>
      </c>
      <c r="G307" s="7" t="s">
        <v>46</v>
      </c>
      <c r="H307" s="16" t="s">
        <v>47</v>
      </c>
      <c r="I307" s="20">
        <v>77280</v>
      </c>
      <c r="J307" s="21">
        <v>110.4</v>
      </c>
      <c r="K307" s="16"/>
      <c r="L307" s="22">
        <f t="shared" si="18"/>
        <v>-1</v>
      </c>
      <c r="M307" s="28"/>
      <c r="N307" s="7">
        <v>0</v>
      </c>
      <c r="O307" s="7"/>
      <c r="P307" s="24"/>
      <c r="Q307" s="7" t="s">
        <v>48</v>
      </c>
      <c r="R307" s="25"/>
      <c r="S307" s="24"/>
      <c r="T307" s="24"/>
      <c r="U307" s="24"/>
      <c r="V307" s="25"/>
      <c r="W307" s="24"/>
      <c r="X307" s="25"/>
      <c r="Y307" s="13">
        <v>9498</v>
      </c>
      <c r="Z307" s="13">
        <v>14.05</v>
      </c>
      <c r="AA307" s="13">
        <v>14</v>
      </c>
      <c r="AB307" s="13">
        <v>5</v>
      </c>
      <c r="AC307" s="13">
        <v>2</v>
      </c>
      <c r="AD307" s="13">
        <v>606.24</v>
      </c>
      <c r="AE307" s="13">
        <v>606.24</v>
      </c>
      <c r="AF307" s="26">
        <f t="shared" si="15"/>
        <v>242.49600000000001</v>
      </c>
      <c r="AG307" s="27" t="s">
        <v>1408</v>
      </c>
    </row>
    <row r="308" spans="1:33" ht="54" x14ac:dyDescent="0.35">
      <c r="A308" s="15">
        <v>401</v>
      </c>
      <c r="B308" s="16">
        <v>401</v>
      </c>
      <c r="C308" s="17" t="s">
        <v>676</v>
      </c>
      <c r="D308" s="18">
        <v>2016</v>
      </c>
      <c r="E308" s="19" t="s">
        <v>699</v>
      </c>
      <c r="F308" s="16" t="s">
        <v>700</v>
      </c>
      <c r="G308" s="7" t="s">
        <v>46</v>
      </c>
      <c r="H308" s="16" t="s">
        <v>47</v>
      </c>
      <c r="I308" s="20">
        <v>109760</v>
      </c>
      <c r="J308" s="21">
        <v>156.80000000000001</v>
      </c>
      <c r="K308" s="16"/>
      <c r="L308" s="22">
        <f t="shared" si="18"/>
        <v>-1</v>
      </c>
      <c r="M308" s="28"/>
      <c r="N308" s="7">
        <v>0</v>
      </c>
      <c r="O308" s="7"/>
      <c r="P308" s="24"/>
      <c r="Q308" s="7" t="s">
        <v>48</v>
      </c>
      <c r="R308" s="25"/>
      <c r="S308" s="24"/>
      <c r="T308" s="24"/>
      <c r="U308" s="24"/>
      <c r="V308" s="25"/>
      <c r="W308" s="24"/>
      <c r="X308" s="25"/>
      <c r="Y308" s="13">
        <v>12594</v>
      </c>
      <c r="Z308" s="13">
        <v>14</v>
      </c>
      <c r="AA308" s="13">
        <v>14</v>
      </c>
      <c r="AB308" s="13">
        <v>5</v>
      </c>
      <c r="AC308" s="13">
        <v>2</v>
      </c>
      <c r="AD308" s="13">
        <v>712.39</v>
      </c>
      <c r="AE308" s="13">
        <v>712.39</v>
      </c>
      <c r="AF308" s="26">
        <f t="shared" si="15"/>
        <v>284.95600000000002</v>
      </c>
      <c r="AG308" s="27" t="s">
        <v>1409</v>
      </c>
    </row>
    <row r="309" spans="1:33" ht="54" x14ac:dyDescent="0.35">
      <c r="A309" s="15">
        <v>402</v>
      </c>
      <c r="B309" s="16">
        <v>402</v>
      </c>
      <c r="C309" s="17" t="s">
        <v>676</v>
      </c>
      <c r="D309" s="18">
        <v>2016</v>
      </c>
      <c r="E309" s="19" t="s">
        <v>701</v>
      </c>
      <c r="F309" s="16" t="s">
        <v>702</v>
      </c>
      <c r="G309" s="7" t="s">
        <v>46</v>
      </c>
      <c r="H309" s="16" t="s">
        <v>47</v>
      </c>
      <c r="I309" s="20">
        <v>109760</v>
      </c>
      <c r="J309" s="21">
        <v>156.80000000000001</v>
      </c>
      <c r="K309" s="16"/>
      <c r="L309" s="22">
        <f t="shared" si="18"/>
        <v>-1</v>
      </c>
      <c r="M309" s="28"/>
      <c r="N309" s="7">
        <v>0</v>
      </c>
      <c r="O309" s="7"/>
      <c r="P309" s="24"/>
      <c r="Q309" s="7" t="s">
        <v>48</v>
      </c>
      <c r="R309" s="25"/>
      <c r="S309" s="24"/>
      <c r="T309" s="24"/>
      <c r="U309" s="24"/>
      <c r="V309" s="25"/>
      <c r="W309" s="24"/>
      <c r="X309" s="25"/>
      <c r="Y309" s="13">
        <v>12594</v>
      </c>
      <c r="Z309" s="13">
        <v>14</v>
      </c>
      <c r="AA309" s="13">
        <v>14</v>
      </c>
      <c r="AB309" s="13">
        <v>5</v>
      </c>
      <c r="AC309" s="13">
        <v>2</v>
      </c>
      <c r="AD309" s="13">
        <v>712.39</v>
      </c>
      <c r="AE309" s="13">
        <v>712.39</v>
      </c>
      <c r="AF309" s="26">
        <f t="shared" si="15"/>
        <v>284.95600000000002</v>
      </c>
      <c r="AG309" s="27" t="s">
        <v>1410</v>
      </c>
    </row>
    <row r="310" spans="1:33" ht="54" x14ac:dyDescent="0.35">
      <c r="A310" s="15">
        <v>403</v>
      </c>
      <c r="B310" s="16">
        <v>403</v>
      </c>
      <c r="C310" s="17" t="s">
        <v>676</v>
      </c>
      <c r="D310" s="18">
        <v>2016</v>
      </c>
      <c r="E310" s="19" t="s">
        <v>703</v>
      </c>
      <c r="F310" s="16" t="s">
        <v>704</v>
      </c>
      <c r="G310" s="7" t="s">
        <v>46</v>
      </c>
      <c r="H310" s="16" t="s">
        <v>47</v>
      </c>
      <c r="I310" s="20">
        <v>105560</v>
      </c>
      <c r="J310" s="21">
        <v>150.80000000000001</v>
      </c>
      <c r="K310" s="16"/>
      <c r="L310" s="22">
        <f t="shared" si="18"/>
        <v>-1</v>
      </c>
      <c r="M310" s="28"/>
      <c r="N310" s="7">
        <v>0</v>
      </c>
      <c r="O310" s="7"/>
      <c r="P310" s="24"/>
      <c r="Q310" s="7" t="s">
        <v>48</v>
      </c>
      <c r="R310" s="25"/>
      <c r="S310" s="24"/>
      <c r="T310" s="24"/>
      <c r="U310" s="24"/>
      <c r="V310" s="25"/>
      <c r="W310" s="24"/>
      <c r="X310" s="25"/>
      <c r="Y310" s="13">
        <v>12075</v>
      </c>
      <c r="Z310" s="13">
        <v>14</v>
      </c>
      <c r="AA310" s="13">
        <v>14</v>
      </c>
      <c r="AB310" s="13">
        <v>5</v>
      </c>
      <c r="AC310" s="13">
        <v>2</v>
      </c>
      <c r="AD310" s="13">
        <v>694.59</v>
      </c>
      <c r="AE310" s="13">
        <v>694.59</v>
      </c>
      <c r="AF310" s="26">
        <f t="shared" si="15"/>
        <v>277.83600000000001</v>
      </c>
      <c r="AG310" s="27" t="s">
        <v>1411</v>
      </c>
    </row>
    <row r="311" spans="1:33" ht="54" x14ac:dyDescent="0.35">
      <c r="A311" s="15">
        <v>404</v>
      </c>
      <c r="B311" s="16">
        <v>404</v>
      </c>
      <c r="C311" s="17" t="s">
        <v>676</v>
      </c>
      <c r="D311" s="18">
        <v>2016</v>
      </c>
      <c r="E311" s="19" t="s">
        <v>705</v>
      </c>
      <c r="F311" s="16" t="s">
        <v>706</v>
      </c>
      <c r="G311" s="7" t="s">
        <v>46</v>
      </c>
      <c r="H311" s="16" t="s">
        <v>47</v>
      </c>
      <c r="I311" s="20">
        <v>111090</v>
      </c>
      <c r="J311" s="21">
        <v>158.69999999999999</v>
      </c>
      <c r="K311" s="16"/>
      <c r="L311" s="22">
        <f t="shared" si="18"/>
        <v>-1</v>
      </c>
      <c r="M311" s="28"/>
      <c r="N311" s="7">
        <v>0</v>
      </c>
      <c r="O311" s="7"/>
      <c r="P311" s="24"/>
      <c r="Q311" s="7" t="s">
        <v>48</v>
      </c>
      <c r="R311" s="25"/>
      <c r="S311" s="24"/>
      <c r="T311" s="24"/>
      <c r="U311" s="24"/>
      <c r="V311" s="25"/>
      <c r="W311" s="24"/>
      <c r="X311" s="25"/>
      <c r="Y311" s="13">
        <v>12594</v>
      </c>
      <c r="Z311" s="13">
        <v>14</v>
      </c>
      <c r="AA311" s="13">
        <v>14</v>
      </c>
      <c r="AB311" s="13">
        <v>5</v>
      </c>
      <c r="AC311" s="13">
        <v>2</v>
      </c>
      <c r="AD311" s="13">
        <v>712.39</v>
      </c>
      <c r="AE311" s="13">
        <v>712.39</v>
      </c>
      <c r="AF311" s="26">
        <f t="shared" si="15"/>
        <v>284.95600000000002</v>
      </c>
      <c r="AG311" s="27" t="s">
        <v>1412</v>
      </c>
    </row>
    <row r="312" spans="1:33" ht="54" x14ac:dyDescent="0.35">
      <c r="A312" s="15">
        <v>405</v>
      </c>
      <c r="B312" s="16">
        <v>405</v>
      </c>
      <c r="C312" s="17" t="s">
        <v>676</v>
      </c>
      <c r="D312" s="18">
        <v>2016</v>
      </c>
      <c r="E312" s="19" t="s">
        <v>707</v>
      </c>
      <c r="F312" s="16" t="s">
        <v>708</v>
      </c>
      <c r="G312" s="7" t="s">
        <v>46</v>
      </c>
      <c r="H312" s="16" t="s">
        <v>47</v>
      </c>
      <c r="I312" s="20">
        <v>110670</v>
      </c>
      <c r="J312" s="21">
        <v>158.1</v>
      </c>
      <c r="K312" s="16"/>
      <c r="L312" s="22">
        <f t="shared" si="18"/>
        <v>-1</v>
      </c>
      <c r="M312" s="28"/>
      <c r="N312" s="7">
        <v>0</v>
      </c>
      <c r="O312" s="7"/>
      <c r="P312" s="24"/>
      <c r="Q312" s="7" t="s">
        <v>48</v>
      </c>
      <c r="R312" s="25"/>
      <c r="S312" s="24"/>
      <c r="T312" s="24"/>
      <c r="U312" s="24"/>
      <c r="V312" s="25"/>
      <c r="W312" s="24"/>
      <c r="X312" s="25"/>
      <c r="Y312" s="13">
        <v>12594</v>
      </c>
      <c r="Z312" s="13">
        <v>14</v>
      </c>
      <c r="AA312" s="13">
        <v>14</v>
      </c>
      <c r="AB312" s="13">
        <v>5</v>
      </c>
      <c r="AC312" s="13">
        <v>2</v>
      </c>
      <c r="AD312" s="13">
        <v>712.39</v>
      </c>
      <c r="AE312" s="13">
        <v>712.39</v>
      </c>
      <c r="AF312" s="26">
        <f t="shared" si="15"/>
        <v>284.95600000000002</v>
      </c>
      <c r="AG312" s="27" t="s">
        <v>1413</v>
      </c>
    </row>
    <row r="313" spans="1:33" ht="54" x14ac:dyDescent="0.35">
      <c r="A313" s="15">
        <v>406</v>
      </c>
      <c r="B313" s="16">
        <v>406</v>
      </c>
      <c r="C313" s="17" t="s">
        <v>676</v>
      </c>
      <c r="D313" s="18">
        <v>2016</v>
      </c>
      <c r="E313" s="19" t="s">
        <v>709</v>
      </c>
      <c r="F313" s="16" t="s">
        <v>710</v>
      </c>
      <c r="G313" s="7" t="s">
        <v>46</v>
      </c>
      <c r="H313" s="16" t="s">
        <v>47</v>
      </c>
      <c r="I313" s="20">
        <v>109760</v>
      </c>
      <c r="J313" s="21">
        <v>156.80000000000001</v>
      </c>
      <c r="K313" s="16"/>
      <c r="L313" s="22">
        <f t="shared" si="18"/>
        <v>-1</v>
      </c>
      <c r="M313" s="28"/>
      <c r="N313" s="7">
        <v>0</v>
      </c>
      <c r="O313" s="7"/>
      <c r="P313" s="24"/>
      <c r="Q313" s="7" t="s">
        <v>48</v>
      </c>
      <c r="R313" s="25"/>
      <c r="S313" s="24"/>
      <c r="T313" s="24"/>
      <c r="U313" s="24"/>
      <c r="V313" s="25"/>
      <c r="W313" s="24"/>
      <c r="X313" s="25"/>
      <c r="Y313" s="13">
        <v>12594</v>
      </c>
      <c r="Z313" s="13">
        <v>14</v>
      </c>
      <c r="AA313" s="13">
        <v>14</v>
      </c>
      <c r="AB313" s="13">
        <v>5</v>
      </c>
      <c r="AC313" s="13">
        <v>2</v>
      </c>
      <c r="AD313" s="13">
        <v>712.39</v>
      </c>
      <c r="AE313" s="13">
        <v>712.39</v>
      </c>
      <c r="AF313" s="26">
        <f t="shared" si="15"/>
        <v>284.95600000000002</v>
      </c>
      <c r="AG313" s="27" t="s">
        <v>1414</v>
      </c>
    </row>
    <row r="314" spans="1:33" ht="36" x14ac:dyDescent="0.35">
      <c r="A314" s="15">
        <v>407</v>
      </c>
      <c r="B314" s="16">
        <v>407</v>
      </c>
      <c r="C314" s="17" t="s">
        <v>676</v>
      </c>
      <c r="D314" s="18">
        <v>2017</v>
      </c>
      <c r="E314" s="19" t="s">
        <v>711</v>
      </c>
      <c r="F314" s="16" t="s">
        <v>712</v>
      </c>
      <c r="G314" s="7" t="s">
        <v>38</v>
      </c>
      <c r="H314" s="16" t="s">
        <v>39</v>
      </c>
      <c r="I314" s="20">
        <v>38500</v>
      </c>
      <c r="J314" s="21">
        <v>55</v>
      </c>
      <c r="K314" s="16"/>
      <c r="L314" s="22">
        <f t="shared" si="18"/>
        <v>-1</v>
      </c>
      <c r="M314" s="28"/>
      <c r="N314" s="7">
        <v>0</v>
      </c>
      <c r="O314" s="7"/>
      <c r="P314" s="24"/>
      <c r="Q314" s="7" t="s">
        <v>48</v>
      </c>
      <c r="R314" s="25"/>
      <c r="S314" s="24"/>
      <c r="T314" s="24"/>
      <c r="U314" s="24"/>
      <c r="V314" s="25"/>
      <c r="W314" s="24"/>
      <c r="X314" s="25"/>
      <c r="Y314" s="13">
        <v>12400</v>
      </c>
      <c r="Z314" s="13">
        <v>14.25</v>
      </c>
      <c r="AA314" s="13">
        <v>15</v>
      </c>
      <c r="AB314" s="13">
        <v>5</v>
      </c>
      <c r="AC314" s="13">
        <v>2</v>
      </c>
      <c r="AD314" s="13">
        <v>863.39</v>
      </c>
      <c r="AE314" s="13">
        <v>863.39</v>
      </c>
      <c r="AF314" s="26">
        <f t="shared" si="15"/>
        <v>345.35599999999999</v>
      </c>
      <c r="AG314" s="27" t="s">
        <v>1415</v>
      </c>
    </row>
    <row r="315" spans="1:33" ht="36" x14ac:dyDescent="0.35">
      <c r="A315" s="15">
        <v>408</v>
      </c>
      <c r="B315" s="16">
        <v>408</v>
      </c>
      <c r="C315" s="17" t="s">
        <v>676</v>
      </c>
      <c r="D315" s="18">
        <v>2017</v>
      </c>
      <c r="E315" s="19" t="s">
        <v>713</v>
      </c>
      <c r="F315" s="16" t="s">
        <v>714</v>
      </c>
      <c r="G315" s="7" t="s">
        <v>38</v>
      </c>
      <c r="H315" s="16" t="s">
        <v>39</v>
      </c>
      <c r="I315" s="20">
        <v>96600</v>
      </c>
      <c r="J315" s="21">
        <v>138</v>
      </c>
      <c r="K315" s="16"/>
      <c r="L315" s="22">
        <f t="shared" si="18"/>
        <v>-1</v>
      </c>
      <c r="M315" s="28"/>
      <c r="N315" s="7">
        <v>0</v>
      </c>
      <c r="O315" s="7"/>
      <c r="P315" s="24"/>
      <c r="Q315" s="7" t="s">
        <v>48</v>
      </c>
      <c r="R315" s="25"/>
      <c r="S315" s="24"/>
      <c r="T315" s="24"/>
      <c r="U315" s="24"/>
      <c r="V315" s="25"/>
      <c r="W315" s="24"/>
      <c r="X315" s="25"/>
      <c r="Y315" s="13">
        <v>32364</v>
      </c>
      <c r="Z315" s="13">
        <v>31</v>
      </c>
      <c r="AA315" s="13">
        <v>21</v>
      </c>
      <c r="AB315" s="13">
        <v>9</v>
      </c>
      <c r="AC315" s="13">
        <v>2</v>
      </c>
      <c r="AD315" s="13">
        <v>1578.21</v>
      </c>
      <c r="AE315" s="13">
        <v>1578.21</v>
      </c>
      <c r="AF315" s="26">
        <f t="shared" si="15"/>
        <v>631.28400000000011</v>
      </c>
      <c r="AG315" s="27" t="s">
        <v>1416</v>
      </c>
    </row>
    <row r="316" spans="1:33" ht="54" x14ac:dyDescent="0.35">
      <c r="A316" s="15">
        <v>409</v>
      </c>
      <c r="B316" s="16">
        <v>409</v>
      </c>
      <c r="C316" s="17" t="s">
        <v>676</v>
      </c>
      <c r="D316" s="18">
        <v>2017</v>
      </c>
      <c r="E316" s="19" t="s">
        <v>715</v>
      </c>
      <c r="F316" s="16" t="s">
        <v>716</v>
      </c>
      <c r="G316" s="7" t="s">
        <v>46</v>
      </c>
      <c r="H316" s="16" t="s">
        <v>47</v>
      </c>
      <c r="I316" s="20">
        <v>103152</v>
      </c>
      <c r="J316" s="21">
        <v>147.36000000000001</v>
      </c>
      <c r="K316" s="16"/>
      <c r="L316" s="22">
        <f t="shared" si="18"/>
        <v>-1</v>
      </c>
      <c r="M316" s="28"/>
      <c r="N316" s="7">
        <v>0</v>
      </c>
      <c r="O316" s="7"/>
      <c r="P316" s="24"/>
      <c r="Q316" s="7" t="s">
        <v>48</v>
      </c>
      <c r="R316" s="25"/>
      <c r="S316" s="24"/>
      <c r="T316" s="24"/>
      <c r="U316" s="24"/>
      <c r="V316" s="25"/>
      <c r="W316" s="24"/>
      <c r="X316" s="25"/>
      <c r="Y316" s="13">
        <v>12400</v>
      </c>
      <c r="Z316" s="13">
        <v>14.25</v>
      </c>
      <c r="AA316" s="13">
        <v>15</v>
      </c>
      <c r="AB316" s="13">
        <v>5</v>
      </c>
      <c r="AC316" s="13">
        <v>2</v>
      </c>
      <c r="AD316" s="13">
        <v>687.9</v>
      </c>
      <c r="AE316" s="13">
        <v>687.9</v>
      </c>
      <c r="AF316" s="26">
        <f t="shared" si="15"/>
        <v>275.16000000000003</v>
      </c>
      <c r="AG316" s="27" t="s">
        <v>1415</v>
      </c>
    </row>
    <row r="317" spans="1:33" ht="54" x14ac:dyDescent="0.35">
      <c r="A317" s="15">
        <v>410</v>
      </c>
      <c r="B317" s="16">
        <v>410</v>
      </c>
      <c r="C317" s="17" t="s">
        <v>676</v>
      </c>
      <c r="D317" s="18">
        <v>2017</v>
      </c>
      <c r="E317" s="19" t="s">
        <v>717</v>
      </c>
      <c r="F317" s="16" t="s">
        <v>718</v>
      </c>
      <c r="G317" s="7" t="s">
        <v>46</v>
      </c>
      <c r="H317" s="16" t="s">
        <v>47</v>
      </c>
      <c r="I317" s="20">
        <v>4200</v>
      </c>
      <c r="J317" s="21">
        <v>6</v>
      </c>
      <c r="K317" s="16"/>
      <c r="L317" s="22">
        <f t="shared" si="18"/>
        <v>-1</v>
      </c>
      <c r="M317" s="28"/>
      <c r="N317" s="7">
        <v>0</v>
      </c>
      <c r="O317" s="7"/>
      <c r="P317" s="24"/>
      <c r="Q317" s="7" t="s">
        <v>48</v>
      </c>
      <c r="R317" s="25"/>
      <c r="S317" s="24"/>
      <c r="T317" s="24"/>
      <c r="U317" s="24"/>
      <c r="V317" s="25"/>
      <c r="W317" s="24"/>
      <c r="X317" s="25"/>
      <c r="Y317" s="13">
        <v>986</v>
      </c>
      <c r="Z317" s="13">
        <v>10.5</v>
      </c>
      <c r="AA317" s="13">
        <v>11</v>
      </c>
      <c r="AB317" s="13">
        <v>2</v>
      </c>
      <c r="AC317" s="13">
        <v>2</v>
      </c>
      <c r="AD317" s="13">
        <v>129.84</v>
      </c>
      <c r="AE317" s="13">
        <v>129.84</v>
      </c>
      <c r="AF317" s="26">
        <f t="shared" si="15"/>
        <v>51.936000000000007</v>
      </c>
      <c r="AG317" s="27" t="s">
        <v>1417</v>
      </c>
    </row>
    <row r="318" spans="1:33" ht="54" x14ac:dyDescent="0.35">
      <c r="A318" s="15">
        <v>411</v>
      </c>
      <c r="B318" s="16">
        <v>411</v>
      </c>
      <c r="C318" s="17" t="s">
        <v>676</v>
      </c>
      <c r="D318" s="18">
        <v>2016</v>
      </c>
      <c r="E318" s="19" t="s">
        <v>719</v>
      </c>
      <c r="F318" s="16" t="s">
        <v>720</v>
      </c>
      <c r="G318" s="7" t="s">
        <v>46</v>
      </c>
      <c r="H318" s="16" t="s">
        <v>47</v>
      </c>
      <c r="I318" s="20">
        <v>33600</v>
      </c>
      <c r="J318" s="21">
        <v>48</v>
      </c>
      <c r="K318" s="16"/>
      <c r="L318" s="22">
        <f t="shared" si="18"/>
        <v>-1</v>
      </c>
      <c r="M318" s="28"/>
      <c r="N318" s="7">
        <v>0</v>
      </c>
      <c r="O318" s="7"/>
      <c r="P318" s="24"/>
      <c r="Q318" s="7" t="s">
        <v>48</v>
      </c>
      <c r="R318" s="25"/>
      <c r="S318" s="24"/>
      <c r="T318" s="24"/>
      <c r="U318" s="24"/>
      <c r="V318" s="25"/>
      <c r="W318" s="24"/>
      <c r="X318" s="25"/>
      <c r="Y318" s="13">
        <v>4196</v>
      </c>
      <c r="Z318" s="13">
        <v>8.4</v>
      </c>
      <c r="AA318" s="13">
        <v>9</v>
      </c>
      <c r="AB318" s="13">
        <v>3</v>
      </c>
      <c r="AC318" s="13">
        <v>2</v>
      </c>
      <c r="AD318" s="13">
        <v>311.47000000000003</v>
      </c>
      <c r="AE318" s="13">
        <v>311.47000000000003</v>
      </c>
      <c r="AF318" s="26">
        <f t="shared" si="15"/>
        <v>124.58800000000002</v>
      </c>
      <c r="AG318" s="27" t="s">
        <v>1418</v>
      </c>
    </row>
    <row r="319" spans="1:33" ht="54" x14ac:dyDescent="0.35">
      <c r="A319" s="15">
        <v>412</v>
      </c>
      <c r="B319" s="16">
        <v>412</v>
      </c>
      <c r="C319" s="17" t="s">
        <v>676</v>
      </c>
      <c r="D319" s="18">
        <v>2016</v>
      </c>
      <c r="E319" s="19" t="s">
        <v>721</v>
      </c>
      <c r="F319" s="16" t="s">
        <v>722</v>
      </c>
      <c r="G319" s="7" t="s">
        <v>46</v>
      </c>
      <c r="H319" s="16" t="s">
        <v>47</v>
      </c>
      <c r="I319" s="20">
        <v>52500</v>
      </c>
      <c r="J319" s="21">
        <v>75</v>
      </c>
      <c r="K319" s="16"/>
      <c r="L319" s="22">
        <f t="shared" si="18"/>
        <v>-1</v>
      </c>
      <c r="M319" s="28"/>
      <c r="N319" s="7">
        <v>0</v>
      </c>
      <c r="O319" s="7"/>
      <c r="P319" s="24"/>
      <c r="Q319" s="7" t="s">
        <v>48</v>
      </c>
      <c r="R319" s="25"/>
      <c r="S319" s="24"/>
      <c r="T319" s="24"/>
      <c r="U319" s="24"/>
      <c r="V319" s="25"/>
      <c r="W319" s="24"/>
      <c r="X319" s="25"/>
      <c r="Y319" s="13">
        <v>17011</v>
      </c>
      <c r="Z319" s="13">
        <v>15</v>
      </c>
      <c r="AA319" s="13">
        <v>15</v>
      </c>
      <c r="AB319" s="13">
        <v>4</v>
      </c>
      <c r="AC319" s="13">
        <v>2</v>
      </c>
      <c r="AD319" s="13">
        <v>762.85</v>
      </c>
      <c r="AE319" s="13">
        <v>762.85</v>
      </c>
      <c r="AF319" s="26">
        <f t="shared" si="15"/>
        <v>305.14000000000004</v>
      </c>
      <c r="AG319" s="27" t="s">
        <v>1419</v>
      </c>
    </row>
    <row r="320" spans="1:33" ht="54" x14ac:dyDescent="0.35">
      <c r="A320" s="15">
        <v>413</v>
      </c>
      <c r="B320" s="16">
        <v>413</v>
      </c>
      <c r="C320" s="17" t="s">
        <v>676</v>
      </c>
      <c r="D320" s="18">
        <v>2016</v>
      </c>
      <c r="E320" s="19" t="s">
        <v>723</v>
      </c>
      <c r="F320" s="16" t="s">
        <v>724</v>
      </c>
      <c r="G320" s="7" t="s">
        <v>46</v>
      </c>
      <c r="H320" s="16" t="s">
        <v>47</v>
      </c>
      <c r="I320" s="20">
        <v>42000</v>
      </c>
      <c r="J320" s="21">
        <v>60</v>
      </c>
      <c r="K320" s="16"/>
      <c r="L320" s="22">
        <f t="shared" si="18"/>
        <v>-1</v>
      </c>
      <c r="M320" s="28"/>
      <c r="N320" s="7">
        <v>0</v>
      </c>
      <c r="O320" s="7"/>
      <c r="P320" s="24"/>
      <c r="Q320" s="7" t="s">
        <v>48</v>
      </c>
      <c r="R320" s="25"/>
      <c r="S320" s="24"/>
      <c r="T320" s="24"/>
      <c r="U320" s="24"/>
      <c r="V320" s="25"/>
      <c r="W320" s="24"/>
      <c r="X320" s="25"/>
      <c r="Y320" s="13">
        <v>9247</v>
      </c>
      <c r="Z320" s="13">
        <v>16</v>
      </c>
      <c r="AA320" s="13">
        <v>16</v>
      </c>
      <c r="AB320" s="13">
        <v>4</v>
      </c>
      <c r="AC320" s="13">
        <v>2</v>
      </c>
      <c r="AD320" s="13">
        <v>494.37</v>
      </c>
      <c r="AE320" s="13">
        <v>494.37</v>
      </c>
      <c r="AF320" s="26">
        <f t="shared" si="15"/>
        <v>197.74800000000002</v>
      </c>
      <c r="AG320" s="27" t="s">
        <v>1420</v>
      </c>
    </row>
    <row r="321" spans="1:33" ht="54" x14ac:dyDescent="0.35">
      <c r="A321" s="15">
        <v>414</v>
      </c>
      <c r="B321" s="16">
        <v>414</v>
      </c>
      <c r="C321" s="17" t="s">
        <v>676</v>
      </c>
      <c r="D321" s="18">
        <v>2016</v>
      </c>
      <c r="E321" s="19" t="s">
        <v>725</v>
      </c>
      <c r="F321" s="16" t="s">
        <v>726</v>
      </c>
      <c r="G321" s="7" t="s">
        <v>46</v>
      </c>
      <c r="H321" s="16" t="s">
        <v>47</v>
      </c>
      <c r="I321" s="20">
        <v>252000</v>
      </c>
      <c r="J321" s="21">
        <v>360</v>
      </c>
      <c r="K321" s="16"/>
      <c r="L321" s="22">
        <f t="shared" si="18"/>
        <v>-1</v>
      </c>
      <c r="M321" s="28"/>
      <c r="N321" s="7">
        <v>0</v>
      </c>
      <c r="O321" s="7"/>
      <c r="P321" s="24"/>
      <c r="Q321" s="7" t="s">
        <v>48</v>
      </c>
      <c r="R321" s="25"/>
      <c r="S321" s="24"/>
      <c r="T321" s="24"/>
      <c r="U321" s="24"/>
      <c r="V321" s="25"/>
      <c r="W321" s="24"/>
      <c r="X321" s="25"/>
      <c r="Y321" s="13">
        <v>23733</v>
      </c>
      <c r="Z321" s="13">
        <v>16.2</v>
      </c>
      <c r="AA321" s="13">
        <v>17</v>
      </c>
      <c r="AB321" s="13">
        <v>5</v>
      </c>
      <c r="AC321" s="13">
        <v>2</v>
      </c>
      <c r="AD321" s="13">
        <v>991.97</v>
      </c>
      <c r="AE321" s="13">
        <v>991.97</v>
      </c>
      <c r="AF321" s="26">
        <f t="shared" si="15"/>
        <v>396.78800000000001</v>
      </c>
      <c r="AG321" s="27" t="s">
        <v>1421</v>
      </c>
    </row>
    <row r="322" spans="1:33" ht="54" x14ac:dyDescent="0.35">
      <c r="A322" s="15">
        <v>415</v>
      </c>
      <c r="B322" s="16">
        <v>415</v>
      </c>
      <c r="C322" s="17" t="s">
        <v>676</v>
      </c>
      <c r="D322" s="18">
        <v>2016</v>
      </c>
      <c r="E322" s="19" t="s">
        <v>727</v>
      </c>
      <c r="F322" s="16" t="s">
        <v>728</v>
      </c>
      <c r="G322" s="7" t="s">
        <v>46</v>
      </c>
      <c r="H322" s="16" t="s">
        <v>47</v>
      </c>
      <c r="I322" s="20">
        <v>33600</v>
      </c>
      <c r="J322" s="21">
        <v>48</v>
      </c>
      <c r="K322" s="16"/>
      <c r="L322" s="22">
        <f t="shared" si="18"/>
        <v>-1</v>
      </c>
      <c r="M322" s="28"/>
      <c r="N322" s="7">
        <v>0</v>
      </c>
      <c r="O322" s="7"/>
      <c r="P322" s="24"/>
      <c r="Q322" s="7" t="s">
        <v>48</v>
      </c>
      <c r="R322" s="25"/>
      <c r="S322" s="24"/>
      <c r="T322" s="24"/>
      <c r="U322" s="24"/>
      <c r="V322" s="25"/>
      <c r="W322" s="24"/>
      <c r="X322" s="25"/>
      <c r="Y322" s="13">
        <v>6410</v>
      </c>
      <c r="Z322" s="13">
        <v>13.5</v>
      </c>
      <c r="AA322" s="13">
        <v>14</v>
      </c>
      <c r="AB322" s="13">
        <v>3</v>
      </c>
      <c r="AC322" s="13">
        <v>2</v>
      </c>
      <c r="AD322" s="13">
        <v>357.52</v>
      </c>
      <c r="AE322" s="13">
        <v>357.52</v>
      </c>
      <c r="AF322" s="26">
        <f t="shared" si="15"/>
        <v>143.00800000000001</v>
      </c>
      <c r="AG322" s="27" t="s">
        <v>1422</v>
      </c>
    </row>
    <row r="323" spans="1:33" ht="54" x14ac:dyDescent="0.35">
      <c r="A323" s="15">
        <v>416</v>
      </c>
      <c r="B323" s="16">
        <v>416</v>
      </c>
      <c r="C323" s="17" t="s">
        <v>676</v>
      </c>
      <c r="D323" s="18">
        <v>2016</v>
      </c>
      <c r="E323" s="19" t="s">
        <v>729</v>
      </c>
      <c r="F323" s="16" t="s">
        <v>730</v>
      </c>
      <c r="G323" s="7" t="s">
        <v>46</v>
      </c>
      <c r="H323" s="16" t="s">
        <v>47</v>
      </c>
      <c r="I323" s="20">
        <v>33600</v>
      </c>
      <c r="J323" s="21">
        <v>48</v>
      </c>
      <c r="K323" s="16"/>
      <c r="L323" s="22">
        <f t="shared" si="18"/>
        <v>-1</v>
      </c>
      <c r="M323" s="28"/>
      <c r="N323" s="7">
        <v>0</v>
      </c>
      <c r="O323" s="7"/>
      <c r="P323" s="24"/>
      <c r="Q323" s="7" t="s">
        <v>48</v>
      </c>
      <c r="R323" s="25"/>
      <c r="S323" s="24"/>
      <c r="T323" s="24"/>
      <c r="U323" s="24"/>
      <c r="V323" s="25"/>
      <c r="W323" s="24"/>
      <c r="X323" s="25"/>
      <c r="Y323" s="13">
        <v>6417</v>
      </c>
      <c r="Z323" s="13">
        <v>13.5</v>
      </c>
      <c r="AA323" s="13">
        <v>14</v>
      </c>
      <c r="AB323" s="13">
        <v>3</v>
      </c>
      <c r="AC323" s="13">
        <v>2</v>
      </c>
      <c r="AD323" s="13">
        <v>357.76</v>
      </c>
      <c r="AE323" s="13">
        <v>357.76</v>
      </c>
      <c r="AF323" s="26">
        <f t="shared" si="15"/>
        <v>143.10400000000001</v>
      </c>
      <c r="AG323" s="27" t="s">
        <v>1423</v>
      </c>
    </row>
    <row r="324" spans="1:33" ht="54" x14ac:dyDescent="0.35">
      <c r="A324" s="15">
        <v>417</v>
      </c>
      <c r="B324" s="16">
        <v>417</v>
      </c>
      <c r="C324" s="17" t="s">
        <v>676</v>
      </c>
      <c r="D324" s="18">
        <v>2016</v>
      </c>
      <c r="E324" s="19" t="s">
        <v>731</v>
      </c>
      <c r="F324" s="16" t="s">
        <v>732</v>
      </c>
      <c r="G324" s="7" t="s">
        <v>46</v>
      </c>
      <c r="H324" s="16" t="s">
        <v>47</v>
      </c>
      <c r="I324" s="20">
        <v>125300</v>
      </c>
      <c r="J324" s="21">
        <v>179</v>
      </c>
      <c r="K324" s="16"/>
      <c r="L324" s="22">
        <f t="shared" si="18"/>
        <v>-1</v>
      </c>
      <c r="M324" s="28"/>
      <c r="N324" s="7">
        <v>0</v>
      </c>
      <c r="O324" s="7"/>
      <c r="P324" s="24"/>
      <c r="Q324" s="7" t="s">
        <v>48</v>
      </c>
      <c r="R324" s="25"/>
      <c r="S324" s="24"/>
      <c r="T324" s="24"/>
      <c r="U324" s="24"/>
      <c r="V324" s="25"/>
      <c r="W324" s="24"/>
      <c r="X324" s="25"/>
      <c r="Y324" s="13">
        <v>6410</v>
      </c>
      <c r="Z324" s="13">
        <v>13.5</v>
      </c>
      <c r="AA324" s="13">
        <v>14</v>
      </c>
      <c r="AB324" s="13">
        <v>3</v>
      </c>
      <c r="AC324" s="13">
        <v>2</v>
      </c>
      <c r="AD324" s="13">
        <v>357.52</v>
      </c>
      <c r="AE324" s="13">
        <v>357.52</v>
      </c>
      <c r="AF324" s="26">
        <f t="shared" ref="AF324:AF387" si="19">AE324*0.4</f>
        <v>143.00800000000001</v>
      </c>
      <c r="AG324" s="27" t="s">
        <v>1422</v>
      </c>
    </row>
    <row r="325" spans="1:33" ht="54" x14ac:dyDescent="0.35">
      <c r="A325" s="15">
        <v>418</v>
      </c>
      <c r="B325" s="16">
        <v>418</v>
      </c>
      <c r="C325" s="17" t="s">
        <v>676</v>
      </c>
      <c r="D325" s="18">
        <v>2017</v>
      </c>
      <c r="E325" s="19" t="s">
        <v>733</v>
      </c>
      <c r="F325" s="16" t="s">
        <v>734</v>
      </c>
      <c r="G325" s="7" t="s">
        <v>46</v>
      </c>
      <c r="H325" s="16" t="s">
        <v>47</v>
      </c>
      <c r="I325" s="20">
        <v>30744</v>
      </c>
      <c r="J325" s="21">
        <v>43.92</v>
      </c>
      <c r="K325" s="16"/>
      <c r="L325" s="22">
        <f t="shared" si="18"/>
        <v>-1</v>
      </c>
      <c r="M325" s="28"/>
      <c r="N325" s="7">
        <v>0</v>
      </c>
      <c r="O325" s="7"/>
      <c r="P325" s="24"/>
      <c r="Q325" s="7" t="s">
        <v>48</v>
      </c>
      <c r="R325" s="25"/>
      <c r="S325" s="24"/>
      <c r="T325" s="24" t="s">
        <v>42</v>
      </c>
      <c r="U325" s="24" t="s">
        <v>42</v>
      </c>
      <c r="V325" s="25">
        <v>2539837.64</v>
      </c>
      <c r="W325" s="24"/>
      <c r="X325" s="25"/>
      <c r="Y325" s="13">
        <v>3688</v>
      </c>
      <c r="Z325" s="13">
        <v>8.5500000000000007</v>
      </c>
      <c r="AA325" s="13">
        <v>9</v>
      </c>
      <c r="AB325" s="13">
        <v>3</v>
      </c>
      <c r="AC325" s="13">
        <v>2</v>
      </c>
      <c r="AD325" s="13">
        <v>290.43</v>
      </c>
      <c r="AE325" s="13"/>
      <c r="AF325" s="26">
        <f t="shared" si="19"/>
        <v>0</v>
      </c>
      <c r="AG325" s="27" t="s">
        <v>1424</v>
      </c>
    </row>
    <row r="326" spans="1:33" ht="54" x14ac:dyDescent="0.35">
      <c r="A326" s="15">
        <v>419</v>
      </c>
      <c r="B326" s="16">
        <v>419</v>
      </c>
      <c r="C326" s="17" t="s">
        <v>676</v>
      </c>
      <c r="D326" s="18">
        <v>2017</v>
      </c>
      <c r="E326" s="19" t="s">
        <v>735</v>
      </c>
      <c r="F326" s="16" t="s">
        <v>736</v>
      </c>
      <c r="G326" s="7" t="s">
        <v>46</v>
      </c>
      <c r="H326" s="16" t="s">
        <v>47</v>
      </c>
      <c r="I326" s="20">
        <v>30744</v>
      </c>
      <c r="J326" s="21">
        <v>43.92</v>
      </c>
      <c r="K326" s="16"/>
      <c r="L326" s="22">
        <f t="shared" si="18"/>
        <v>-1</v>
      </c>
      <c r="M326" s="28"/>
      <c r="N326" s="7">
        <v>0</v>
      </c>
      <c r="O326" s="7"/>
      <c r="P326" s="24"/>
      <c r="Q326" s="7" t="s">
        <v>48</v>
      </c>
      <c r="R326" s="25"/>
      <c r="S326" s="24"/>
      <c r="T326" s="24" t="s">
        <v>42</v>
      </c>
      <c r="U326" s="24" t="s">
        <v>42</v>
      </c>
      <c r="V326" s="25">
        <v>2336491.06</v>
      </c>
      <c r="W326" s="24"/>
      <c r="X326" s="25"/>
      <c r="Y326" s="13">
        <v>3733</v>
      </c>
      <c r="Z326" s="13">
        <v>8.4</v>
      </c>
      <c r="AA326" s="13">
        <v>9</v>
      </c>
      <c r="AB326" s="13">
        <v>3</v>
      </c>
      <c r="AC326" s="13">
        <v>2</v>
      </c>
      <c r="AD326" s="13">
        <v>292.3</v>
      </c>
      <c r="AE326" s="13"/>
      <c r="AF326" s="26">
        <f t="shared" si="19"/>
        <v>0</v>
      </c>
      <c r="AG326" s="27" t="s">
        <v>1425</v>
      </c>
    </row>
    <row r="327" spans="1:33" ht="54" x14ac:dyDescent="0.35">
      <c r="A327" s="15">
        <v>420</v>
      </c>
      <c r="B327" s="16">
        <v>420</v>
      </c>
      <c r="C327" s="17" t="s">
        <v>737</v>
      </c>
      <c r="D327" s="18">
        <v>2016</v>
      </c>
      <c r="E327" s="19" t="s">
        <v>738</v>
      </c>
      <c r="F327" s="16" t="s">
        <v>739</v>
      </c>
      <c r="G327" s="7" t="s">
        <v>46</v>
      </c>
      <c r="H327" s="16" t="s">
        <v>47</v>
      </c>
      <c r="I327" s="20">
        <v>75600</v>
      </c>
      <c r="J327" s="21">
        <v>108</v>
      </c>
      <c r="K327" s="16">
        <f>36*3.4*1</f>
        <v>122.39999999999999</v>
      </c>
      <c r="L327" s="22">
        <f t="shared" si="18"/>
        <v>0.1333333333333333</v>
      </c>
      <c r="M327" s="28">
        <v>1</v>
      </c>
      <c r="N327" s="7">
        <v>0</v>
      </c>
      <c r="O327" s="7"/>
      <c r="P327" s="24"/>
      <c r="Q327" s="7" t="s">
        <v>48</v>
      </c>
      <c r="R327" s="25"/>
      <c r="S327" s="24"/>
      <c r="T327" s="24" t="s">
        <v>42</v>
      </c>
      <c r="U327" s="24" t="s">
        <v>42</v>
      </c>
      <c r="V327" s="25">
        <v>6252203.5300000003</v>
      </c>
      <c r="W327" s="24"/>
      <c r="X327" s="25"/>
      <c r="Y327" s="13">
        <v>8113</v>
      </c>
      <c r="Z327" s="13">
        <v>12.15</v>
      </c>
      <c r="AA327" s="13">
        <v>13</v>
      </c>
      <c r="AB327" s="13">
        <v>4</v>
      </c>
      <c r="AC327" s="13">
        <v>2</v>
      </c>
      <c r="AD327" s="13">
        <v>493.77</v>
      </c>
      <c r="AE327" s="13"/>
      <c r="AF327" s="26">
        <f t="shared" si="19"/>
        <v>0</v>
      </c>
      <c r="AG327" s="27" t="s">
        <v>1426</v>
      </c>
    </row>
    <row r="328" spans="1:33" ht="54" x14ac:dyDescent="0.35">
      <c r="A328" s="15">
        <v>421</v>
      </c>
      <c r="B328" s="16">
        <v>421</v>
      </c>
      <c r="C328" s="17" t="s">
        <v>737</v>
      </c>
      <c r="D328" s="18">
        <v>2016</v>
      </c>
      <c r="E328" s="19" t="s">
        <v>740</v>
      </c>
      <c r="F328" s="16" t="s">
        <v>741</v>
      </c>
      <c r="G328" s="7" t="s">
        <v>46</v>
      </c>
      <c r="H328" s="16" t="s">
        <v>47</v>
      </c>
      <c r="I328" s="20">
        <v>28000</v>
      </c>
      <c r="J328" s="21">
        <v>40</v>
      </c>
      <c r="K328" s="16">
        <f>16*3.4*1</f>
        <v>54.4</v>
      </c>
      <c r="L328" s="22">
        <f t="shared" si="18"/>
        <v>0.35999999999999988</v>
      </c>
      <c r="M328" s="28"/>
      <c r="N328" s="7">
        <v>0</v>
      </c>
      <c r="O328" s="7"/>
      <c r="P328" s="24"/>
      <c r="Q328" s="7" t="s">
        <v>48</v>
      </c>
      <c r="R328" s="25"/>
      <c r="S328" s="24"/>
      <c r="T328" s="24" t="s">
        <v>42</v>
      </c>
      <c r="U328" s="24" t="s">
        <v>42</v>
      </c>
      <c r="V328" s="25">
        <v>3027168.67</v>
      </c>
      <c r="W328" s="24"/>
      <c r="X328" s="25"/>
      <c r="Y328" s="13">
        <v>3702</v>
      </c>
      <c r="Z328" s="13">
        <v>12</v>
      </c>
      <c r="AA328" s="13">
        <v>12</v>
      </c>
      <c r="AB328" s="13">
        <v>3</v>
      </c>
      <c r="AC328" s="13">
        <v>2</v>
      </c>
      <c r="AD328" s="13">
        <v>275.11</v>
      </c>
      <c r="AE328" s="13"/>
      <c r="AF328" s="26">
        <f t="shared" si="19"/>
        <v>0</v>
      </c>
      <c r="AG328" s="27" t="s">
        <v>1427</v>
      </c>
    </row>
    <row r="329" spans="1:33" ht="54" x14ac:dyDescent="0.35">
      <c r="A329" s="15">
        <v>422</v>
      </c>
      <c r="B329" s="16">
        <v>422</v>
      </c>
      <c r="C329" s="17" t="s">
        <v>737</v>
      </c>
      <c r="D329" s="18">
        <v>2017</v>
      </c>
      <c r="E329" s="19" t="s">
        <v>742</v>
      </c>
      <c r="F329" s="16" t="s">
        <v>743</v>
      </c>
      <c r="G329" s="7" t="s">
        <v>46</v>
      </c>
      <c r="H329" s="16" t="s">
        <v>47</v>
      </c>
      <c r="I329" s="20">
        <v>20602.849999999999</v>
      </c>
      <c r="J329" s="21">
        <v>43.2</v>
      </c>
      <c r="K329" s="16">
        <f>9*4.8*1.5</f>
        <v>64.8</v>
      </c>
      <c r="L329" s="22">
        <f>(K329/J329)-1</f>
        <v>0.49999999999999978</v>
      </c>
      <c r="M329" s="28"/>
      <c r="N329" s="7">
        <v>0</v>
      </c>
      <c r="O329" s="7"/>
      <c r="P329" s="24"/>
      <c r="Q329" s="7" t="s">
        <v>48</v>
      </c>
      <c r="R329" s="25"/>
      <c r="S329" s="24"/>
      <c r="T329" s="24"/>
      <c r="U329" s="24"/>
      <c r="V329" s="25"/>
      <c r="W329" s="24"/>
      <c r="X329" s="25"/>
      <c r="Y329" s="13">
        <v>11206</v>
      </c>
      <c r="Z329" s="13">
        <v>13.6</v>
      </c>
      <c r="AA329" s="13">
        <v>14</v>
      </c>
      <c r="AB329" s="13">
        <v>4</v>
      </c>
      <c r="AC329" s="13">
        <v>2</v>
      </c>
      <c r="AD329" s="13">
        <v>588.28</v>
      </c>
      <c r="AE329" s="13">
        <v>588.28</v>
      </c>
      <c r="AF329" s="26">
        <f t="shared" si="19"/>
        <v>235.31200000000001</v>
      </c>
      <c r="AG329" s="27" t="s">
        <v>1428</v>
      </c>
    </row>
    <row r="330" spans="1:33" ht="36" x14ac:dyDescent="0.35">
      <c r="A330" s="15">
        <v>423</v>
      </c>
      <c r="B330" s="16">
        <v>423</v>
      </c>
      <c r="C330" s="17" t="s">
        <v>737</v>
      </c>
      <c r="D330" s="18">
        <v>2017</v>
      </c>
      <c r="E330" s="19" t="s">
        <v>744</v>
      </c>
      <c r="F330" s="16" t="s">
        <v>745</v>
      </c>
      <c r="G330" s="7" t="s">
        <v>38</v>
      </c>
      <c r="H330" s="16" t="s">
        <v>39</v>
      </c>
      <c r="I330" s="20">
        <v>106232</v>
      </c>
      <c r="J330" s="21">
        <v>151.76</v>
      </c>
      <c r="K330" s="16">
        <f>(70*2+14.6*2)*1.8</f>
        <v>304.56</v>
      </c>
      <c r="L330" s="22">
        <f t="shared" si="18"/>
        <v>1.0068529256721139</v>
      </c>
      <c r="M330" s="28"/>
      <c r="N330" s="7">
        <v>0</v>
      </c>
      <c r="O330" s="7"/>
      <c r="P330" s="24"/>
      <c r="Q330" s="7" t="s">
        <v>48</v>
      </c>
      <c r="R330" s="25"/>
      <c r="S330" s="24"/>
      <c r="T330" s="24"/>
      <c r="U330" s="24"/>
      <c r="V330" s="25"/>
      <c r="W330" s="24"/>
      <c r="X330" s="25"/>
      <c r="Y330" s="13">
        <v>12165</v>
      </c>
      <c r="Z330" s="13">
        <v>15</v>
      </c>
      <c r="AA330" s="13">
        <v>15</v>
      </c>
      <c r="AB330" s="13">
        <v>5</v>
      </c>
      <c r="AC330" s="13">
        <v>2</v>
      </c>
      <c r="AD330" s="13">
        <v>855.47</v>
      </c>
      <c r="AE330" s="13">
        <v>855.47</v>
      </c>
      <c r="AF330" s="26">
        <f t="shared" si="19"/>
        <v>342.18800000000005</v>
      </c>
      <c r="AG330" s="27" t="s">
        <v>1429</v>
      </c>
    </row>
    <row r="331" spans="1:33" ht="53.4" customHeight="1" x14ac:dyDescent="0.35">
      <c r="A331" s="15">
        <v>425</v>
      </c>
      <c r="B331" s="16">
        <v>425</v>
      </c>
      <c r="C331" s="17" t="s">
        <v>737</v>
      </c>
      <c r="D331" s="18">
        <v>2017</v>
      </c>
      <c r="E331" s="19" t="s">
        <v>746</v>
      </c>
      <c r="F331" s="16" t="s">
        <v>747</v>
      </c>
      <c r="G331" s="7" t="s">
        <v>46</v>
      </c>
      <c r="H331" s="16" t="s">
        <v>47</v>
      </c>
      <c r="I331" s="20">
        <v>3815.34</v>
      </c>
      <c r="J331" s="21">
        <v>8</v>
      </c>
      <c r="K331" s="16"/>
      <c r="L331" s="28"/>
      <c r="M331" s="28"/>
      <c r="N331" s="7" t="s">
        <v>53</v>
      </c>
      <c r="O331" s="7" t="s">
        <v>54</v>
      </c>
      <c r="P331" s="24"/>
      <c r="Q331" s="7" t="s">
        <v>54</v>
      </c>
      <c r="R331" s="25">
        <v>1020182.8</v>
      </c>
      <c r="S331" s="24"/>
      <c r="T331" s="24" t="s">
        <v>42</v>
      </c>
      <c r="U331" s="24" t="s">
        <v>42</v>
      </c>
      <c r="V331" s="25"/>
      <c r="W331" s="24"/>
      <c r="X331" s="25">
        <v>498591.44</v>
      </c>
      <c r="Y331" s="13"/>
      <c r="Z331" s="13"/>
      <c r="AA331" s="13"/>
      <c r="AB331" s="13"/>
      <c r="AC331" s="13">
        <v>2</v>
      </c>
      <c r="AD331" s="13"/>
      <c r="AE331" s="13"/>
      <c r="AF331" s="26">
        <f t="shared" si="19"/>
        <v>0</v>
      </c>
    </row>
    <row r="332" spans="1:33" ht="52.8" customHeight="1" x14ac:dyDescent="0.35">
      <c r="A332" s="15">
        <v>426</v>
      </c>
      <c r="B332" s="16">
        <v>426</v>
      </c>
      <c r="C332" s="17" t="s">
        <v>737</v>
      </c>
      <c r="D332" s="18">
        <v>2017</v>
      </c>
      <c r="E332" s="19" t="s">
        <v>748</v>
      </c>
      <c r="F332" s="16" t="s">
        <v>749</v>
      </c>
      <c r="G332" s="7" t="s">
        <v>46</v>
      </c>
      <c r="H332" s="16" t="s">
        <v>47</v>
      </c>
      <c r="I332" s="20">
        <v>3815.34</v>
      </c>
      <c r="J332" s="21">
        <v>8</v>
      </c>
      <c r="K332" s="16"/>
      <c r="L332" s="28"/>
      <c r="M332" s="28"/>
      <c r="N332" s="7" t="s">
        <v>53</v>
      </c>
      <c r="O332" s="7" t="s">
        <v>54</v>
      </c>
      <c r="P332" s="24"/>
      <c r="Q332" s="7" t="s">
        <v>54</v>
      </c>
      <c r="R332" s="25">
        <v>493575.59</v>
      </c>
      <c r="S332" s="24"/>
      <c r="T332" s="24" t="s">
        <v>42</v>
      </c>
      <c r="U332" s="24" t="s">
        <v>42</v>
      </c>
      <c r="V332" s="25"/>
      <c r="W332" s="24"/>
      <c r="X332" s="25">
        <v>488575.59</v>
      </c>
      <c r="Y332" s="13"/>
      <c r="Z332" s="13"/>
      <c r="AA332" s="13"/>
      <c r="AB332" s="13"/>
      <c r="AC332" s="13">
        <v>2</v>
      </c>
      <c r="AD332" s="13"/>
      <c r="AE332" s="13"/>
      <c r="AF332" s="26">
        <f t="shared" si="19"/>
        <v>0</v>
      </c>
    </row>
    <row r="333" spans="1:33" ht="54" x14ac:dyDescent="0.35">
      <c r="A333" s="15">
        <v>427</v>
      </c>
      <c r="B333" s="16">
        <v>427</v>
      </c>
      <c r="C333" s="17" t="s">
        <v>737</v>
      </c>
      <c r="D333" s="18">
        <v>2017</v>
      </c>
      <c r="E333" s="19" t="s">
        <v>750</v>
      </c>
      <c r="F333" s="16" t="s">
        <v>751</v>
      </c>
      <c r="G333" s="7" t="s">
        <v>46</v>
      </c>
      <c r="H333" s="16" t="s">
        <v>47</v>
      </c>
      <c r="I333" s="20">
        <v>4292.26</v>
      </c>
      <c r="J333" s="21">
        <v>9</v>
      </c>
      <c r="K333" s="16">
        <f>1.2*3*8</f>
        <v>28.799999999999997</v>
      </c>
      <c r="L333" s="22">
        <f>(K333/J333)-1</f>
        <v>2.1999999999999997</v>
      </c>
      <c r="M333" s="28"/>
      <c r="N333" s="7">
        <v>0</v>
      </c>
      <c r="O333" s="7"/>
      <c r="P333" s="24"/>
      <c r="Q333" s="7" t="s">
        <v>48</v>
      </c>
      <c r="R333" s="25"/>
      <c r="S333" s="24"/>
      <c r="T333" s="24"/>
      <c r="U333" s="24"/>
      <c r="V333" s="25"/>
      <c r="W333" s="24"/>
      <c r="X333" s="25"/>
      <c r="Y333" s="13">
        <v>9698</v>
      </c>
      <c r="Z333" s="13">
        <v>14.1</v>
      </c>
      <c r="AA333" s="13">
        <v>15</v>
      </c>
      <c r="AB333" s="13">
        <v>4</v>
      </c>
      <c r="AC333" s="13">
        <v>2</v>
      </c>
      <c r="AD333" s="13">
        <v>522.63</v>
      </c>
      <c r="AE333" s="13">
        <v>522.63</v>
      </c>
      <c r="AF333" s="26">
        <f t="shared" si="19"/>
        <v>209.05200000000002</v>
      </c>
      <c r="AG333" s="27" t="s">
        <v>1430</v>
      </c>
    </row>
    <row r="334" spans="1:33" ht="55.2" customHeight="1" x14ac:dyDescent="0.35">
      <c r="A334" s="15">
        <v>428</v>
      </c>
      <c r="B334" s="16">
        <v>428</v>
      </c>
      <c r="C334" s="17" t="s">
        <v>737</v>
      </c>
      <c r="D334" s="18">
        <v>2016</v>
      </c>
      <c r="E334" s="19" t="s">
        <v>752</v>
      </c>
      <c r="F334" s="16" t="s">
        <v>753</v>
      </c>
      <c r="G334" s="7" t="s">
        <v>46</v>
      </c>
      <c r="H334" s="16" t="s">
        <v>47</v>
      </c>
      <c r="I334" s="20">
        <v>10492.19</v>
      </c>
      <c r="J334" s="21">
        <v>22</v>
      </c>
      <c r="K334" s="16"/>
      <c r="L334" s="28"/>
      <c r="M334" s="28"/>
      <c r="N334" s="7" t="s">
        <v>754</v>
      </c>
      <c r="O334" s="7"/>
      <c r="P334" s="24"/>
      <c r="Q334" s="7"/>
      <c r="R334" s="25"/>
      <c r="S334" s="24"/>
      <c r="T334" s="24" t="s">
        <v>42</v>
      </c>
      <c r="U334" s="24" t="s">
        <v>42</v>
      </c>
      <c r="V334" s="25">
        <v>3741068.86</v>
      </c>
      <c r="W334" s="24" t="s">
        <v>755</v>
      </c>
      <c r="X334" s="25"/>
      <c r="Y334" s="13">
        <v>18688</v>
      </c>
      <c r="Z334" s="13">
        <v>14.6</v>
      </c>
      <c r="AA334" s="13">
        <v>15</v>
      </c>
      <c r="AB334" s="13">
        <v>4</v>
      </c>
      <c r="AC334" s="13">
        <v>2</v>
      </c>
      <c r="AD334" s="13">
        <v>817.94</v>
      </c>
      <c r="AE334" s="13"/>
      <c r="AF334" s="26">
        <f t="shared" si="19"/>
        <v>0</v>
      </c>
      <c r="AG334" s="27" t="s">
        <v>1431</v>
      </c>
    </row>
    <row r="335" spans="1:33" ht="54" x14ac:dyDescent="0.35">
      <c r="A335" s="15">
        <v>429</v>
      </c>
      <c r="B335" s="16">
        <v>429</v>
      </c>
      <c r="C335" s="17" t="s">
        <v>737</v>
      </c>
      <c r="D335" s="18">
        <v>2017</v>
      </c>
      <c r="E335" s="19" t="s">
        <v>756</v>
      </c>
      <c r="F335" s="16" t="s">
        <v>757</v>
      </c>
      <c r="G335" s="7" t="s">
        <v>46</v>
      </c>
      <c r="H335" s="16" t="s">
        <v>47</v>
      </c>
      <c r="I335" s="20">
        <v>30240</v>
      </c>
      <c r="J335" s="21">
        <v>43.2</v>
      </c>
      <c r="K335" s="16">
        <f>16*3.2*0.8</f>
        <v>40.960000000000008</v>
      </c>
      <c r="L335" s="22">
        <f>(K335/J335)-1</f>
        <v>-5.1851851851851705E-2</v>
      </c>
      <c r="M335" s="28">
        <v>1</v>
      </c>
      <c r="N335" s="7">
        <v>0</v>
      </c>
      <c r="O335" s="7"/>
      <c r="P335" s="24"/>
      <c r="Q335" s="7" t="s">
        <v>48</v>
      </c>
      <c r="R335" s="25"/>
      <c r="S335" s="24"/>
      <c r="T335" s="24"/>
      <c r="U335" s="24"/>
      <c r="V335" s="25"/>
      <c r="W335" s="24"/>
      <c r="X335" s="25"/>
      <c r="Y335" s="13">
        <v>9938</v>
      </c>
      <c r="Z335" s="13">
        <v>26</v>
      </c>
      <c r="AA335" s="13">
        <v>21</v>
      </c>
      <c r="AB335" s="13">
        <v>9</v>
      </c>
      <c r="AC335" s="13">
        <v>2</v>
      </c>
      <c r="AD335" s="13">
        <v>700.45</v>
      </c>
      <c r="AE335" s="13">
        <v>700.45</v>
      </c>
      <c r="AF335" s="26">
        <f t="shared" si="19"/>
        <v>280.18</v>
      </c>
      <c r="AG335" s="27" t="s">
        <v>1432</v>
      </c>
    </row>
    <row r="336" spans="1:33" ht="54" x14ac:dyDescent="0.35">
      <c r="A336" s="15">
        <v>430</v>
      </c>
      <c r="B336" s="16">
        <v>430</v>
      </c>
      <c r="C336" s="17" t="s">
        <v>737</v>
      </c>
      <c r="D336" s="18">
        <v>2017</v>
      </c>
      <c r="E336" s="19" t="s">
        <v>758</v>
      </c>
      <c r="F336" s="16" t="s">
        <v>759</v>
      </c>
      <c r="G336" s="7" t="s">
        <v>46</v>
      </c>
      <c r="H336" s="16" t="s">
        <v>47</v>
      </c>
      <c r="I336" s="20">
        <v>19600</v>
      </c>
      <c r="J336" s="21">
        <v>28</v>
      </c>
      <c r="K336" s="16">
        <f>14*3*1</f>
        <v>42</v>
      </c>
      <c r="L336" s="22">
        <f>(K336/J336)-1</f>
        <v>0.5</v>
      </c>
      <c r="M336" s="28"/>
      <c r="N336" s="7">
        <v>0</v>
      </c>
      <c r="O336" s="7"/>
      <c r="P336" s="24"/>
      <c r="Q336" s="7" t="s">
        <v>48</v>
      </c>
      <c r="R336" s="25"/>
      <c r="S336" s="24"/>
      <c r="T336" s="24" t="s">
        <v>42</v>
      </c>
      <c r="U336" s="24" t="s">
        <v>42</v>
      </c>
      <c r="V336" s="25">
        <v>2285003.09</v>
      </c>
      <c r="W336" s="24"/>
      <c r="X336" s="25"/>
      <c r="Y336" s="13">
        <v>4256</v>
      </c>
      <c r="Z336" s="13">
        <v>10</v>
      </c>
      <c r="AA336" s="13">
        <v>10</v>
      </c>
      <c r="AB336" s="13">
        <v>3</v>
      </c>
      <c r="AC336" s="13">
        <v>2</v>
      </c>
      <c r="AD336" s="13">
        <v>309.22000000000003</v>
      </c>
      <c r="AE336" s="13"/>
      <c r="AF336" s="26">
        <f t="shared" si="19"/>
        <v>0</v>
      </c>
      <c r="AG336" s="27" t="s">
        <v>1433</v>
      </c>
    </row>
    <row r="337" spans="1:33" ht="59.4" customHeight="1" x14ac:dyDescent="0.35">
      <c r="A337" s="15">
        <v>431</v>
      </c>
      <c r="B337" s="16">
        <v>431</v>
      </c>
      <c r="C337" s="17" t="s">
        <v>737</v>
      </c>
      <c r="D337" s="18">
        <v>2017</v>
      </c>
      <c r="E337" s="19" t="s">
        <v>760</v>
      </c>
      <c r="F337" s="16" t="s">
        <v>761</v>
      </c>
      <c r="G337" s="7" t="s">
        <v>46</v>
      </c>
      <c r="H337" s="16" t="s">
        <v>47</v>
      </c>
      <c r="I337" s="20">
        <v>80640</v>
      </c>
      <c r="J337" s="21">
        <v>115.2</v>
      </c>
      <c r="K337" s="16">
        <v>67.2</v>
      </c>
      <c r="L337" s="28"/>
      <c r="M337" s="28"/>
      <c r="N337" s="7" t="s">
        <v>87</v>
      </c>
      <c r="O337" s="7" t="s">
        <v>54</v>
      </c>
      <c r="P337" s="24" t="s">
        <v>88</v>
      </c>
      <c r="Q337" s="7" t="s">
        <v>54</v>
      </c>
      <c r="R337" s="25">
        <v>5401809.1699999999</v>
      </c>
      <c r="S337" s="24"/>
      <c r="T337" s="24" t="s">
        <v>42</v>
      </c>
      <c r="U337" s="24" t="s">
        <v>42</v>
      </c>
      <c r="V337" s="25"/>
      <c r="W337" s="24"/>
      <c r="X337" s="25">
        <v>5396809.1699999999</v>
      </c>
      <c r="Y337" s="13"/>
      <c r="Z337" s="13"/>
      <c r="AA337" s="13"/>
      <c r="AB337" s="13"/>
      <c r="AC337" s="13">
        <v>2</v>
      </c>
      <c r="AD337" s="13"/>
      <c r="AE337" s="13"/>
      <c r="AF337" s="26">
        <f t="shared" si="19"/>
        <v>0</v>
      </c>
    </row>
    <row r="338" spans="1:33" ht="54" x14ac:dyDescent="0.35">
      <c r="A338" s="15">
        <v>432</v>
      </c>
      <c r="B338" s="16">
        <v>432</v>
      </c>
      <c r="C338" s="17" t="s">
        <v>737</v>
      </c>
      <c r="D338" s="18">
        <v>2017</v>
      </c>
      <c r="E338" s="19" t="s">
        <v>762</v>
      </c>
      <c r="F338" s="16" t="s">
        <v>763</v>
      </c>
      <c r="G338" s="7" t="s">
        <v>46</v>
      </c>
      <c r="H338" s="16" t="s">
        <v>47</v>
      </c>
      <c r="I338" s="20">
        <v>30999.65</v>
      </c>
      <c r="J338" s="21">
        <v>65</v>
      </c>
      <c r="K338" s="16">
        <f>3.4*0.9*40</f>
        <v>122.4</v>
      </c>
      <c r="L338" s="22">
        <f>(K338/J338)-1</f>
        <v>0.88307692307692309</v>
      </c>
      <c r="M338" s="28"/>
      <c r="N338" s="7">
        <v>0</v>
      </c>
      <c r="O338" s="7"/>
      <c r="P338" s="24"/>
      <c r="Q338" s="7" t="s">
        <v>48</v>
      </c>
      <c r="R338" s="25"/>
      <c r="S338" s="24"/>
      <c r="T338" s="24"/>
      <c r="U338" s="24"/>
      <c r="V338" s="25"/>
      <c r="W338" s="24"/>
      <c r="X338" s="25"/>
      <c r="Y338" s="13">
        <v>25190</v>
      </c>
      <c r="Z338" s="13">
        <v>18</v>
      </c>
      <c r="AA338" s="13">
        <v>18</v>
      </c>
      <c r="AB338" s="13">
        <v>9</v>
      </c>
      <c r="AC338" s="13">
        <v>2</v>
      </c>
      <c r="AD338" s="13">
        <v>1178.1099999999999</v>
      </c>
      <c r="AE338" s="13">
        <v>1178.1099999999999</v>
      </c>
      <c r="AF338" s="26">
        <f t="shared" si="19"/>
        <v>471.24399999999997</v>
      </c>
      <c r="AG338" s="27" t="s">
        <v>1434</v>
      </c>
    </row>
    <row r="339" spans="1:33" ht="54" x14ac:dyDescent="0.35">
      <c r="A339" s="15">
        <v>433</v>
      </c>
      <c r="B339" s="16">
        <v>433</v>
      </c>
      <c r="C339" s="17" t="s">
        <v>737</v>
      </c>
      <c r="D339" s="18">
        <v>2017</v>
      </c>
      <c r="E339" s="19" t="s">
        <v>764</v>
      </c>
      <c r="F339" s="16" t="s">
        <v>765</v>
      </c>
      <c r="G339" s="7" t="s">
        <v>46</v>
      </c>
      <c r="H339" s="16" t="s">
        <v>47</v>
      </c>
      <c r="I339" s="20">
        <v>63000</v>
      </c>
      <c r="J339" s="21">
        <v>90</v>
      </c>
      <c r="K339" s="16">
        <f>30*3.4*1</f>
        <v>102</v>
      </c>
      <c r="L339" s="22">
        <f>(K339/J339)-1</f>
        <v>0.1333333333333333</v>
      </c>
      <c r="M339" s="28">
        <v>1</v>
      </c>
      <c r="N339" s="7">
        <v>0</v>
      </c>
      <c r="O339" s="7"/>
      <c r="P339" s="24"/>
      <c r="Q339" s="7" t="s">
        <v>48</v>
      </c>
      <c r="R339" s="25"/>
      <c r="S339" s="24"/>
      <c r="T339" s="24" t="s">
        <v>42</v>
      </c>
      <c r="U339" s="24" t="s">
        <v>42</v>
      </c>
      <c r="V339" s="25">
        <v>5204398.07</v>
      </c>
      <c r="W339" s="24"/>
      <c r="X339" s="25"/>
      <c r="Y339" s="13">
        <v>7711</v>
      </c>
      <c r="Z339" s="13">
        <v>12.6</v>
      </c>
      <c r="AA339" s="13">
        <v>13</v>
      </c>
      <c r="AB339" s="13">
        <v>4</v>
      </c>
      <c r="AC339" s="13">
        <v>2</v>
      </c>
      <c r="AD339" s="13">
        <v>479.42</v>
      </c>
      <c r="AE339" s="13"/>
      <c r="AF339" s="26">
        <f t="shared" si="19"/>
        <v>0</v>
      </c>
      <c r="AG339" s="27" t="s">
        <v>1435</v>
      </c>
    </row>
    <row r="340" spans="1:33" ht="54" x14ac:dyDescent="0.35">
      <c r="A340" s="15">
        <v>435</v>
      </c>
      <c r="B340" s="16">
        <v>435</v>
      </c>
      <c r="C340" s="17" t="s">
        <v>737</v>
      </c>
      <c r="D340" s="18">
        <v>2017</v>
      </c>
      <c r="E340" s="19" t="s">
        <v>766</v>
      </c>
      <c r="F340" s="16" t="s">
        <v>767</v>
      </c>
      <c r="G340" s="7" t="s">
        <v>46</v>
      </c>
      <c r="H340" s="16" t="s">
        <v>47</v>
      </c>
      <c r="I340" s="20">
        <v>17500</v>
      </c>
      <c r="J340" s="21">
        <v>25</v>
      </c>
      <c r="K340" s="16">
        <f>10*3.4*1</f>
        <v>34</v>
      </c>
      <c r="L340" s="22">
        <f>(K340/J340)-1</f>
        <v>0.3600000000000001</v>
      </c>
      <c r="M340" s="28"/>
      <c r="N340" s="7">
        <v>0</v>
      </c>
      <c r="O340" s="7"/>
      <c r="P340" s="24"/>
      <c r="Q340" s="7" t="s">
        <v>48</v>
      </c>
      <c r="R340" s="25"/>
      <c r="S340" s="24"/>
      <c r="T340" s="24" t="s">
        <v>42</v>
      </c>
      <c r="U340" s="24" t="s">
        <v>42</v>
      </c>
      <c r="V340" s="25">
        <v>2177576.2599999998</v>
      </c>
      <c r="W340" s="24"/>
      <c r="X340" s="25"/>
      <c r="Y340" s="13">
        <v>5499</v>
      </c>
      <c r="Z340" s="13">
        <v>9</v>
      </c>
      <c r="AA340" s="13">
        <v>9</v>
      </c>
      <c r="AB340" s="13">
        <v>3</v>
      </c>
      <c r="AC340" s="13">
        <v>2</v>
      </c>
      <c r="AD340" s="13">
        <v>365.41</v>
      </c>
      <c r="AE340" s="13"/>
      <c r="AF340" s="26">
        <f t="shared" si="19"/>
        <v>0</v>
      </c>
      <c r="AG340" s="27" t="s">
        <v>1436</v>
      </c>
    </row>
    <row r="341" spans="1:33" ht="65.400000000000006" customHeight="1" x14ac:dyDescent="0.35">
      <c r="A341" s="15">
        <v>436</v>
      </c>
      <c r="B341" s="16">
        <v>436</v>
      </c>
      <c r="C341" s="17" t="s">
        <v>737</v>
      </c>
      <c r="D341" s="18">
        <v>2017</v>
      </c>
      <c r="E341" s="19" t="s">
        <v>768</v>
      </c>
      <c r="F341" s="16" t="s">
        <v>769</v>
      </c>
      <c r="G341" s="7" t="s">
        <v>46</v>
      </c>
      <c r="H341" s="16" t="s">
        <v>47</v>
      </c>
      <c r="I341" s="20">
        <v>49000</v>
      </c>
      <c r="J341" s="21">
        <v>70</v>
      </c>
      <c r="K341" s="16"/>
      <c r="L341" s="28"/>
      <c r="M341" s="28"/>
      <c r="N341" s="7" t="s">
        <v>53</v>
      </c>
      <c r="O341" s="7" t="s">
        <v>54</v>
      </c>
      <c r="P341" s="24"/>
      <c r="Q341" s="7" t="s">
        <v>54</v>
      </c>
      <c r="R341" s="25">
        <v>4226176.8</v>
      </c>
      <c r="S341" s="24"/>
      <c r="T341" s="24" t="s">
        <v>42</v>
      </c>
      <c r="U341" s="24" t="s">
        <v>42</v>
      </c>
      <c r="V341" s="25"/>
      <c r="W341" s="24"/>
      <c r="X341" s="25">
        <v>4221176.8</v>
      </c>
      <c r="Y341" s="13"/>
      <c r="Z341" s="13"/>
      <c r="AA341" s="13"/>
      <c r="AB341" s="13"/>
      <c r="AC341" s="13">
        <v>2</v>
      </c>
      <c r="AD341" s="13"/>
      <c r="AE341" s="13"/>
      <c r="AF341" s="26">
        <f t="shared" si="19"/>
        <v>0</v>
      </c>
    </row>
    <row r="342" spans="1:33" ht="60.6" customHeight="1" x14ac:dyDescent="0.35">
      <c r="A342" s="15">
        <v>437</v>
      </c>
      <c r="B342" s="16">
        <v>437</v>
      </c>
      <c r="C342" s="17" t="s">
        <v>737</v>
      </c>
      <c r="D342" s="18">
        <v>2017</v>
      </c>
      <c r="E342" s="19" t="s">
        <v>770</v>
      </c>
      <c r="F342" s="16" t="s">
        <v>771</v>
      </c>
      <c r="G342" s="7" t="s">
        <v>46</v>
      </c>
      <c r="H342" s="16" t="s">
        <v>47</v>
      </c>
      <c r="I342" s="20">
        <v>33600</v>
      </c>
      <c r="J342" s="21">
        <v>48</v>
      </c>
      <c r="K342" s="16"/>
      <c r="L342" s="28"/>
      <c r="M342" s="28"/>
      <c r="N342" s="7" t="s">
        <v>53</v>
      </c>
      <c r="O342" s="7" t="s">
        <v>54</v>
      </c>
      <c r="P342" s="24"/>
      <c r="Q342" s="7" t="s">
        <v>54</v>
      </c>
      <c r="R342" s="25">
        <v>4737851.18</v>
      </c>
      <c r="S342" s="24"/>
      <c r="T342" s="24" t="s">
        <v>42</v>
      </c>
      <c r="U342" s="24" t="s">
        <v>42</v>
      </c>
      <c r="V342" s="25"/>
      <c r="W342" s="24"/>
      <c r="X342" s="25">
        <v>3016414</v>
      </c>
      <c r="Y342" s="13"/>
      <c r="Z342" s="13"/>
      <c r="AA342" s="13"/>
      <c r="AB342" s="13"/>
      <c r="AC342" s="13">
        <v>2</v>
      </c>
      <c r="AD342" s="13"/>
      <c r="AE342" s="13"/>
      <c r="AF342" s="26">
        <f t="shared" si="19"/>
        <v>0</v>
      </c>
    </row>
    <row r="343" spans="1:33" ht="36" x14ac:dyDescent="0.35">
      <c r="A343" s="15">
        <v>438</v>
      </c>
      <c r="B343" s="16">
        <v>438</v>
      </c>
      <c r="C343" s="17" t="s">
        <v>772</v>
      </c>
      <c r="D343" s="18">
        <v>2017</v>
      </c>
      <c r="E343" s="19" t="s">
        <v>773</v>
      </c>
      <c r="F343" s="16" t="s">
        <v>774</v>
      </c>
      <c r="G343" s="7" t="s">
        <v>38</v>
      </c>
      <c r="H343" s="16" t="s">
        <v>39</v>
      </c>
      <c r="I343" s="20">
        <v>76370</v>
      </c>
      <c r="J343" s="21">
        <v>109.1</v>
      </c>
      <c r="K343" s="16">
        <f>(37*2+13*2)*2.2</f>
        <v>220.00000000000003</v>
      </c>
      <c r="L343" s="22">
        <f>(K343/J343)-1</f>
        <v>1.0164986251145742</v>
      </c>
      <c r="M343" s="28"/>
      <c r="N343" s="7">
        <v>0</v>
      </c>
      <c r="O343" s="7"/>
      <c r="P343" s="24"/>
      <c r="Q343" s="7" t="s">
        <v>48</v>
      </c>
      <c r="R343" s="25"/>
      <c r="S343" s="24"/>
      <c r="T343" s="24"/>
      <c r="U343" s="24"/>
      <c r="V343" s="25"/>
      <c r="W343" s="24"/>
      <c r="X343" s="25"/>
      <c r="Y343" s="13">
        <v>2698</v>
      </c>
      <c r="Z343" s="13">
        <v>6.2</v>
      </c>
      <c r="AA343" s="13">
        <v>7</v>
      </c>
      <c r="AB343" s="13">
        <v>2</v>
      </c>
      <c r="AC343" s="13">
        <v>2</v>
      </c>
      <c r="AD343" s="13">
        <v>263.48</v>
      </c>
      <c r="AE343" s="13">
        <v>263.48</v>
      </c>
      <c r="AF343" s="26">
        <f t="shared" si="19"/>
        <v>105.39200000000001</v>
      </c>
      <c r="AG343" s="27" t="s">
        <v>1437</v>
      </c>
    </row>
    <row r="344" spans="1:33" ht="55.2" customHeight="1" x14ac:dyDescent="0.35">
      <c r="A344" s="15">
        <v>439</v>
      </c>
      <c r="B344" s="16">
        <v>439</v>
      </c>
      <c r="C344" s="17" t="s">
        <v>772</v>
      </c>
      <c r="D344" s="18">
        <v>2017</v>
      </c>
      <c r="E344" s="19" t="s">
        <v>775</v>
      </c>
      <c r="F344" s="16" t="s">
        <v>776</v>
      </c>
      <c r="G344" s="7" t="s">
        <v>46</v>
      </c>
      <c r="H344" s="16" t="s">
        <v>47</v>
      </c>
      <c r="I344" s="20">
        <v>74494.55</v>
      </c>
      <c r="J344" s="21">
        <v>156.19999999999999</v>
      </c>
      <c r="K344" s="16"/>
      <c r="L344" s="28"/>
      <c r="M344" s="28"/>
      <c r="N344" s="7" t="s">
        <v>87</v>
      </c>
      <c r="O344" s="7" t="s">
        <v>54</v>
      </c>
      <c r="P344" s="24" t="s">
        <v>88</v>
      </c>
      <c r="Q344" s="7" t="s">
        <v>54</v>
      </c>
      <c r="R344" s="25">
        <v>8773556.7100000009</v>
      </c>
      <c r="S344" s="24"/>
      <c r="T344" s="24" t="s">
        <v>42</v>
      </c>
      <c r="U344" s="24" t="s">
        <v>42</v>
      </c>
      <c r="V344" s="25"/>
      <c r="W344" s="24"/>
      <c r="X344" s="25">
        <v>8768556.7100000009</v>
      </c>
      <c r="Y344" s="13"/>
      <c r="Z344" s="13"/>
      <c r="AA344" s="13"/>
      <c r="AB344" s="13"/>
      <c r="AC344" s="13">
        <v>2</v>
      </c>
      <c r="AD344" s="13"/>
      <c r="AE344" s="13"/>
      <c r="AF344" s="26">
        <f t="shared" si="19"/>
        <v>0</v>
      </c>
    </row>
    <row r="345" spans="1:33" ht="36" x14ac:dyDescent="0.35">
      <c r="A345" s="15">
        <v>440</v>
      </c>
      <c r="B345" s="16">
        <v>440</v>
      </c>
      <c r="C345" s="17" t="s">
        <v>772</v>
      </c>
      <c r="D345" s="18">
        <v>2017</v>
      </c>
      <c r="E345" s="19" t="s">
        <v>777</v>
      </c>
      <c r="F345" s="16" t="s">
        <v>778</v>
      </c>
      <c r="G345" s="7" t="s">
        <v>38</v>
      </c>
      <c r="H345" s="16" t="s">
        <v>39</v>
      </c>
      <c r="I345" s="20">
        <v>37324</v>
      </c>
      <c r="J345" s="21">
        <v>53.32</v>
      </c>
      <c r="K345" s="16">
        <f>(32*2+13.2*2)*2.2</f>
        <v>198.88000000000002</v>
      </c>
      <c r="L345" s="22">
        <f>(K345/J345)-1</f>
        <v>2.7299324831207805</v>
      </c>
      <c r="M345" s="28"/>
      <c r="N345" s="7">
        <v>0</v>
      </c>
      <c r="O345" s="7"/>
      <c r="P345" s="24"/>
      <c r="Q345" s="7" t="s">
        <v>48</v>
      </c>
      <c r="R345" s="25"/>
      <c r="S345" s="24"/>
      <c r="T345" s="24"/>
      <c r="U345" s="24"/>
      <c r="V345" s="25"/>
      <c r="W345" s="24"/>
      <c r="X345" s="25"/>
      <c r="Y345" s="13">
        <v>2282</v>
      </c>
      <c r="Z345" s="13">
        <v>6</v>
      </c>
      <c r="AA345" s="13">
        <v>6</v>
      </c>
      <c r="AB345" s="13">
        <v>2</v>
      </c>
      <c r="AC345" s="13">
        <v>2</v>
      </c>
      <c r="AD345" s="13">
        <v>248.13</v>
      </c>
      <c r="AE345" s="13">
        <v>248.13</v>
      </c>
      <c r="AF345" s="26">
        <f t="shared" si="19"/>
        <v>99.25200000000001</v>
      </c>
      <c r="AG345" s="27" t="s">
        <v>1438</v>
      </c>
    </row>
    <row r="346" spans="1:33" ht="54" x14ac:dyDescent="0.35">
      <c r="A346" s="15">
        <v>441</v>
      </c>
      <c r="B346" s="16">
        <v>441</v>
      </c>
      <c r="C346" s="17" t="s">
        <v>772</v>
      </c>
      <c r="D346" s="18">
        <v>2017</v>
      </c>
      <c r="E346" s="19" t="s">
        <v>779</v>
      </c>
      <c r="F346" s="16" t="s">
        <v>780</v>
      </c>
      <c r="G346" s="7" t="s">
        <v>38</v>
      </c>
      <c r="H346" s="16" t="s">
        <v>39</v>
      </c>
      <c r="I346" s="20">
        <v>71400</v>
      </c>
      <c r="J346" s="21">
        <v>102</v>
      </c>
      <c r="K346" s="16">
        <f>(41*2+41*2)*2.2</f>
        <v>360.8</v>
      </c>
      <c r="L346" s="22">
        <f>(K346/J346)-1</f>
        <v>2.5372549019607846</v>
      </c>
      <c r="M346" s="28" t="s">
        <v>375</v>
      </c>
      <c r="N346" s="7">
        <v>0</v>
      </c>
      <c r="O346" s="7"/>
      <c r="P346" s="24"/>
      <c r="Q346" s="7" t="s">
        <v>48</v>
      </c>
      <c r="R346" s="25"/>
      <c r="S346" s="24"/>
      <c r="T346" s="24"/>
      <c r="U346" s="24"/>
      <c r="V346" s="25"/>
      <c r="W346" s="24"/>
      <c r="X346" s="25"/>
      <c r="Y346" s="13">
        <v>6720</v>
      </c>
      <c r="Z346" s="13">
        <v>7</v>
      </c>
      <c r="AA346" s="13">
        <v>7</v>
      </c>
      <c r="AB346" s="13">
        <v>2</v>
      </c>
      <c r="AC346" s="13">
        <v>2</v>
      </c>
      <c r="AD346" s="13">
        <v>439.02</v>
      </c>
      <c r="AE346" s="13">
        <v>439.02</v>
      </c>
      <c r="AF346" s="26">
        <f t="shared" si="19"/>
        <v>175.608</v>
      </c>
      <c r="AG346" s="27" t="s">
        <v>1439</v>
      </c>
    </row>
    <row r="347" spans="1:33" ht="43.8" customHeight="1" x14ac:dyDescent="0.35">
      <c r="A347" s="15">
        <v>442</v>
      </c>
      <c r="B347" s="16">
        <v>442</v>
      </c>
      <c r="C347" s="17" t="s">
        <v>772</v>
      </c>
      <c r="D347" s="18">
        <v>2017</v>
      </c>
      <c r="E347" s="19" t="s">
        <v>781</v>
      </c>
      <c r="F347" s="16" t="s">
        <v>782</v>
      </c>
      <c r="G347" s="7" t="s">
        <v>38</v>
      </c>
      <c r="H347" s="16" t="s">
        <v>39</v>
      </c>
      <c r="I347" s="20">
        <v>50400</v>
      </c>
      <c r="J347" s="21">
        <v>72</v>
      </c>
      <c r="K347" s="16">
        <f>(28*2+12*2)*2.2</f>
        <v>176</v>
      </c>
      <c r="L347" s="22">
        <f>(K347/J347)-1</f>
        <v>1.4444444444444446</v>
      </c>
      <c r="M347" s="28" t="s">
        <v>375</v>
      </c>
      <c r="N347" s="7">
        <v>0</v>
      </c>
      <c r="O347" s="7" t="s">
        <v>41</v>
      </c>
      <c r="P347" s="24"/>
      <c r="Q347" s="7" t="s">
        <v>41</v>
      </c>
      <c r="R347" s="25"/>
      <c r="S347" s="24"/>
      <c r="T347" s="24" t="s">
        <v>42</v>
      </c>
      <c r="U347" s="24" t="s">
        <v>42</v>
      </c>
      <c r="V347" s="25"/>
      <c r="W347" s="24"/>
      <c r="X347" s="25">
        <v>2753736.43</v>
      </c>
      <c r="Y347" s="13">
        <v>1977</v>
      </c>
      <c r="Z347" s="13">
        <v>5.88</v>
      </c>
      <c r="AA347" s="13">
        <v>6</v>
      </c>
      <c r="AB347" s="13">
        <v>2</v>
      </c>
      <c r="AC347" s="13">
        <v>2</v>
      </c>
      <c r="AD347" s="13">
        <v>234.45</v>
      </c>
      <c r="AE347" s="13"/>
      <c r="AF347" s="26">
        <f t="shared" si="19"/>
        <v>0</v>
      </c>
      <c r="AG347" s="27" t="s">
        <v>1440</v>
      </c>
    </row>
    <row r="348" spans="1:33" ht="64.8" customHeight="1" x14ac:dyDescent="0.35">
      <c r="A348" s="15">
        <v>443</v>
      </c>
      <c r="B348" s="16">
        <v>443</v>
      </c>
      <c r="C348" s="17" t="s">
        <v>772</v>
      </c>
      <c r="D348" s="18">
        <v>2017</v>
      </c>
      <c r="E348" s="19" t="s">
        <v>783</v>
      </c>
      <c r="F348" s="16" t="s">
        <v>784</v>
      </c>
      <c r="G348" s="7" t="s">
        <v>46</v>
      </c>
      <c r="H348" s="16" t="s">
        <v>47</v>
      </c>
      <c r="I348" s="20">
        <v>5723.01</v>
      </c>
      <c r="J348" s="21">
        <v>12</v>
      </c>
      <c r="K348" s="16">
        <v>90</v>
      </c>
      <c r="L348" s="28"/>
      <c r="M348" s="28"/>
      <c r="N348" s="7" t="s">
        <v>365</v>
      </c>
      <c r="O348" s="7" t="s">
        <v>54</v>
      </c>
      <c r="P348" s="24" t="s">
        <v>88</v>
      </c>
      <c r="Q348" s="7" t="s">
        <v>54</v>
      </c>
      <c r="R348" s="25">
        <v>5284230.78</v>
      </c>
      <c r="S348" s="24"/>
      <c r="T348" s="24" t="s">
        <v>42</v>
      </c>
      <c r="U348" s="24" t="s">
        <v>42</v>
      </c>
      <c r="V348" s="25"/>
      <c r="W348" s="24"/>
      <c r="X348" s="25">
        <v>5279230.78</v>
      </c>
      <c r="Y348" s="13"/>
      <c r="Z348" s="13"/>
      <c r="AA348" s="13"/>
      <c r="AB348" s="13"/>
      <c r="AC348" s="13">
        <v>2</v>
      </c>
      <c r="AD348" s="13"/>
      <c r="AE348" s="13"/>
      <c r="AF348" s="26">
        <f t="shared" si="19"/>
        <v>0</v>
      </c>
    </row>
    <row r="349" spans="1:33" ht="60" customHeight="1" x14ac:dyDescent="0.35">
      <c r="A349" s="15">
        <v>444</v>
      </c>
      <c r="B349" s="16">
        <v>444</v>
      </c>
      <c r="C349" s="17" t="s">
        <v>772</v>
      </c>
      <c r="D349" s="18">
        <v>2017</v>
      </c>
      <c r="E349" s="19" t="s">
        <v>785</v>
      </c>
      <c r="F349" s="16" t="s">
        <v>786</v>
      </c>
      <c r="G349" s="7" t="s">
        <v>46</v>
      </c>
      <c r="H349" s="16" t="s">
        <v>47</v>
      </c>
      <c r="I349" s="20">
        <v>5723.01</v>
      </c>
      <c r="J349" s="21">
        <v>12</v>
      </c>
      <c r="K349" s="16">
        <v>90</v>
      </c>
      <c r="L349" s="28"/>
      <c r="M349" s="28"/>
      <c r="N349" s="7" t="s">
        <v>87</v>
      </c>
      <c r="O349" s="7" t="s">
        <v>54</v>
      </c>
      <c r="P349" s="24" t="s">
        <v>88</v>
      </c>
      <c r="Q349" s="7" t="s">
        <v>54</v>
      </c>
      <c r="R349" s="25">
        <v>5239474.2699999996</v>
      </c>
      <c r="S349" s="24"/>
      <c r="T349" s="24" t="s">
        <v>42</v>
      </c>
      <c r="U349" s="24" t="s">
        <v>42</v>
      </c>
      <c r="V349" s="25"/>
      <c r="W349" s="24"/>
      <c r="X349" s="25">
        <v>5234474.2699999996</v>
      </c>
      <c r="Y349" s="13"/>
      <c r="Z349" s="13"/>
      <c r="AA349" s="13"/>
      <c r="AB349" s="13"/>
      <c r="AC349" s="13">
        <v>2</v>
      </c>
      <c r="AD349" s="13"/>
      <c r="AE349" s="13"/>
      <c r="AF349" s="26">
        <f t="shared" si="19"/>
        <v>0</v>
      </c>
    </row>
    <row r="350" spans="1:33" ht="36" x14ac:dyDescent="0.35">
      <c r="A350" s="15">
        <v>445</v>
      </c>
      <c r="B350" s="16">
        <v>445</v>
      </c>
      <c r="C350" s="17" t="s">
        <v>772</v>
      </c>
      <c r="D350" s="18">
        <v>2018</v>
      </c>
      <c r="E350" s="19" t="s">
        <v>787</v>
      </c>
      <c r="F350" s="16" t="s">
        <v>788</v>
      </c>
      <c r="G350" s="7" t="s">
        <v>38</v>
      </c>
      <c r="H350" s="16" t="s">
        <v>39</v>
      </c>
      <c r="I350" s="20">
        <v>107800</v>
      </c>
      <c r="J350" s="21">
        <v>140</v>
      </c>
      <c r="K350" s="16">
        <f>(55*2+12*2)*2.2</f>
        <v>294.8</v>
      </c>
      <c r="L350" s="22">
        <f>(K350/J350)-1</f>
        <v>1.1057142857142859</v>
      </c>
      <c r="M350" s="28"/>
      <c r="N350" s="7">
        <v>0</v>
      </c>
      <c r="O350" s="7"/>
      <c r="P350" s="24"/>
      <c r="Q350" s="7" t="s">
        <v>48</v>
      </c>
      <c r="R350" s="25"/>
      <c r="S350" s="24"/>
      <c r="T350" s="24"/>
      <c r="U350" s="24"/>
      <c r="V350" s="25"/>
      <c r="W350" s="24"/>
      <c r="X350" s="25"/>
      <c r="Y350" s="13">
        <v>8328</v>
      </c>
      <c r="Z350" s="13">
        <v>12.13</v>
      </c>
      <c r="AA350" s="13">
        <v>13</v>
      </c>
      <c r="AB350" s="13">
        <v>4</v>
      </c>
      <c r="AC350" s="13">
        <v>2</v>
      </c>
      <c r="AD350" s="13">
        <v>625.45000000000005</v>
      </c>
      <c r="AE350" s="13">
        <v>625.45000000000005</v>
      </c>
      <c r="AF350" s="26">
        <f t="shared" si="19"/>
        <v>250.18000000000004</v>
      </c>
      <c r="AG350" s="27" t="s">
        <v>1441</v>
      </c>
    </row>
    <row r="351" spans="1:33" ht="57.6" customHeight="1" x14ac:dyDescent="0.35">
      <c r="A351" s="15">
        <v>447</v>
      </c>
      <c r="B351" s="16">
        <v>447</v>
      </c>
      <c r="C351" s="17" t="s">
        <v>772</v>
      </c>
      <c r="D351" s="18">
        <v>2017</v>
      </c>
      <c r="E351" s="19" t="s">
        <v>789</v>
      </c>
      <c r="F351" s="16" t="s">
        <v>790</v>
      </c>
      <c r="G351" s="7" t="s">
        <v>46</v>
      </c>
      <c r="H351" s="16" t="s">
        <v>47</v>
      </c>
      <c r="I351" s="20">
        <v>33384.239999999998</v>
      </c>
      <c r="J351" s="21">
        <v>70</v>
      </c>
      <c r="K351" s="16">
        <v>168</v>
      </c>
      <c r="L351" s="28"/>
      <c r="M351" s="28"/>
      <c r="N351" s="7" t="s">
        <v>87</v>
      </c>
      <c r="O351" s="7" t="s">
        <v>54</v>
      </c>
      <c r="P351" s="24" t="s">
        <v>88</v>
      </c>
      <c r="Q351" s="7" t="s">
        <v>54</v>
      </c>
      <c r="R351" s="25">
        <v>9185383.6199999992</v>
      </c>
      <c r="S351" s="24"/>
      <c r="T351" s="24" t="s">
        <v>42</v>
      </c>
      <c r="U351" s="24" t="s">
        <v>42</v>
      </c>
      <c r="V351" s="25"/>
      <c r="W351" s="24"/>
      <c r="X351" s="25">
        <v>9180383.6199999992</v>
      </c>
      <c r="Y351" s="13"/>
      <c r="Z351" s="13"/>
      <c r="AA351" s="13"/>
      <c r="AB351" s="13"/>
      <c r="AC351" s="13">
        <v>2</v>
      </c>
      <c r="AD351" s="13"/>
      <c r="AE351" s="13"/>
      <c r="AF351" s="26">
        <f t="shared" si="19"/>
        <v>0</v>
      </c>
    </row>
    <row r="352" spans="1:33" ht="59.4" customHeight="1" x14ac:dyDescent="0.35">
      <c r="A352" s="15">
        <v>450</v>
      </c>
      <c r="B352" s="16">
        <v>450</v>
      </c>
      <c r="C352" s="17" t="s">
        <v>791</v>
      </c>
      <c r="D352" s="18">
        <v>2017</v>
      </c>
      <c r="E352" s="19" t="s">
        <v>792</v>
      </c>
      <c r="F352" s="16" t="s">
        <v>793</v>
      </c>
      <c r="G352" s="7" t="s">
        <v>554</v>
      </c>
      <c r="H352" s="16" t="s">
        <v>555</v>
      </c>
      <c r="I352" s="20">
        <v>32760</v>
      </c>
      <c r="J352" s="21">
        <v>46.8</v>
      </c>
      <c r="K352" s="16">
        <v>96</v>
      </c>
      <c r="L352" s="28"/>
      <c r="M352" s="28"/>
      <c r="N352" s="7" t="s">
        <v>87</v>
      </c>
      <c r="O352" s="7" t="s">
        <v>54</v>
      </c>
      <c r="P352" s="24" t="s">
        <v>88</v>
      </c>
      <c r="Q352" s="7" t="s">
        <v>54</v>
      </c>
      <c r="R352" s="25">
        <v>5516096.3399999999</v>
      </c>
      <c r="S352" s="24"/>
      <c r="T352" s="24"/>
      <c r="U352" s="24"/>
      <c r="V352" s="48">
        <v>5516096.3399999999</v>
      </c>
      <c r="W352" s="24"/>
      <c r="X352" s="25"/>
      <c r="Y352" s="13">
        <v>6990</v>
      </c>
      <c r="Z352" s="13">
        <v>12</v>
      </c>
      <c r="AA352" s="13">
        <v>12</v>
      </c>
      <c r="AB352" s="13">
        <v>4</v>
      </c>
      <c r="AC352" s="13">
        <v>2</v>
      </c>
      <c r="AD352" s="13">
        <v>463.44</v>
      </c>
      <c r="AE352" s="13">
        <v>463.44</v>
      </c>
      <c r="AF352" s="26">
        <f t="shared" si="19"/>
        <v>185.376</v>
      </c>
      <c r="AG352" s="27" t="s">
        <v>1442</v>
      </c>
    </row>
    <row r="353" spans="1:33" ht="36" x14ac:dyDescent="0.35">
      <c r="A353" s="15">
        <v>455</v>
      </c>
      <c r="B353" s="16">
        <v>455</v>
      </c>
      <c r="C353" s="17" t="s">
        <v>791</v>
      </c>
      <c r="D353" s="18">
        <v>2016</v>
      </c>
      <c r="E353" s="19" t="s">
        <v>794</v>
      </c>
      <c r="F353" s="16" t="s">
        <v>795</v>
      </c>
      <c r="G353" s="7" t="s">
        <v>38</v>
      </c>
      <c r="H353" s="16" t="s">
        <v>39</v>
      </c>
      <c r="I353" s="20">
        <v>60200</v>
      </c>
      <c r="J353" s="21">
        <v>86</v>
      </c>
      <c r="K353" s="16">
        <f>(25.2*2+17.8*2)*1.8</f>
        <v>154.80000000000001</v>
      </c>
      <c r="L353" s="22">
        <f t="shared" ref="L353:L358" si="20">(K353/J353)-1</f>
        <v>0.8</v>
      </c>
      <c r="M353" s="28"/>
      <c r="N353" s="7">
        <v>0</v>
      </c>
      <c r="O353" s="7"/>
      <c r="P353" s="24"/>
      <c r="Q353" s="7" t="s">
        <v>48</v>
      </c>
      <c r="R353" s="25"/>
      <c r="S353" s="24"/>
      <c r="T353" s="24"/>
      <c r="U353" s="24"/>
      <c r="V353" s="25"/>
      <c r="W353" s="24"/>
      <c r="X353" s="25"/>
      <c r="Y353" s="13">
        <v>1698</v>
      </c>
      <c r="Z353" s="13">
        <v>6</v>
      </c>
      <c r="AA353" s="13">
        <v>6</v>
      </c>
      <c r="AB353" s="13">
        <v>2</v>
      </c>
      <c r="AC353" s="13">
        <v>2</v>
      </c>
      <c r="AD353" s="13">
        <v>221.93</v>
      </c>
      <c r="AE353" s="13">
        <v>221.93</v>
      </c>
      <c r="AF353" s="26">
        <f t="shared" si="19"/>
        <v>88.772000000000006</v>
      </c>
      <c r="AG353" s="27" t="s">
        <v>1443</v>
      </c>
    </row>
    <row r="354" spans="1:33" ht="36" x14ac:dyDescent="0.35">
      <c r="A354" s="15">
        <v>457</v>
      </c>
      <c r="B354" s="16">
        <v>457</v>
      </c>
      <c r="C354" s="17" t="s">
        <v>791</v>
      </c>
      <c r="D354" s="18">
        <v>2016</v>
      </c>
      <c r="E354" s="19" t="s">
        <v>796</v>
      </c>
      <c r="F354" s="16" t="s">
        <v>797</v>
      </c>
      <c r="G354" s="7" t="s">
        <v>38</v>
      </c>
      <c r="H354" s="16" t="s">
        <v>39</v>
      </c>
      <c r="I354" s="20">
        <v>32200</v>
      </c>
      <c r="J354" s="21">
        <v>46</v>
      </c>
      <c r="K354" s="16">
        <f>(13.58*2+9.4*2)*1.8</f>
        <v>82.728000000000009</v>
      </c>
      <c r="L354" s="22">
        <f t="shared" si="20"/>
        <v>0.79843478260869594</v>
      </c>
      <c r="M354" s="28"/>
      <c r="N354" s="7">
        <v>0</v>
      </c>
      <c r="O354" s="7"/>
      <c r="P354" s="24"/>
      <c r="Q354" s="7" t="s">
        <v>48</v>
      </c>
      <c r="R354" s="25"/>
      <c r="S354" s="24"/>
      <c r="T354" s="24"/>
      <c r="U354" s="24"/>
      <c r="V354" s="25"/>
      <c r="W354" s="24"/>
      <c r="X354" s="25"/>
      <c r="Y354" s="13">
        <v>7798</v>
      </c>
      <c r="Z354" s="13">
        <v>6</v>
      </c>
      <c r="AA354" s="13">
        <v>6</v>
      </c>
      <c r="AB354" s="13">
        <v>2</v>
      </c>
      <c r="AC354" s="13">
        <v>2</v>
      </c>
      <c r="AD354" s="13">
        <v>495.65</v>
      </c>
      <c r="AE354" s="13">
        <v>495.65</v>
      </c>
      <c r="AF354" s="26">
        <f t="shared" si="19"/>
        <v>198.26</v>
      </c>
      <c r="AG354" s="27" t="s">
        <v>1444</v>
      </c>
    </row>
    <row r="355" spans="1:33" ht="36" x14ac:dyDescent="0.35">
      <c r="A355" s="15">
        <v>459</v>
      </c>
      <c r="B355" s="16">
        <v>459</v>
      </c>
      <c r="C355" s="17" t="s">
        <v>791</v>
      </c>
      <c r="D355" s="18">
        <v>2016</v>
      </c>
      <c r="E355" s="19" t="s">
        <v>798</v>
      </c>
      <c r="F355" s="16" t="s">
        <v>799</v>
      </c>
      <c r="G355" s="7" t="s">
        <v>38</v>
      </c>
      <c r="H355" s="16" t="s">
        <v>39</v>
      </c>
      <c r="I355" s="20">
        <v>36400</v>
      </c>
      <c r="J355" s="21">
        <v>52</v>
      </c>
      <c r="K355" s="16">
        <f>(20.85*2+9.1*2)*2.2</f>
        <v>131.78000000000003</v>
      </c>
      <c r="L355" s="22">
        <f t="shared" si="20"/>
        <v>1.5342307692307697</v>
      </c>
      <c r="M355" s="28"/>
      <c r="N355" s="7">
        <v>0</v>
      </c>
      <c r="O355" s="7"/>
      <c r="P355" s="24"/>
      <c r="Q355" s="7" t="s">
        <v>48</v>
      </c>
      <c r="R355" s="25"/>
      <c r="S355" s="24"/>
      <c r="T355" s="24"/>
      <c r="U355" s="24"/>
      <c r="V355" s="25"/>
      <c r="W355" s="24"/>
      <c r="X355" s="25"/>
      <c r="Y355" s="13">
        <v>1171</v>
      </c>
      <c r="Z355" s="13">
        <v>6</v>
      </c>
      <c r="AA355" s="13">
        <v>6</v>
      </c>
      <c r="AB355" s="13">
        <v>2</v>
      </c>
      <c r="AC355" s="13">
        <v>2</v>
      </c>
      <c r="AD355" s="13">
        <v>198.28</v>
      </c>
      <c r="AE355" s="13">
        <v>198.28</v>
      </c>
      <c r="AF355" s="26">
        <f t="shared" si="19"/>
        <v>79.312000000000012</v>
      </c>
      <c r="AG355" s="27" t="s">
        <v>1445</v>
      </c>
    </row>
    <row r="356" spans="1:33" ht="36" x14ac:dyDescent="0.35">
      <c r="A356" s="15">
        <v>461</v>
      </c>
      <c r="B356" s="16">
        <v>461</v>
      </c>
      <c r="C356" s="17" t="s">
        <v>791</v>
      </c>
      <c r="D356" s="18">
        <v>2016</v>
      </c>
      <c r="E356" s="19" t="s">
        <v>800</v>
      </c>
      <c r="F356" s="16" t="s">
        <v>801</v>
      </c>
      <c r="G356" s="7" t="s">
        <v>38</v>
      </c>
      <c r="H356" s="16" t="s">
        <v>39</v>
      </c>
      <c r="I356" s="20">
        <v>42000</v>
      </c>
      <c r="J356" s="21">
        <v>60</v>
      </c>
      <c r="K356" s="16">
        <f>(19.9*2+8.64*2)*2.2</f>
        <v>125.57600000000001</v>
      </c>
      <c r="L356" s="22">
        <f t="shared" si="20"/>
        <v>1.0929333333333333</v>
      </c>
      <c r="M356" s="28"/>
      <c r="N356" s="7">
        <v>0</v>
      </c>
      <c r="O356" s="7"/>
      <c r="P356" s="24"/>
      <c r="Q356" s="7" t="s">
        <v>48</v>
      </c>
      <c r="R356" s="25"/>
      <c r="S356" s="24"/>
      <c r="T356" s="24"/>
      <c r="U356" s="24"/>
      <c r="V356" s="25"/>
      <c r="W356" s="24"/>
      <c r="X356" s="25"/>
      <c r="Y356" s="13">
        <v>482</v>
      </c>
      <c r="Z356" s="13">
        <v>2.7</v>
      </c>
      <c r="AA356" s="13">
        <v>4</v>
      </c>
      <c r="AB356" s="13">
        <v>1</v>
      </c>
      <c r="AC356" s="13">
        <v>2</v>
      </c>
      <c r="AD356" s="13">
        <v>117.8</v>
      </c>
      <c r="AE356" s="13">
        <v>117.8</v>
      </c>
      <c r="AF356" s="26">
        <f t="shared" si="19"/>
        <v>47.120000000000005</v>
      </c>
      <c r="AG356" s="27" t="s">
        <v>1446</v>
      </c>
    </row>
    <row r="357" spans="1:33" ht="36" x14ac:dyDescent="0.35">
      <c r="A357" s="15">
        <v>463</v>
      </c>
      <c r="B357" s="16">
        <v>463</v>
      </c>
      <c r="C357" s="17" t="s">
        <v>791</v>
      </c>
      <c r="D357" s="18">
        <v>2017</v>
      </c>
      <c r="E357" s="19" t="s">
        <v>802</v>
      </c>
      <c r="F357" s="16" t="s">
        <v>803</v>
      </c>
      <c r="G357" s="7" t="s">
        <v>38</v>
      </c>
      <c r="H357" s="16" t="s">
        <v>39</v>
      </c>
      <c r="I357" s="20">
        <v>62454</v>
      </c>
      <c r="J357" s="21">
        <v>89.22</v>
      </c>
      <c r="K357" s="16">
        <f>(12.64*2+34.6*2)*2.2</f>
        <v>207.85600000000002</v>
      </c>
      <c r="L357" s="22">
        <f t="shared" si="20"/>
        <v>1.3297018605693793</v>
      </c>
      <c r="M357" s="28"/>
      <c r="N357" s="7">
        <v>0</v>
      </c>
      <c r="O357" s="7"/>
      <c r="P357" s="24"/>
      <c r="Q357" s="7" t="s">
        <v>48</v>
      </c>
      <c r="R357" s="25"/>
      <c r="S357" s="24"/>
      <c r="T357" s="24"/>
      <c r="U357" s="24"/>
      <c r="V357" s="25"/>
      <c r="W357" s="24"/>
      <c r="X357" s="25"/>
      <c r="Y357" s="13">
        <v>2797</v>
      </c>
      <c r="Z357" s="13">
        <v>6.3</v>
      </c>
      <c r="AA357" s="13">
        <v>7</v>
      </c>
      <c r="AB357" s="13">
        <v>2</v>
      </c>
      <c r="AC357" s="13">
        <v>2</v>
      </c>
      <c r="AD357" s="13">
        <v>267.8</v>
      </c>
      <c r="AE357" s="13">
        <v>267.8</v>
      </c>
      <c r="AF357" s="26">
        <f t="shared" si="19"/>
        <v>107.12</v>
      </c>
      <c r="AG357" s="27" t="s">
        <v>1447</v>
      </c>
    </row>
    <row r="358" spans="1:33" ht="36" x14ac:dyDescent="0.35">
      <c r="A358" s="15">
        <v>464</v>
      </c>
      <c r="B358" s="16">
        <v>464</v>
      </c>
      <c r="C358" s="17" t="s">
        <v>791</v>
      </c>
      <c r="D358" s="18">
        <v>2016</v>
      </c>
      <c r="E358" s="19" t="s">
        <v>804</v>
      </c>
      <c r="F358" s="16" t="s">
        <v>805</v>
      </c>
      <c r="G358" s="7" t="s">
        <v>38</v>
      </c>
      <c r="H358" s="16" t="s">
        <v>39</v>
      </c>
      <c r="I358" s="20">
        <v>48300</v>
      </c>
      <c r="J358" s="21">
        <v>69</v>
      </c>
      <c r="K358" s="16">
        <f>(16.3*2+38.79*2)*2.2</f>
        <v>242.39600000000004</v>
      </c>
      <c r="L358" s="22">
        <f t="shared" si="20"/>
        <v>2.5129855072463774</v>
      </c>
      <c r="M358" s="28"/>
      <c r="N358" s="7">
        <v>0</v>
      </c>
      <c r="O358" s="7"/>
      <c r="P358" s="24"/>
      <c r="Q358" s="7" t="s">
        <v>48</v>
      </c>
      <c r="R358" s="25"/>
      <c r="S358" s="24"/>
      <c r="T358" s="24"/>
      <c r="U358" s="24"/>
      <c r="V358" s="25"/>
      <c r="W358" s="24"/>
      <c r="X358" s="25"/>
      <c r="Y358" s="13">
        <v>7117</v>
      </c>
      <c r="Z358" s="13">
        <v>12</v>
      </c>
      <c r="AA358" s="13">
        <v>12</v>
      </c>
      <c r="AB358" s="13">
        <v>4</v>
      </c>
      <c r="AC358" s="13">
        <v>2</v>
      </c>
      <c r="AD358" s="13">
        <v>590.27</v>
      </c>
      <c r="AE358" s="13">
        <v>590.27</v>
      </c>
      <c r="AF358" s="26">
        <f t="shared" si="19"/>
        <v>236.108</v>
      </c>
      <c r="AG358" s="27" t="s">
        <v>1448</v>
      </c>
    </row>
    <row r="359" spans="1:33" ht="54" x14ac:dyDescent="0.35">
      <c r="A359" s="15">
        <v>465</v>
      </c>
      <c r="B359" s="16">
        <v>465</v>
      </c>
      <c r="C359" s="17" t="s">
        <v>791</v>
      </c>
      <c r="D359" s="18">
        <v>2016</v>
      </c>
      <c r="E359" s="19" t="s">
        <v>806</v>
      </c>
      <c r="F359" s="16" t="s">
        <v>807</v>
      </c>
      <c r="G359" s="7" t="s">
        <v>46</v>
      </c>
      <c r="H359" s="16" t="s">
        <v>47</v>
      </c>
      <c r="I359" s="20">
        <v>50400</v>
      </c>
      <c r="J359" s="21">
        <v>72</v>
      </c>
      <c r="K359" s="16"/>
      <c r="L359" s="28"/>
      <c r="M359" s="28"/>
      <c r="N359" s="7" t="s">
        <v>561</v>
      </c>
      <c r="O359" s="7"/>
      <c r="P359" s="24"/>
      <c r="Q359" s="7" t="s">
        <v>48</v>
      </c>
      <c r="R359" s="25"/>
      <c r="S359" s="24"/>
      <c r="T359" s="24" t="s">
        <v>42</v>
      </c>
      <c r="U359" s="24" t="s">
        <v>42</v>
      </c>
      <c r="V359" s="25">
        <v>3556394.35</v>
      </c>
      <c r="W359" s="24"/>
      <c r="X359" s="25"/>
      <c r="Y359" s="13">
        <v>8622</v>
      </c>
      <c r="Z359" s="13">
        <v>12</v>
      </c>
      <c r="AA359" s="13">
        <v>12</v>
      </c>
      <c r="AB359" s="13">
        <v>4</v>
      </c>
      <c r="AC359" s="13">
        <v>2</v>
      </c>
      <c r="AD359" s="13">
        <v>524</v>
      </c>
      <c r="AE359" s="13"/>
      <c r="AF359" s="26">
        <f t="shared" si="19"/>
        <v>0</v>
      </c>
      <c r="AG359" s="27" t="s">
        <v>1449</v>
      </c>
    </row>
    <row r="360" spans="1:33" ht="45" customHeight="1" x14ac:dyDescent="0.35">
      <c r="A360" s="15">
        <v>466</v>
      </c>
      <c r="B360" s="16">
        <v>466</v>
      </c>
      <c r="C360" s="17" t="s">
        <v>791</v>
      </c>
      <c r="D360" s="18">
        <v>2018</v>
      </c>
      <c r="E360" s="19" t="s">
        <v>808</v>
      </c>
      <c r="F360" s="16" t="s">
        <v>809</v>
      </c>
      <c r="G360" s="7" t="s">
        <v>38</v>
      </c>
      <c r="H360" s="16" t="s">
        <v>39</v>
      </c>
      <c r="I360" s="20">
        <v>252560</v>
      </c>
      <c r="J360" s="21">
        <v>328</v>
      </c>
      <c r="K360" s="16">
        <f>(96.46*2+12.9*2)*1.8</f>
        <v>393.69600000000003</v>
      </c>
      <c r="L360" s="22">
        <f>(K360/J360)-1</f>
        <v>0.20029268292682945</v>
      </c>
      <c r="M360" s="28" t="s">
        <v>375</v>
      </c>
      <c r="N360" s="7">
        <v>0</v>
      </c>
      <c r="O360" s="7" t="s">
        <v>41</v>
      </c>
      <c r="P360" s="24"/>
      <c r="Q360" s="7" t="s">
        <v>41</v>
      </c>
      <c r="R360" s="25"/>
      <c r="S360" s="24"/>
      <c r="T360" s="24" t="s">
        <v>42</v>
      </c>
      <c r="U360" s="24" t="s">
        <v>42</v>
      </c>
      <c r="V360" s="25"/>
      <c r="W360" s="24"/>
      <c r="X360" s="25">
        <v>13685778.34</v>
      </c>
      <c r="Y360" s="13">
        <v>11745.5</v>
      </c>
      <c r="Z360" s="13">
        <v>13.9</v>
      </c>
      <c r="AA360" s="13">
        <v>14</v>
      </c>
      <c r="AB360" s="13">
        <v>5</v>
      </c>
      <c r="AC360" s="13">
        <v>2</v>
      </c>
      <c r="AD360" s="13"/>
      <c r="AE360" s="13"/>
      <c r="AF360" s="26">
        <f t="shared" si="19"/>
        <v>0</v>
      </c>
      <c r="AG360" s="27" t="s">
        <v>1450</v>
      </c>
    </row>
    <row r="361" spans="1:33" ht="43.8" customHeight="1" x14ac:dyDescent="0.35">
      <c r="A361" s="15">
        <v>468</v>
      </c>
      <c r="B361" s="16">
        <v>468</v>
      </c>
      <c r="C361" s="17" t="s">
        <v>791</v>
      </c>
      <c r="D361" s="18">
        <v>2018</v>
      </c>
      <c r="E361" s="19" t="s">
        <v>810</v>
      </c>
      <c r="F361" s="16" t="s">
        <v>811</v>
      </c>
      <c r="G361" s="7" t="s">
        <v>38</v>
      </c>
      <c r="H361" s="16" t="s">
        <v>39</v>
      </c>
      <c r="I361" s="20">
        <v>201740</v>
      </c>
      <c r="J361" s="21">
        <v>262</v>
      </c>
      <c r="K361" s="16">
        <f>(65.87*2+15.4*2)*1.8</f>
        <v>292.57200000000006</v>
      </c>
      <c r="L361" s="22">
        <f>(K361/J361)-1</f>
        <v>0.11668702290076349</v>
      </c>
      <c r="M361" s="28" t="s">
        <v>375</v>
      </c>
      <c r="N361" s="7">
        <v>0</v>
      </c>
      <c r="O361" s="7" t="s">
        <v>41</v>
      </c>
      <c r="P361" s="24"/>
      <c r="Q361" s="7" t="s">
        <v>41</v>
      </c>
      <c r="R361" s="25"/>
      <c r="S361" s="24"/>
      <c r="T361" s="24" t="s">
        <v>42</v>
      </c>
      <c r="U361" s="24" t="s">
        <v>42</v>
      </c>
      <c r="V361" s="25"/>
      <c r="W361" s="24"/>
      <c r="X361" s="25">
        <v>10771009.75</v>
      </c>
      <c r="Y361" s="13">
        <v>12667</v>
      </c>
      <c r="Z361" s="13">
        <v>13.9</v>
      </c>
      <c r="AA361" s="13">
        <v>14</v>
      </c>
      <c r="AB361" s="13">
        <v>5</v>
      </c>
      <c r="AC361" s="13">
        <v>2</v>
      </c>
      <c r="AD361" s="13"/>
      <c r="AE361" s="13"/>
      <c r="AF361" s="26">
        <f t="shared" si="19"/>
        <v>0</v>
      </c>
      <c r="AG361" s="27" t="s">
        <v>1451</v>
      </c>
    </row>
    <row r="362" spans="1:33" ht="54" x14ac:dyDescent="0.35">
      <c r="A362" s="15">
        <v>471</v>
      </c>
      <c r="B362" s="16">
        <v>471</v>
      </c>
      <c r="C362" s="17" t="s">
        <v>791</v>
      </c>
      <c r="D362" s="18">
        <v>2016</v>
      </c>
      <c r="E362" s="19" t="s">
        <v>812</v>
      </c>
      <c r="F362" s="16" t="s">
        <v>813</v>
      </c>
      <c r="G362" s="7" t="s">
        <v>46</v>
      </c>
      <c r="H362" s="16" t="s">
        <v>47</v>
      </c>
      <c r="I362" s="20">
        <v>49140</v>
      </c>
      <c r="J362" s="21">
        <v>70.2</v>
      </c>
      <c r="K362" s="49">
        <f>2.35*0.9*51</f>
        <v>107.86500000000001</v>
      </c>
      <c r="L362" s="22">
        <f t="shared" ref="L362:L366" si="21">(K362/J362)-1</f>
        <v>0.53653846153846163</v>
      </c>
      <c r="M362" s="28"/>
      <c r="N362" s="7">
        <v>0</v>
      </c>
      <c r="O362" s="7"/>
      <c r="P362" s="24"/>
      <c r="Q362" s="7" t="s">
        <v>48</v>
      </c>
      <c r="R362" s="25"/>
      <c r="S362" s="24"/>
      <c r="T362" s="24"/>
      <c r="U362" s="24"/>
      <c r="V362" s="25"/>
      <c r="W362" s="24"/>
      <c r="X362" s="25"/>
      <c r="Y362" s="13">
        <v>14770</v>
      </c>
      <c r="Z362" s="13">
        <v>15</v>
      </c>
      <c r="AA362" s="13">
        <v>15</v>
      </c>
      <c r="AB362" s="13">
        <v>4</v>
      </c>
      <c r="AC362" s="13">
        <v>2</v>
      </c>
      <c r="AD362" s="13">
        <v>689.24</v>
      </c>
      <c r="AE362" s="13">
        <v>689.24</v>
      </c>
      <c r="AF362" s="26">
        <f t="shared" si="19"/>
        <v>275.69600000000003</v>
      </c>
      <c r="AG362" s="27" t="s">
        <v>1452</v>
      </c>
    </row>
    <row r="363" spans="1:33" ht="36" x14ac:dyDescent="0.35">
      <c r="A363" s="15">
        <v>473</v>
      </c>
      <c r="B363" s="16">
        <v>473</v>
      </c>
      <c r="C363" s="17" t="s">
        <v>791</v>
      </c>
      <c r="D363" s="18">
        <v>2016</v>
      </c>
      <c r="E363" s="19" t="s">
        <v>814</v>
      </c>
      <c r="F363" s="16" t="s">
        <v>815</v>
      </c>
      <c r="G363" s="7" t="s">
        <v>38</v>
      </c>
      <c r="H363" s="16" t="s">
        <v>39</v>
      </c>
      <c r="I363" s="20">
        <v>44926</v>
      </c>
      <c r="J363" s="21">
        <v>64.180000000000007</v>
      </c>
      <c r="K363" s="16">
        <f>(20.07*2+10.54*2)*1.8</f>
        <v>110.196</v>
      </c>
      <c r="L363" s="22">
        <f t="shared" si="21"/>
        <v>0.71698348395138645</v>
      </c>
      <c r="M363" s="28"/>
      <c r="N363" s="7">
        <v>0</v>
      </c>
      <c r="O363" s="7"/>
      <c r="P363" s="24"/>
      <c r="Q363" s="7" t="s">
        <v>48</v>
      </c>
      <c r="R363" s="25"/>
      <c r="S363" s="24"/>
      <c r="T363" s="24"/>
      <c r="U363" s="24"/>
      <c r="V363" s="25"/>
      <c r="W363" s="24"/>
      <c r="X363" s="25"/>
      <c r="Y363" s="13">
        <v>1066</v>
      </c>
      <c r="Z363" s="13">
        <v>6</v>
      </c>
      <c r="AA363" s="13">
        <v>6</v>
      </c>
      <c r="AB363" s="13">
        <v>2</v>
      </c>
      <c r="AC363" s="13">
        <v>2</v>
      </c>
      <c r="AD363" s="13">
        <v>193.57</v>
      </c>
      <c r="AE363" s="13">
        <v>193.57</v>
      </c>
      <c r="AF363" s="26">
        <f t="shared" si="19"/>
        <v>77.427999999999997</v>
      </c>
      <c r="AG363" s="27" t="s">
        <v>1453</v>
      </c>
    </row>
    <row r="364" spans="1:33" ht="54" x14ac:dyDescent="0.35">
      <c r="A364" s="15">
        <v>474</v>
      </c>
      <c r="B364" s="16">
        <v>474</v>
      </c>
      <c r="C364" s="17" t="s">
        <v>791</v>
      </c>
      <c r="D364" s="18">
        <v>2017</v>
      </c>
      <c r="E364" s="19" t="s">
        <v>816</v>
      </c>
      <c r="F364" s="16" t="s">
        <v>817</v>
      </c>
      <c r="G364" s="7" t="s">
        <v>818</v>
      </c>
      <c r="H364" s="16" t="s">
        <v>47</v>
      </c>
      <c r="I364" s="20">
        <v>7340.14</v>
      </c>
      <c r="J364" s="21">
        <v>64.180000000000007</v>
      </c>
      <c r="K364" s="16">
        <f>163.98*1.8</f>
        <v>295.16399999999999</v>
      </c>
      <c r="L364" s="22">
        <f t="shared" si="21"/>
        <v>3.5990028046120282</v>
      </c>
      <c r="M364" s="28"/>
      <c r="N364" s="7">
        <v>0</v>
      </c>
      <c r="O364" s="7"/>
      <c r="P364" s="24"/>
      <c r="Q364" s="7" t="s">
        <v>48</v>
      </c>
      <c r="R364" s="25"/>
      <c r="S364" s="24"/>
      <c r="T364" s="24"/>
      <c r="U364" s="24"/>
      <c r="V364" s="25"/>
      <c r="W364" s="24"/>
      <c r="X364" s="25">
        <v>9338825.0299999993</v>
      </c>
      <c r="Y364" s="13"/>
      <c r="Z364" s="13"/>
      <c r="AA364" s="13"/>
      <c r="AB364" s="13"/>
      <c r="AC364" s="13">
        <v>2</v>
      </c>
      <c r="AD364" s="13"/>
      <c r="AE364" s="13"/>
      <c r="AF364" s="26">
        <f t="shared" si="19"/>
        <v>0</v>
      </c>
    </row>
    <row r="365" spans="1:33" ht="36" x14ac:dyDescent="0.35">
      <c r="A365" s="15">
        <v>475</v>
      </c>
      <c r="B365" s="16">
        <v>475</v>
      </c>
      <c r="C365" s="17" t="s">
        <v>791</v>
      </c>
      <c r="D365" s="18">
        <v>2016</v>
      </c>
      <c r="E365" s="19" t="s">
        <v>819</v>
      </c>
      <c r="F365" s="16" t="s">
        <v>820</v>
      </c>
      <c r="G365" s="7" t="s">
        <v>38</v>
      </c>
      <c r="H365" s="16" t="s">
        <v>39</v>
      </c>
      <c r="I365" s="20">
        <v>47390</v>
      </c>
      <c r="J365" s="21">
        <v>67.7</v>
      </c>
      <c r="K365" s="16">
        <f>(14.79*2+18.76*2)*1.8</f>
        <v>120.77999999999999</v>
      </c>
      <c r="L365" s="22">
        <f t="shared" si="21"/>
        <v>0.78404726735598196</v>
      </c>
      <c r="M365" s="28"/>
      <c r="N365" s="7">
        <v>0</v>
      </c>
      <c r="O365" s="7"/>
      <c r="P365" s="24"/>
      <c r="Q365" s="7" t="s">
        <v>48</v>
      </c>
      <c r="R365" s="25"/>
      <c r="S365" s="24"/>
      <c r="T365" s="24"/>
      <c r="U365" s="24"/>
      <c r="V365" s="25"/>
      <c r="W365" s="24"/>
      <c r="X365" s="25"/>
      <c r="Y365" s="13">
        <v>1115</v>
      </c>
      <c r="Z365" s="13">
        <v>6</v>
      </c>
      <c r="AA365" s="13">
        <v>6</v>
      </c>
      <c r="AB365" s="13">
        <v>2</v>
      </c>
      <c r="AC365" s="13">
        <v>2</v>
      </c>
      <c r="AD365" s="13">
        <v>195.77</v>
      </c>
      <c r="AE365" s="13">
        <v>195.77</v>
      </c>
      <c r="AF365" s="26">
        <f t="shared" si="19"/>
        <v>78.308000000000007</v>
      </c>
      <c r="AG365" s="27" t="s">
        <v>1454</v>
      </c>
    </row>
    <row r="366" spans="1:33" ht="36" x14ac:dyDescent="0.35">
      <c r="A366" s="15">
        <v>476</v>
      </c>
      <c r="B366" s="16">
        <v>476</v>
      </c>
      <c r="C366" s="17" t="s">
        <v>791</v>
      </c>
      <c r="D366" s="18">
        <v>2017</v>
      </c>
      <c r="E366" s="19" t="s">
        <v>816</v>
      </c>
      <c r="F366" s="16" t="s">
        <v>821</v>
      </c>
      <c r="G366" s="7" t="s">
        <v>79</v>
      </c>
      <c r="H366" s="16" t="s">
        <v>80</v>
      </c>
      <c r="I366" s="20">
        <v>7742.72</v>
      </c>
      <c r="J366" s="21">
        <v>67.7</v>
      </c>
      <c r="K366" s="16">
        <f>(14.79*2+18.76*2)*1.8</f>
        <v>120.77999999999999</v>
      </c>
      <c r="L366" s="22">
        <f t="shared" si="21"/>
        <v>0.78404726735598196</v>
      </c>
      <c r="M366" s="28"/>
      <c r="N366" s="7">
        <v>0</v>
      </c>
      <c r="O366" s="7"/>
      <c r="P366" s="24"/>
      <c r="Q366" s="7" t="s">
        <v>48</v>
      </c>
      <c r="R366" s="25"/>
      <c r="S366" s="24"/>
      <c r="T366" s="24"/>
      <c r="U366" s="24"/>
      <c r="V366" s="25"/>
      <c r="W366" s="24"/>
      <c r="X366" s="25"/>
      <c r="Y366" s="13">
        <v>26340</v>
      </c>
      <c r="Z366" s="13">
        <v>13</v>
      </c>
      <c r="AA366" s="13">
        <v>13</v>
      </c>
      <c r="AB366" s="13">
        <v>4</v>
      </c>
      <c r="AC366" s="13">
        <v>2</v>
      </c>
      <c r="AD366" s="13"/>
      <c r="AE366" s="13">
        <v>113.65</v>
      </c>
      <c r="AF366" s="26">
        <v>45.46</v>
      </c>
      <c r="AG366" s="27" t="s">
        <v>1455</v>
      </c>
    </row>
    <row r="367" spans="1:33" ht="55.8" customHeight="1" x14ac:dyDescent="0.35">
      <c r="A367" s="15">
        <v>477</v>
      </c>
      <c r="B367" s="16">
        <v>477</v>
      </c>
      <c r="C367" s="17" t="s">
        <v>822</v>
      </c>
      <c r="D367" s="18">
        <v>2016</v>
      </c>
      <c r="E367" s="19" t="s">
        <v>823</v>
      </c>
      <c r="F367" s="16" t="s">
        <v>824</v>
      </c>
      <c r="G367" s="7" t="s">
        <v>46</v>
      </c>
      <c r="H367" s="16" t="s">
        <v>47</v>
      </c>
      <c r="I367" s="20">
        <v>42840</v>
      </c>
      <c r="J367" s="21">
        <v>61.2</v>
      </c>
      <c r="K367" s="16">
        <v>67.3</v>
      </c>
      <c r="L367" s="28"/>
      <c r="M367" s="28"/>
      <c r="N367" s="7" t="s">
        <v>87</v>
      </c>
      <c r="O367" s="7" t="s">
        <v>54</v>
      </c>
      <c r="P367" s="24" t="s">
        <v>88</v>
      </c>
      <c r="Q367" s="7" t="s">
        <v>54</v>
      </c>
      <c r="R367" s="25">
        <v>7066827.7699999996</v>
      </c>
      <c r="S367" s="24"/>
      <c r="T367" s="24"/>
      <c r="U367" s="24"/>
      <c r="V367" s="25"/>
      <c r="W367" s="24"/>
      <c r="X367" s="25">
        <v>7061827.7699999996</v>
      </c>
      <c r="Y367" s="13"/>
      <c r="Z367" s="13"/>
      <c r="AA367" s="13"/>
      <c r="AB367" s="13"/>
      <c r="AC367" s="13">
        <v>2</v>
      </c>
      <c r="AD367" s="13"/>
      <c r="AE367" s="13"/>
      <c r="AF367" s="26">
        <f t="shared" si="19"/>
        <v>0</v>
      </c>
    </row>
    <row r="368" spans="1:33" ht="55.2" customHeight="1" x14ac:dyDescent="0.35">
      <c r="A368" s="15">
        <v>478</v>
      </c>
      <c r="B368" s="16">
        <v>478</v>
      </c>
      <c r="C368" s="17" t="s">
        <v>822</v>
      </c>
      <c r="D368" s="18">
        <v>2016</v>
      </c>
      <c r="E368" s="19" t="s">
        <v>825</v>
      </c>
      <c r="F368" s="16" t="s">
        <v>826</v>
      </c>
      <c r="G368" s="7" t="s">
        <v>46</v>
      </c>
      <c r="H368" s="16" t="s">
        <v>47</v>
      </c>
      <c r="I368" s="20">
        <v>40670</v>
      </c>
      <c r="J368" s="21">
        <v>58.1</v>
      </c>
      <c r="K368" s="16"/>
      <c r="L368" s="28"/>
      <c r="M368" s="28"/>
      <c r="N368" s="7" t="s">
        <v>53</v>
      </c>
      <c r="O368" s="7" t="s">
        <v>54</v>
      </c>
      <c r="P368" s="24"/>
      <c r="Q368" s="7" t="s">
        <v>54</v>
      </c>
      <c r="R368" s="25"/>
      <c r="S368" s="24"/>
      <c r="T368" s="24" t="s">
        <v>42</v>
      </c>
      <c r="U368" s="24" t="s">
        <v>42</v>
      </c>
      <c r="V368" s="25"/>
      <c r="W368" s="24"/>
      <c r="X368" s="25">
        <v>3466444.96</v>
      </c>
      <c r="Y368" s="13"/>
      <c r="Z368" s="13"/>
      <c r="AA368" s="13"/>
      <c r="AB368" s="13"/>
      <c r="AC368" s="13">
        <v>2</v>
      </c>
      <c r="AD368" s="13"/>
      <c r="AE368" s="13"/>
      <c r="AF368" s="26">
        <f t="shared" si="19"/>
        <v>0</v>
      </c>
    </row>
    <row r="369" spans="1:33" ht="55.2" customHeight="1" x14ac:dyDescent="0.35">
      <c r="A369" s="15">
        <v>479</v>
      </c>
      <c r="B369" s="16">
        <v>479</v>
      </c>
      <c r="C369" s="17" t="s">
        <v>822</v>
      </c>
      <c r="D369" s="18">
        <v>2016</v>
      </c>
      <c r="E369" s="19" t="s">
        <v>827</v>
      </c>
      <c r="F369" s="16" t="s">
        <v>828</v>
      </c>
      <c r="G369" s="7" t="s">
        <v>46</v>
      </c>
      <c r="H369" s="16" t="s">
        <v>47</v>
      </c>
      <c r="I369" s="20">
        <v>92400</v>
      </c>
      <c r="J369" s="21">
        <v>132</v>
      </c>
      <c r="K369" s="16"/>
      <c r="L369" s="28"/>
      <c r="M369" s="28"/>
      <c r="N369" s="7" t="s">
        <v>53</v>
      </c>
      <c r="O369" s="7" t="s">
        <v>54</v>
      </c>
      <c r="P369" s="24" t="s">
        <v>88</v>
      </c>
      <c r="Q369" s="7" t="s">
        <v>54</v>
      </c>
      <c r="R369" s="25">
        <v>7534444.4500000002</v>
      </c>
      <c r="S369" s="24"/>
      <c r="T369" s="24" t="s">
        <v>42</v>
      </c>
      <c r="U369" s="24" t="s">
        <v>42</v>
      </c>
      <c r="V369" s="25"/>
      <c r="W369" s="24"/>
      <c r="X369" s="25">
        <v>7529444.4500000002</v>
      </c>
      <c r="Y369" s="13"/>
      <c r="Z369" s="13"/>
      <c r="AA369" s="13"/>
      <c r="AB369" s="13"/>
      <c r="AC369" s="13">
        <v>2</v>
      </c>
      <c r="AD369" s="13"/>
      <c r="AE369" s="13"/>
      <c r="AF369" s="26">
        <f t="shared" si="19"/>
        <v>0</v>
      </c>
    </row>
    <row r="370" spans="1:33" ht="55.2" customHeight="1" x14ac:dyDescent="0.35">
      <c r="A370" s="15">
        <v>480</v>
      </c>
      <c r="B370" s="16">
        <v>480</v>
      </c>
      <c r="C370" s="17" t="s">
        <v>822</v>
      </c>
      <c r="D370" s="18">
        <v>2016</v>
      </c>
      <c r="E370" s="19" t="s">
        <v>829</v>
      </c>
      <c r="F370" s="16" t="s">
        <v>830</v>
      </c>
      <c r="G370" s="7" t="s">
        <v>46</v>
      </c>
      <c r="H370" s="16" t="s">
        <v>47</v>
      </c>
      <c r="I370" s="20">
        <v>80640</v>
      </c>
      <c r="J370" s="21">
        <v>115.2</v>
      </c>
      <c r="K370" s="16"/>
      <c r="L370" s="28"/>
      <c r="M370" s="28"/>
      <c r="N370" s="7" t="s">
        <v>87</v>
      </c>
      <c r="O370" s="7" t="s">
        <v>54</v>
      </c>
      <c r="P370" s="24" t="s">
        <v>88</v>
      </c>
      <c r="Q370" s="7" t="s">
        <v>54</v>
      </c>
      <c r="R370" s="25">
        <v>8677228.6400000006</v>
      </c>
      <c r="S370" s="24"/>
      <c r="T370" s="24" t="s">
        <v>42</v>
      </c>
      <c r="U370" s="24" t="s">
        <v>42</v>
      </c>
      <c r="V370" s="25"/>
      <c r="W370" s="24"/>
      <c r="X370" s="25">
        <v>8672228.6400000006</v>
      </c>
      <c r="Y370" s="13"/>
      <c r="Z370" s="13"/>
      <c r="AA370" s="13"/>
      <c r="AB370" s="13"/>
      <c r="AC370" s="13">
        <v>2</v>
      </c>
      <c r="AD370" s="13"/>
      <c r="AE370" s="13"/>
      <c r="AF370" s="26">
        <f t="shared" si="19"/>
        <v>0</v>
      </c>
    </row>
    <row r="371" spans="1:33" ht="55.2" customHeight="1" x14ac:dyDescent="0.35">
      <c r="A371" s="15">
        <v>481</v>
      </c>
      <c r="B371" s="16">
        <v>481</v>
      </c>
      <c r="C371" s="17" t="s">
        <v>822</v>
      </c>
      <c r="D371" s="18">
        <v>2016</v>
      </c>
      <c r="E371" s="19" t="s">
        <v>831</v>
      </c>
      <c r="F371" s="16" t="s">
        <v>832</v>
      </c>
      <c r="G371" s="7" t="s">
        <v>46</v>
      </c>
      <c r="H371" s="16" t="s">
        <v>47</v>
      </c>
      <c r="I371" s="20">
        <v>60480</v>
      </c>
      <c r="J371" s="21">
        <v>86.4</v>
      </c>
      <c r="K371" s="16"/>
      <c r="L371" s="28"/>
      <c r="M371" s="28"/>
      <c r="N371" s="7" t="s">
        <v>53</v>
      </c>
      <c r="O371" s="7" t="s">
        <v>54</v>
      </c>
      <c r="P371" s="24" t="s">
        <v>88</v>
      </c>
      <c r="Q371" s="7" t="s">
        <v>54</v>
      </c>
      <c r="R371" s="25">
        <v>6533257.2199999997</v>
      </c>
      <c r="S371" s="24"/>
      <c r="T371" s="24" t="s">
        <v>42</v>
      </c>
      <c r="U371" s="24" t="s">
        <v>42</v>
      </c>
      <c r="V371" s="25"/>
      <c r="W371" s="24"/>
      <c r="X371" s="25">
        <v>6528257.2199999997</v>
      </c>
      <c r="Y371" s="13"/>
      <c r="Z371" s="13"/>
      <c r="AA371" s="13"/>
      <c r="AB371" s="13"/>
      <c r="AC371" s="13">
        <v>2</v>
      </c>
      <c r="AD371" s="13"/>
      <c r="AE371" s="13"/>
      <c r="AF371" s="26">
        <f t="shared" si="19"/>
        <v>0</v>
      </c>
    </row>
    <row r="372" spans="1:33" ht="43.8" customHeight="1" x14ac:dyDescent="0.35">
      <c r="A372" s="15">
        <v>482</v>
      </c>
      <c r="B372" s="16">
        <v>482</v>
      </c>
      <c r="C372" s="17" t="s">
        <v>822</v>
      </c>
      <c r="D372" s="18">
        <v>2018</v>
      </c>
      <c r="E372" s="19" t="s">
        <v>833</v>
      </c>
      <c r="F372" s="16" t="s">
        <v>834</v>
      </c>
      <c r="G372" s="7" t="s">
        <v>38</v>
      </c>
      <c r="H372" s="16" t="s">
        <v>39</v>
      </c>
      <c r="I372" s="20">
        <v>426580</v>
      </c>
      <c r="J372" s="21">
        <v>554</v>
      </c>
      <c r="K372" s="16">
        <f>(68.35*2+12.73*2)*1.8</f>
        <v>291.88799999999998</v>
      </c>
      <c r="L372" s="22">
        <f>(K372/J372)-1</f>
        <v>-0.47312635379061374</v>
      </c>
      <c r="M372" s="28" t="s">
        <v>375</v>
      </c>
      <c r="N372" s="7">
        <v>0</v>
      </c>
      <c r="O372" s="7" t="s">
        <v>41</v>
      </c>
      <c r="P372" s="24"/>
      <c r="Q372" s="7" t="s">
        <v>41</v>
      </c>
      <c r="R372" s="25"/>
      <c r="S372" s="24"/>
      <c r="T372" s="24" t="s">
        <v>42</v>
      </c>
      <c r="U372" s="24" t="s">
        <v>42</v>
      </c>
      <c r="V372" s="25">
        <v>5928095.3799999999</v>
      </c>
      <c r="W372" s="24"/>
      <c r="X372" s="25"/>
      <c r="Y372" s="13">
        <v>10038</v>
      </c>
      <c r="Z372" s="13">
        <v>11.54</v>
      </c>
      <c r="AA372" s="13">
        <v>12</v>
      </c>
      <c r="AB372" s="13">
        <v>4</v>
      </c>
      <c r="AC372" s="13">
        <v>2</v>
      </c>
      <c r="AD372" s="13">
        <v>699.62</v>
      </c>
      <c r="AE372" s="13"/>
      <c r="AF372" s="26">
        <f t="shared" si="19"/>
        <v>0</v>
      </c>
      <c r="AG372" s="27" t="s">
        <v>1456</v>
      </c>
    </row>
    <row r="373" spans="1:33" ht="42.6" customHeight="1" x14ac:dyDescent="0.35">
      <c r="A373" s="15">
        <v>484</v>
      </c>
      <c r="B373" s="16">
        <v>484</v>
      </c>
      <c r="C373" s="17" t="s">
        <v>822</v>
      </c>
      <c r="D373" s="18">
        <v>2016</v>
      </c>
      <c r="E373" s="19" t="s">
        <v>835</v>
      </c>
      <c r="F373" s="16" t="s">
        <v>836</v>
      </c>
      <c r="G373" s="7" t="s">
        <v>38</v>
      </c>
      <c r="H373" s="16" t="s">
        <v>39</v>
      </c>
      <c r="I373" s="20">
        <v>317100</v>
      </c>
      <c r="J373" s="21">
        <v>453</v>
      </c>
      <c r="K373" s="16">
        <f>(34.68*2+12.76*2)*1.8</f>
        <v>170.78399999999999</v>
      </c>
      <c r="L373" s="22">
        <f>(K373/J373)-1</f>
        <v>-0.62299337748344374</v>
      </c>
      <c r="M373" s="28" t="s">
        <v>375</v>
      </c>
      <c r="N373" s="7">
        <v>0</v>
      </c>
      <c r="O373" s="7" t="s">
        <v>41</v>
      </c>
      <c r="P373" s="24"/>
      <c r="Q373" s="7" t="s">
        <v>41</v>
      </c>
      <c r="R373" s="25"/>
      <c r="S373" s="24"/>
      <c r="T373" s="24" t="s">
        <v>42</v>
      </c>
      <c r="U373" s="24" t="s">
        <v>42</v>
      </c>
      <c r="V373" s="25">
        <v>5364736.8600000003</v>
      </c>
      <c r="W373" s="24"/>
      <c r="X373" s="25"/>
      <c r="Y373" s="13">
        <v>6250</v>
      </c>
      <c r="Z373" s="13">
        <v>14.11</v>
      </c>
      <c r="AA373" s="13">
        <v>15</v>
      </c>
      <c r="AB373" s="13">
        <v>5</v>
      </c>
      <c r="AC373" s="13">
        <v>2</v>
      </c>
      <c r="AD373" s="13">
        <v>656.03</v>
      </c>
      <c r="AE373" s="13"/>
      <c r="AF373" s="26">
        <f t="shared" si="19"/>
        <v>0</v>
      </c>
      <c r="AG373" s="27" t="s">
        <v>1457</v>
      </c>
    </row>
    <row r="374" spans="1:33" ht="54" x14ac:dyDescent="0.35">
      <c r="A374" s="15">
        <v>485</v>
      </c>
      <c r="B374" s="16">
        <v>485</v>
      </c>
      <c r="C374" s="17" t="s">
        <v>822</v>
      </c>
      <c r="D374" s="18">
        <v>2016</v>
      </c>
      <c r="E374" s="19" t="s">
        <v>837</v>
      </c>
      <c r="F374" s="16" t="s">
        <v>838</v>
      </c>
      <c r="G374" s="7" t="s">
        <v>46</v>
      </c>
      <c r="H374" s="16" t="s">
        <v>47</v>
      </c>
      <c r="I374" s="20">
        <v>5250</v>
      </c>
      <c r="J374" s="21">
        <v>7.5</v>
      </c>
      <c r="K374" s="16"/>
      <c r="L374" s="28"/>
      <c r="M374" s="28"/>
      <c r="N374" s="7" t="s">
        <v>561</v>
      </c>
      <c r="O374" s="7"/>
      <c r="P374" s="24"/>
      <c r="Q374" s="7" t="s">
        <v>48</v>
      </c>
      <c r="R374" s="25"/>
      <c r="S374" s="24"/>
      <c r="T374" s="24" t="s">
        <v>42</v>
      </c>
      <c r="U374" s="24" t="s">
        <v>42</v>
      </c>
      <c r="V374" s="25"/>
      <c r="W374" s="24"/>
      <c r="X374" s="25"/>
      <c r="Y374" s="13">
        <v>6104</v>
      </c>
      <c r="Z374" s="13">
        <v>10.08</v>
      </c>
      <c r="AA374" s="13">
        <v>10</v>
      </c>
      <c r="AB374" s="13">
        <v>3</v>
      </c>
      <c r="AC374" s="13">
        <v>2</v>
      </c>
      <c r="AD374" s="13">
        <v>383.67</v>
      </c>
      <c r="AE374" s="13">
        <v>383.67</v>
      </c>
      <c r="AF374" s="26">
        <f t="shared" si="19"/>
        <v>153.46800000000002</v>
      </c>
      <c r="AG374" s="27" t="s">
        <v>1458</v>
      </c>
    </row>
    <row r="375" spans="1:33" ht="54" x14ac:dyDescent="0.35">
      <c r="A375" s="15">
        <v>486</v>
      </c>
      <c r="B375" s="16">
        <v>486</v>
      </c>
      <c r="C375" s="17" t="s">
        <v>822</v>
      </c>
      <c r="D375" s="18">
        <v>2016</v>
      </c>
      <c r="E375" s="19" t="s">
        <v>839</v>
      </c>
      <c r="F375" s="16" t="s">
        <v>840</v>
      </c>
      <c r="G375" s="7" t="s">
        <v>46</v>
      </c>
      <c r="H375" s="16" t="s">
        <v>47</v>
      </c>
      <c r="I375" s="20">
        <v>14700</v>
      </c>
      <c r="J375" s="21">
        <v>21</v>
      </c>
      <c r="K375" s="16"/>
      <c r="L375" s="28"/>
      <c r="M375" s="28"/>
      <c r="N375" s="7" t="s">
        <v>561</v>
      </c>
      <c r="O375" s="7"/>
      <c r="P375" s="24"/>
      <c r="Q375" s="7" t="s">
        <v>48</v>
      </c>
      <c r="R375" s="25"/>
      <c r="S375" s="24"/>
      <c r="T375" s="24" t="s">
        <v>42</v>
      </c>
      <c r="U375" s="24" t="s">
        <v>42</v>
      </c>
      <c r="V375" s="25"/>
      <c r="W375" s="24"/>
      <c r="X375" s="25"/>
      <c r="Y375" s="13">
        <v>8538</v>
      </c>
      <c r="Z375" s="13">
        <v>10.029999999999999</v>
      </c>
      <c r="AA375" s="13">
        <v>10</v>
      </c>
      <c r="AB375" s="13">
        <v>3</v>
      </c>
      <c r="AC375" s="13">
        <v>2</v>
      </c>
      <c r="AD375" s="13">
        <v>481.74</v>
      </c>
      <c r="AE375" s="13">
        <v>481.74</v>
      </c>
      <c r="AF375" s="26">
        <f t="shared" si="19"/>
        <v>192.69600000000003</v>
      </c>
      <c r="AG375" s="27" t="s">
        <v>1459</v>
      </c>
    </row>
    <row r="376" spans="1:33" ht="54" x14ac:dyDescent="0.35">
      <c r="A376" s="15">
        <v>487</v>
      </c>
      <c r="B376" s="16">
        <v>487</v>
      </c>
      <c r="C376" s="17" t="s">
        <v>822</v>
      </c>
      <c r="D376" s="18">
        <v>2016</v>
      </c>
      <c r="E376" s="19" t="s">
        <v>841</v>
      </c>
      <c r="F376" s="16" t="s">
        <v>842</v>
      </c>
      <c r="G376" s="7" t="s">
        <v>46</v>
      </c>
      <c r="H376" s="16" t="s">
        <v>47</v>
      </c>
      <c r="I376" s="20">
        <v>45640</v>
      </c>
      <c r="J376" s="21">
        <v>65.2</v>
      </c>
      <c r="K376" s="16"/>
      <c r="L376" s="28"/>
      <c r="M376" s="28"/>
      <c r="N376" s="7" t="s">
        <v>561</v>
      </c>
      <c r="O376" s="7"/>
      <c r="P376" s="24"/>
      <c r="Q376" s="7" t="s">
        <v>48</v>
      </c>
      <c r="R376" s="25"/>
      <c r="S376" s="24"/>
      <c r="T376" s="24" t="s">
        <v>42</v>
      </c>
      <c r="U376" s="24" t="s">
        <v>42</v>
      </c>
      <c r="V376" s="25"/>
      <c r="W376" s="24"/>
      <c r="X376" s="25"/>
      <c r="Y376" s="13">
        <v>8853</v>
      </c>
      <c r="Z376" s="13">
        <v>13.97</v>
      </c>
      <c r="AA376" s="13">
        <v>14</v>
      </c>
      <c r="AB376" s="13">
        <v>4</v>
      </c>
      <c r="AC376" s="13">
        <v>2</v>
      </c>
      <c r="AD376" s="13">
        <v>507.6</v>
      </c>
      <c r="AE376" s="13">
        <v>507.6</v>
      </c>
      <c r="AF376" s="26">
        <f t="shared" si="19"/>
        <v>203.04000000000002</v>
      </c>
      <c r="AG376" s="27" t="s">
        <v>1460</v>
      </c>
    </row>
    <row r="377" spans="1:33" ht="54" x14ac:dyDescent="0.35">
      <c r="A377" s="15">
        <v>488</v>
      </c>
      <c r="B377" s="16">
        <v>488</v>
      </c>
      <c r="C377" s="17" t="s">
        <v>822</v>
      </c>
      <c r="D377" s="18">
        <v>2016</v>
      </c>
      <c r="E377" s="19" t="s">
        <v>843</v>
      </c>
      <c r="F377" s="16" t="s">
        <v>844</v>
      </c>
      <c r="G377" s="7" t="s">
        <v>46</v>
      </c>
      <c r="H377" s="16" t="s">
        <v>47</v>
      </c>
      <c r="I377" s="20">
        <v>47460</v>
      </c>
      <c r="J377" s="21">
        <v>67.8</v>
      </c>
      <c r="K377" s="16"/>
      <c r="L377" s="28"/>
      <c r="M377" s="28"/>
      <c r="N377" s="7" t="s">
        <v>561</v>
      </c>
      <c r="O377" s="7"/>
      <c r="P377" s="24"/>
      <c r="Q377" s="7" t="s">
        <v>48</v>
      </c>
      <c r="R377" s="25"/>
      <c r="S377" s="24"/>
      <c r="T377" s="24"/>
      <c r="U377" s="24"/>
      <c r="V377" s="25"/>
      <c r="W377" s="24"/>
      <c r="X377" s="25"/>
      <c r="Y377" s="13">
        <v>11747</v>
      </c>
      <c r="Z377" s="13">
        <v>14.29</v>
      </c>
      <c r="AA377" s="13">
        <v>15</v>
      </c>
      <c r="AB377" s="13">
        <v>4</v>
      </c>
      <c r="AC377" s="13">
        <v>2</v>
      </c>
      <c r="AD377" s="13">
        <v>589.92999999999995</v>
      </c>
      <c r="AE377" s="13">
        <v>589.92999999999995</v>
      </c>
      <c r="AF377" s="26">
        <f t="shared" si="19"/>
        <v>235.97199999999998</v>
      </c>
      <c r="AG377" s="27" t="s">
        <v>1461</v>
      </c>
    </row>
    <row r="378" spans="1:33" ht="53.4" customHeight="1" x14ac:dyDescent="0.35">
      <c r="A378" s="15">
        <v>489</v>
      </c>
      <c r="B378" s="16">
        <v>489</v>
      </c>
      <c r="C378" s="17" t="s">
        <v>822</v>
      </c>
      <c r="D378" s="18">
        <v>2016</v>
      </c>
      <c r="E378" s="19" t="s">
        <v>845</v>
      </c>
      <c r="F378" s="16" t="s">
        <v>846</v>
      </c>
      <c r="G378" s="7" t="s">
        <v>46</v>
      </c>
      <c r="H378" s="16" t="s">
        <v>47</v>
      </c>
      <c r="I378" s="20">
        <v>25704</v>
      </c>
      <c r="J378" s="21">
        <v>36.72</v>
      </c>
      <c r="K378" s="16"/>
      <c r="L378" s="28"/>
      <c r="M378" s="28"/>
      <c r="N378" s="7" t="s">
        <v>87</v>
      </c>
      <c r="O378" s="7" t="s">
        <v>54</v>
      </c>
      <c r="P378" s="24" t="s">
        <v>88</v>
      </c>
      <c r="Q378" s="7" t="s">
        <v>54</v>
      </c>
      <c r="R378" s="25">
        <v>3819607.66</v>
      </c>
      <c r="S378" s="24"/>
      <c r="T378" s="24"/>
      <c r="U378" s="24"/>
      <c r="V378" s="25"/>
      <c r="W378" s="24"/>
      <c r="X378" s="25">
        <v>3814607.66</v>
      </c>
      <c r="Y378" s="13"/>
      <c r="Z378" s="13"/>
      <c r="AA378" s="13"/>
      <c r="AB378" s="13"/>
      <c r="AC378" s="13">
        <v>2</v>
      </c>
      <c r="AD378" s="13"/>
      <c r="AE378" s="13"/>
      <c r="AF378" s="26">
        <f t="shared" si="19"/>
        <v>0</v>
      </c>
    </row>
    <row r="379" spans="1:33" ht="55.8" customHeight="1" x14ac:dyDescent="0.35">
      <c r="A379" s="15">
        <v>491</v>
      </c>
      <c r="B379" s="16">
        <v>491</v>
      </c>
      <c r="C379" s="17" t="s">
        <v>822</v>
      </c>
      <c r="D379" s="18">
        <v>2016</v>
      </c>
      <c r="E379" s="19" t="s">
        <v>847</v>
      </c>
      <c r="F379" s="16" t="s">
        <v>848</v>
      </c>
      <c r="G379" s="7" t="s">
        <v>38</v>
      </c>
      <c r="H379" s="16" t="s">
        <v>39</v>
      </c>
      <c r="I379" s="20">
        <v>100800</v>
      </c>
      <c r="J379" s="21">
        <v>144</v>
      </c>
      <c r="K379" s="16">
        <f>(12.12*2+56.36*2)*1.8</f>
        <v>246.52800000000002</v>
      </c>
      <c r="L379" s="22">
        <f>(K379/J379)-1</f>
        <v>0.71200000000000019</v>
      </c>
      <c r="M379" s="28"/>
      <c r="N379" s="7">
        <v>0</v>
      </c>
      <c r="O379" s="7"/>
      <c r="P379" s="24"/>
      <c r="Q379" s="7" t="s">
        <v>48</v>
      </c>
      <c r="R379" s="25"/>
      <c r="S379" s="24"/>
      <c r="T379" s="24"/>
      <c r="U379" s="24"/>
      <c r="V379" s="25"/>
      <c r="W379" s="24"/>
      <c r="X379" s="25"/>
      <c r="Y379" s="13">
        <v>6415</v>
      </c>
      <c r="Z379" s="13">
        <v>13</v>
      </c>
      <c r="AA379" s="13">
        <v>13</v>
      </c>
      <c r="AB379" s="13">
        <v>3</v>
      </c>
      <c r="AC379" s="13">
        <v>2</v>
      </c>
      <c r="AD379" s="13">
        <v>450.92</v>
      </c>
      <c r="AE379" s="13">
        <v>450.92</v>
      </c>
      <c r="AF379" s="26">
        <f t="shared" si="19"/>
        <v>180.36800000000002</v>
      </c>
      <c r="AG379" s="27" t="s">
        <v>1462</v>
      </c>
    </row>
    <row r="380" spans="1:33" ht="56.4" customHeight="1" x14ac:dyDescent="0.35">
      <c r="A380" s="15">
        <v>493</v>
      </c>
      <c r="B380" s="16">
        <v>493</v>
      </c>
      <c r="C380" s="17" t="s">
        <v>822</v>
      </c>
      <c r="D380" s="18">
        <v>2016</v>
      </c>
      <c r="E380" s="19" t="s">
        <v>849</v>
      </c>
      <c r="F380" s="16" t="s">
        <v>850</v>
      </c>
      <c r="G380" s="7" t="s">
        <v>38</v>
      </c>
      <c r="H380" s="16" t="s">
        <v>39</v>
      </c>
      <c r="I380" s="20">
        <v>100800</v>
      </c>
      <c r="J380" s="21">
        <v>144</v>
      </c>
      <c r="K380" s="16">
        <f>(12.12*2+56.36*2)*1.8</f>
        <v>246.52800000000002</v>
      </c>
      <c r="L380" s="22">
        <f>(K380/J380)-1</f>
        <v>0.71200000000000019</v>
      </c>
      <c r="M380" s="28"/>
      <c r="N380" s="7">
        <v>0</v>
      </c>
      <c r="O380" s="7"/>
      <c r="P380" s="24"/>
      <c r="Q380" s="7" t="s">
        <v>48</v>
      </c>
      <c r="R380" s="25"/>
      <c r="S380" s="24"/>
      <c r="T380" s="24"/>
      <c r="U380" s="24"/>
      <c r="V380" s="25"/>
      <c r="W380" s="24"/>
      <c r="X380" s="25"/>
      <c r="Y380" s="13">
        <v>2690</v>
      </c>
      <c r="Z380" s="13">
        <v>10</v>
      </c>
      <c r="AA380" s="13">
        <v>10</v>
      </c>
      <c r="AB380" s="13">
        <v>3</v>
      </c>
      <c r="AC380" s="13">
        <v>2</v>
      </c>
      <c r="AD380" s="13">
        <v>326.72000000000003</v>
      </c>
      <c r="AE380" s="13">
        <v>326.72000000000003</v>
      </c>
      <c r="AF380" s="26">
        <f t="shared" si="19"/>
        <v>130.68800000000002</v>
      </c>
      <c r="AG380" s="27" t="s">
        <v>1463</v>
      </c>
    </row>
    <row r="381" spans="1:33" ht="43.8" customHeight="1" x14ac:dyDescent="0.35">
      <c r="A381" s="15">
        <v>495</v>
      </c>
      <c r="B381" s="16">
        <v>495</v>
      </c>
      <c r="C381" s="17" t="s">
        <v>851</v>
      </c>
      <c r="D381" s="18">
        <v>2017</v>
      </c>
      <c r="E381" s="19" t="s">
        <v>852</v>
      </c>
      <c r="F381" s="16" t="s">
        <v>853</v>
      </c>
      <c r="G381" s="7" t="s">
        <v>38</v>
      </c>
      <c r="H381" s="16" t="s">
        <v>39</v>
      </c>
      <c r="I381" s="20">
        <v>54600</v>
      </c>
      <c r="J381" s="21">
        <v>78</v>
      </c>
      <c r="K381" s="16">
        <v>46.4</v>
      </c>
      <c r="L381" s="28"/>
      <c r="M381" s="28"/>
      <c r="N381" s="7"/>
      <c r="O381" s="7" t="s">
        <v>54</v>
      </c>
      <c r="P381" s="24"/>
      <c r="Q381" s="7" t="s">
        <v>41</v>
      </c>
      <c r="R381" s="25">
        <v>8066118.0800000001</v>
      </c>
      <c r="S381" s="24"/>
      <c r="T381" s="24"/>
      <c r="U381" s="24"/>
      <c r="V381" s="25"/>
      <c r="W381" s="24"/>
      <c r="X381" s="25">
        <v>3752636.2</v>
      </c>
      <c r="Y381" s="13"/>
      <c r="Z381" s="13"/>
      <c r="AA381" s="13"/>
      <c r="AB381" s="13"/>
      <c r="AC381" s="13">
        <v>2</v>
      </c>
      <c r="AD381" s="13"/>
      <c r="AE381" s="13"/>
      <c r="AF381" s="26">
        <f t="shared" si="19"/>
        <v>0</v>
      </c>
    </row>
    <row r="382" spans="1:33" ht="36" x14ac:dyDescent="0.35">
      <c r="A382" s="15">
        <v>496</v>
      </c>
      <c r="B382" s="16">
        <v>496</v>
      </c>
      <c r="C382" s="17" t="s">
        <v>851</v>
      </c>
      <c r="D382" s="18">
        <v>2017</v>
      </c>
      <c r="E382" s="19" t="s">
        <v>854</v>
      </c>
      <c r="F382" s="16" t="s">
        <v>855</v>
      </c>
      <c r="G382" s="7" t="s">
        <v>38</v>
      </c>
      <c r="H382" s="16" t="s">
        <v>39</v>
      </c>
      <c r="I382" s="20">
        <v>41300</v>
      </c>
      <c r="J382" s="21">
        <v>59</v>
      </c>
      <c r="K382" s="16">
        <f>(20.55*2+14.3*2)*1.8</f>
        <v>125.46000000000001</v>
      </c>
      <c r="L382" s="22">
        <f>(K382/J382)-1</f>
        <v>1.126440677966102</v>
      </c>
      <c r="M382" s="28"/>
      <c r="N382" s="7">
        <v>0</v>
      </c>
      <c r="O382" s="7"/>
      <c r="P382" s="24"/>
      <c r="Q382" s="7" t="s">
        <v>48</v>
      </c>
      <c r="R382" s="25"/>
      <c r="S382" s="24"/>
      <c r="T382" s="24"/>
      <c r="U382" s="24"/>
      <c r="V382" s="25"/>
      <c r="W382" s="24"/>
      <c r="X382" s="25"/>
      <c r="Y382" s="13">
        <v>2036</v>
      </c>
      <c r="Z382" s="13">
        <v>7</v>
      </c>
      <c r="AA382" s="13">
        <v>7</v>
      </c>
      <c r="AB382" s="13">
        <v>2</v>
      </c>
      <c r="AC382" s="13">
        <v>2</v>
      </c>
      <c r="AD382" s="13">
        <v>234.59</v>
      </c>
      <c r="AE382" s="13">
        <v>234.59</v>
      </c>
      <c r="AF382" s="26">
        <f t="shared" si="19"/>
        <v>93.836000000000013</v>
      </c>
      <c r="AG382" s="27" t="s">
        <v>1464</v>
      </c>
    </row>
    <row r="383" spans="1:33" ht="36" x14ac:dyDescent="0.35">
      <c r="A383" s="15">
        <v>497</v>
      </c>
      <c r="B383" s="16">
        <v>497</v>
      </c>
      <c r="C383" s="17" t="s">
        <v>851</v>
      </c>
      <c r="D383" s="18">
        <v>2017</v>
      </c>
      <c r="E383" s="19" t="s">
        <v>856</v>
      </c>
      <c r="F383" s="16" t="s">
        <v>857</v>
      </c>
      <c r="G383" s="7" t="s">
        <v>38</v>
      </c>
      <c r="H383" s="16" t="s">
        <v>39</v>
      </c>
      <c r="I383" s="20">
        <v>41300</v>
      </c>
      <c r="J383" s="21">
        <v>59</v>
      </c>
      <c r="K383" s="16">
        <f>(26.25*2+10.7*2)*1.8</f>
        <v>133.02000000000001</v>
      </c>
      <c r="L383" s="22">
        <f>(K383/J383)-1</f>
        <v>1.254576271186441</v>
      </c>
      <c r="M383" s="28"/>
      <c r="N383" s="7">
        <v>0</v>
      </c>
      <c r="O383" s="7"/>
      <c r="P383" s="24"/>
      <c r="Q383" s="7" t="s">
        <v>48</v>
      </c>
      <c r="R383" s="25"/>
      <c r="S383" s="24"/>
      <c r="T383" s="24"/>
      <c r="U383" s="24"/>
      <c r="V383" s="25"/>
      <c r="W383" s="24"/>
      <c r="X383" s="25"/>
      <c r="Y383" s="13">
        <v>1854</v>
      </c>
      <c r="Z383" s="13">
        <v>6.6</v>
      </c>
      <c r="AA383" s="13">
        <v>7</v>
      </c>
      <c r="AB383" s="13">
        <v>2</v>
      </c>
      <c r="AC383" s="13">
        <v>2</v>
      </c>
      <c r="AD383" s="13">
        <v>226.65</v>
      </c>
      <c r="AE383" s="13">
        <v>226.65</v>
      </c>
      <c r="AF383" s="26">
        <f t="shared" si="19"/>
        <v>90.660000000000011</v>
      </c>
      <c r="AG383" s="27" t="s">
        <v>1465</v>
      </c>
    </row>
    <row r="384" spans="1:33" ht="36" x14ac:dyDescent="0.35">
      <c r="A384" s="15">
        <v>498</v>
      </c>
      <c r="B384" s="16">
        <v>498</v>
      </c>
      <c r="C384" s="17" t="s">
        <v>851</v>
      </c>
      <c r="D384" s="18">
        <v>2017</v>
      </c>
      <c r="E384" s="19" t="s">
        <v>858</v>
      </c>
      <c r="F384" s="16" t="s">
        <v>859</v>
      </c>
      <c r="G384" s="7" t="s">
        <v>38</v>
      </c>
      <c r="H384" s="16" t="s">
        <v>39</v>
      </c>
      <c r="I384" s="20">
        <v>44100</v>
      </c>
      <c r="J384" s="21">
        <v>63</v>
      </c>
      <c r="K384" s="16">
        <f>(26.5*2+10.85*2)*1.8</f>
        <v>134.46</v>
      </c>
      <c r="L384" s="22">
        <f>(K384/J384)-1</f>
        <v>1.1342857142857143</v>
      </c>
      <c r="M384" s="28"/>
      <c r="N384" s="7">
        <v>0</v>
      </c>
      <c r="O384" s="7"/>
      <c r="P384" s="24"/>
      <c r="Q384" s="7" t="s">
        <v>48</v>
      </c>
      <c r="R384" s="25"/>
      <c r="S384" s="24"/>
      <c r="T384" s="24"/>
      <c r="U384" s="24"/>
      <c r="V384" s="25"/>
      <c r="W384" s="24"/>
      <c r="X384" s="25"/>
      <c r="Y384" s="13">
        <v>2012</v>
      </c>
      <c r="Z384" s="13">
        <v>7</v>
      </c>
      <c r="AA384" s="13">
        <v>7</v>
      </c>
      <c r="AB384" s="13">
        <v>2</v>
      </c>
      <c r="AC384" s="13">
        <v>2</v>
      </c>
      <c r="AD384" s="13">
        <v>233.54</v>
      </c>
      <c r="AE384" s="13">
        <v>233.54</v>
      </c>
      <c r="AF384" s="26">
        <f t="shared" si="19"/>
        <v>93.415999999999997</v>
      </c>
      <c r="AG384" s="27" t="s">
        <v>1466</v>
      </c>
    </row>
    <row r="385" spans="1:33" ht="36" x14ac:dyDescent="0.35">
      <c r="A385" s="15">
        <v>499</v>
      </c>
      <c r="B385" s="16">
        <v>499</v>
      </c>
      <c r="C385" s="17" t="s">
        <v>851</v>
      </c>
      <c r="D385" s="18">
        <v>2017</v>
      </c>
      <c r="E385" s="19" t="s">
        <v>860</v>
      </c>
      <c r="F385" s="16" t="s">
        <v>861</v>
      </c>
      <c r="G385" s="7" t="s">
        <v>38</v>
      </c>
      <c r="H385" s="16" t="s">
        <v>39</v>
      </c>
      <c r="I385" s="20">
        <v>44100</v>
      </c>
      <c r="J385" s="21">
        <v>63</v>
      </c>
      <c r="K385" s="16">
        <f>(26.4*2+11*2)*1.8</f>
        <v>134.63999999999999</v>
      </c>
      <c r="L385" s="22">
        <f>(K385/J385)-1</f>
        <v>1.137142857142857</v>
      </c>
      <c r="M385" s="28"/>
      <c r="N385" s="7">
        <v>0</v>
      </c>
      <c r="O385" s="7"/>
      <c r="P385" s="24"/>
      <c r="Q385" s="7" t="s">
        <v>48</v>
      </c>
      <c r="R385" s="25"/>
      <c r="S385" s="24"/>
      <c r="T385" s="24"/>
      <c r="U385" s="24"/>
      <c r="V385" s="25"/>
      <c r="W385" s="24"/>
      <c r="X385" s="25"/>
      <c r="Y385" s="13">
        <v>1025</v>
      </c>
      <c r="Z385" s="13">
        <v>3.5</v>
      </c>
      <c r="AA385" s="13">
        <v>4</v>
      </c>
      <c r="AB385" s="13">
        <v>1</v>
      </c>
      <c r="AC385" s="13">
        <v>2</v>
      </c>
      <c r="AD385" s="13">
        <v>141.06</v>
      </c>
      <c r="AE385" s="13">
        <v>141.06</v>
      </c>
      <c r="AF385" s="26">
        <f t="shared" si="19"/>
        <v>56.424000000000007</v>
      </c>
      <c r="AG385" s="27" t="s">
        <v>1467</v>
      </c>
    </row>
    <row r="386" spans="1:33" ht="36" x14ac:dyDescent="0.35">
      <c r="A386" s="15">
        <v>500</v>
      </c>
      <c r="B386" s="16">
        <v>500</v>
      </c>
      <c r="C386" s="17" t="s">
        <v>851</v>
      </c>
      <c r="D386" s="18">
        <v>2017</v>
      </c>
      <c r="E386" s="19" t="s">
        <v>862</v>
      </c>
      <c r="F386" s="16" t="s">
        <v>863</v>
      </c>
      <c r="G386" s="7" t="s">
        <v>38</v>
      </c>
      <c r="H386" s="16" t="s">
        <v>39</v>
      </c>
      <c r="I386" s="20">
        <v>54600</v>
      </c>
      <c r="J386" s="21">
        <v>78</v>
      </c>
      <c r="K386" s="16">
        <f>(28.9*2+10.65*2)*1.8</f>
        <v>142.38</v>
      </c>
      <c r="L386" s="22">
        <f>(K386/J386)-1</f>
        <v>0.82538461538461538</v>
      </c>
      <c r="M386" s="28"/>
      <c r="N386" s="7">
        <v>0</v>
      </c>
      <c r="O386" s="7"/>
      <c r="P386" s="24"/>
      <c r="Q386" s="7" t="s">
        <v>48</v>
      </c>
      <c r="R386" s="25"/>
      <c r="S386" s="24"/>
      <c r="T386" s="24"/>
      <c r="U386" s="24"/>
      <c r="V386" s="25"/>
      <c r="W386" s="24"/>
      <c r="X386" s="25"/>
      <c r="Y386" s="13">
        <v>2035</v>
      </c>
      <c r="Z386" s="13">
        <v>7</v>
      </c>
      <c r="AA386" s="13">
        <v>7</v>
      </c>
      <c r="AB386" s="13">
        <v>2</v>
      </c>
      <c r="AC386" s="13">
        <v>2</v>
      </c>
      <c r="AD386" s="13">
        <v>234.55</v>
      </c>
      <c r="AE386" s="13">
        <v>234.55</v>
      </c>
      <c r="AF386" s="26">
        <f t="shared" si="19"/>
        <v>93.820000000000007</v>
      </c>
      <c r="AG386" s="27" t="s">
        <v>1468</v>
      </c>
    </row>
    <row r="387" spans="1:33" ht="46.8" customHeight="1" x14ac:dyDescent="0.35">
      <c r="A387" s="15">
        <v>501</v>
      </c>
      <c r="B387" s="16">
        <v>501</v>
      </c>
      <c r="C387" s="17" t="s">
        <v>851</v>
      </c>
      <c r="D387" s="18">
        <v>2017</v>
      </c>
      <c r="E387" s="19" t="s">
        <v>864</v>
      </c>
      <c r="F387" s="16" t="s">
        <v>865</v>
      </c>
      <c r="G387" s="7" t="s">
        <v>38</v>
      </c>
      <c r="H387" s="16" t="s">
        <v>39</v>
      </c>
      <c r="I387" s="20">
        <v>33600</v>
      </c>
      <c r="J387" s="21">
        <v>48</v>
      </c>
      <c r="K387" s="16"/>
      <c r="L387" s="28"/>
      <c r="M387" s="28"/>
      <c r="N387" s="7"/>
      <c r="O387" s="7" t="s">
        <v>54</v>
      </c>
      <c r="P387" s="24"/>
      <c r="Q387" s="7" t="s">
        <v>54</v>
      </c>
      <c r="R387" s="25">
        <v>673502.27</v>
      </c>
      <c r="S387" s="24"/>
      <c r="T387" s="24"/>
      <c r="U387" s="24"/>
      <c r="V387" s="25"/>
      <c r="W387" s="24" t="s">
        <v>344</v>
      </c>
      <c r="X387" s="25"/>
      <c r="Y387" s="13">
        <v>1478</v>
      </c>
      <c r="Z387" s="13">
        <v>6.1</v>
      </c>
      <c r="AA387" s="13">
        <v>7</v>
      </c>
      <c r="AB387" s="13">
        <v>2</v>
      </c>
      <c r="AC387" s="13">
        <v>2</v>
      </c>
      <c r="AD387" s="13">
        <v>210.24</v>
      </c>
      <c r="AE387" s="13">
        <v>210.24</v>
      </c>
      <c r="AF387" s="26">
        <f t="shared" si="19"/>
        <v>84.096000000000004</v>
      </c>
      <c r="AG387" s="27" t="s">
        <v>1469</v>
      </c>
    </row>
    <row r="388" spans="1:33" ht="50.4" customHeight="1" x14ac:dyDescent="0.35">
      <c r="A388" s="15">
        <v>502</v>
      </c>
      <c r="B388" s="16">
        <v>502</v>
      </c>
      <c r="C388" s="17" t="s">
        <v>851</v>
      </c>
      <c r="D388" s="18">
        <v>2017</v>
      </c>
      <c r="E388" s="19" t="s">
        <v>866</v>
      </c>
      <c r="F388" s="16" t="s">
        <v>867</v>
      </c>
      <c r="G388" s="7" t="s">
        <v>38</v>
      </c>
      <c r="H388" s="16" t="s">
        <v>39</v>
      </c>
      <c r="I388" s="20">
        <v>33600</v>
      </c>
      <c r="J388" s="21">
        <v>48</v>
      </c>
      <c r="K388" s="16"/>
      <c r="L388" s="28"/>
      <c r="M388" s="28"/>
      <c r="N388" s="7" t="s">
        <v>53</v>
      </c>
      <c r="O388" s="7" t="s">
        <v>54</v>
      </c>
      <c r="P388" s="24"/>
      <c r="Q388" s="7" t="s">
        <v>54</v>
      </c>
      <c r="R388" s="25">
        <v>672750.73</v>
      </c>
      <c r="S388" s="24"/>
      <c r="T388" s="24"/>
      <c r="U388" s="24"/>
      <c r="V388" s="25"/>
      <c r="W388" s="24" t="s">
        <v>344</v>
      </c>
      <c r="X388" s="25"/>
      <c r="Y388" s="13">
        <v>1467</v>
      </c>
      <c r="Z388" s="13">
        <v>6.1</v>
      </c>
      <c r="AA388" s="13">
        <v>7</v>
      </c>
      <c r="AB388" s="13">
        <v>2</v>
      </c>
      <c r="AC388" s="13">
        <v>2</v>
      </c>
      <c r="AD388" s="13">
        <v>209.76</v>
      </c>
      <c r="AE388" s="13">
        <v>209.76</v>
      </c>
      <c r="AF388" s="26">
        <f t="shared" ref="AF388:AF451" si="22">AE388*0.4</f>
        <v>83.903999999999996</v>
      </c>
      <c r="AG388" s="27" t="s">
        <v>1470</v>
      </c>
    </row>
    <row r="389" spans="1:33" ht="36" x14ac:dyDescent="0.35">
      <c r="A389" s="15">
        <v>503</v>
      </c>
      <c r="B389" s="16">
        <v>503</v>
      </c>
      <c r="C389" s="17" t="s">
        <v>851</v>
      </c>
      <c r="D389" s="18">
        <v>2017</v>
      </c>
      <c r="E389" s="19" t="s">
        <v>868</v>
      </c>
      <c r="F389" s="16" t="s">
        <v>869</v>
      </c>
      <c r="G389" s="7" t="s">
        <v>38</v>
      </c>
      <c r="H389" s="16" t="s">
        <v>39</v>
      </c>
      <c r="I389" s="20">
        <v>238140</v>
      </c>
      <c r="J389" s="21">
        <v>340.2</v>
      </c>
      <c r="K389" s="16">
        <f>(12.65*2+62.4*2)*1.8</f>
        <v>270.18</v>
      </c>
      <c r="L389" s="22">
        <f>(K389/J389)-1</f>
        <v>-0.20582010582010579</v>
      </c>
      <c r="M389" s="28">
        <v>1</v>
      </c>
      <c r="N389" s="7">
        <v>0</v>
      </c>
      <c r="O389" s="7"/>
      <c r="P389" s="24"/>
      <c r="Q389" s="7" t="s">
        <v>48</v>
      </c>
      <c r="R389" s="25"/>
      <c r="S389" s="24"/>
      <c r="T389" s="24"/>
      <c r="U389" s="24"/>
      <c r="V389" s="25"/>
      <c r="W389" s="24" t="s">
        <v>344</v>
      </c>
      <c r="X389" s="25"/>
      <c r="Y389" s="13">
        <v>8526</v>
      </c>
      <c r="Z389" s="13">
        <v>10.8</v>
      </c>
      <c r="AA389" s="13">
        <v>11</v>
      </c>
      <c r="AB389" s="13">
        <v>4</v>
      </c>
      <c r="AC389" s="13">
        <v>2</v>
      </c>
      <c r="AD389" s="13">
        <v>653.76</v>
      </c>
      <c r="AE389" s="13">
        <v>653.76</v>
      </c>
      <c r="AF389" s="26">
        <f t="shared" si="22"/>
        <v>261.50400000000002</v>
      </c>
      <c r="AG389" s="30" t="s">
        <v>1471</v>
      </c>
    </row>
    <row r="390" spans="1:33" ht="49.8" customHeight="1" x14ac:dyDescent="0.35">
      <c r="A390" s="15">
        <v>504</v>
      </c>
      <c r="B390" s="16">
        <v>504</v>
      </c>
      <c r="C390" s="17" t="s">
        <v>851</v>
      </c>
      <c r="D390" s="18">
        <v>2017</v>
      </c>
      <c r="E390" s="19" t="s">
        <v>870</v>
      </c>
      <c r="F390" s="16" t="s">
        <v>871</v>
      </c>
      <c r="G390" s="7" t="s">
        <v>38</v>
      </c>
      <c r="H390" s="16" t="s">
        <v>39</v>
      </c>
      <c r="I390" s="20">
        <v>36400</v>
      </c>
      <c r="J390" s="21">
        <v>52</v>
      </c>
      <c r="K390" s="16"/>
      <c r="L390" s="28"/>
      <c r="M390" s="28"/>
      <c r="N390" s="7" t="s">
        <v>53</v>
      </c>
      <c r="O390" s="7" t="s">
        <v>40</v>
      </c>
      <c r="P390" s="24"/>
      <c r="Q390" s="7" t="s">
        <v>41</v>
      </c>
      <c r="R390" s="25">
        <v>835828.52</v>
      </c>
      <c r="S390" s="24"/>
      <c r="T390" s="24" t="s">
        <v>42</v>
      </c>
      <c r="U390" s="24" t="s">
        <v>42</v>
      </c>
      <c r="V390" s="47">
        <v>2367003.2400000002</v>
      </c>
      <c r="W390" s="24"/>
      <c r="X390" s="25"/>
      <c r="Y390" s="13">
        <v>2063</v>
      </c>
      <c r="Z390" s="13">
        <v>7</v>
      </c>
      <c r="AA390" s="13">
        <v>7</v>
      </c>
      <c r="AB390" s="13">
        <v>2</v>
      </c>
      <c r="AC390" s="13">
        <v>2</v>
      </c>
      <c r="AD390" s="13">
        <v>235.77</v>
      </c>
      <c r="AE390" s="13"/>
      <c r="AF390" s="26">
        <f t="shared" si="22"/>
        <v>0</v>
      </c>
      <c r="AG390" s="27" t="s">
        <v>1472</v>
      </c>
    </row>
    <row r="391" spans="1:33" ht="42.6" customHeight="1" x14ac:dyDescent="0.35">
      <c r="A391" s="15">
        <v>505</v>
      </c>
      <c r="B391" s="16">
        <v>505</v>
      </c>
      <c r="C391" s="17" t="s">
        <v>851</v>
      </c>
      <c r="D391" s="18">
        <v>2017</v>
      </c>
      <c r="E391" s="19" t="s">
        <v>872</v>
      </c>
      <c r="F391" s="16" t="s">
        <v>873</v>
      </c>
      <c r="G391" s="7" t="s">
        <v>38</v>
      </c>
      <c r="H391" s="16" t="s">
        <v>39</v>
      </c>
      <c r="I391" s="20">
        <v>33600</v>
      </c>
      <c r="J391" s="21">
        <v>48</v>
      </c>
      <c r="K391" s="16"/>
      <c r="L391" s="28"/>
      <c r="M391" s="28"/>
      <c r="N391" s="7" t="s">
        <v>53</v>
      </c>
      <c r="O391" s="7" t="s">
        <v>54</v>
      </c>
      <c r="P391" s="24"/>
      <c r="Q391" s="7" t="s">
        <v>54</v>
      </c>
      <c r="R391" s="25">
        <v>821460.77</v>
      </c>
      <c r="S391" s="24"/>
      <c r="T391" s="24"/>
      <c r="U391" s="24"/>
      <c r="V391" s="25"/>
      <c r="W391" s="24"/>
      <c r="X391" s="25"/>
      <c r="Y391" s="13">
        <v>1473</v>
      </c>
      <c r="Z391" s="13">
        <v>6.1</v>
      </c>
      <c r="AA391" s="13">
        <v>7</v>
      </c>
      <c r="AB391" s="13">
        <v>2</v>
      </c>
      <c r="AC391" s="13">
        <v>2</v>
      </c>
      <c r="AD391" s="13">
        <v>210.02</v>
      </c>
      <c r="AE391" s="13">
        <v>210.02</v>
      </c>
      <c r="AF391" s="26">
        <f t="shared" si="22"/>
        <v>84.00800000000001</v>
      </c>
      <c r="AG391" s="27" t="s">
        <v>1473</v>
      </c>
    </row>
    <row r="392" spans="1:33" ht="36" x14ac:dyDescent="0.35">
      <c r="A392" s="15">
        <v>506</v>
      </c>
      <c r="B392" s="16">
        <v>506</v>
      </c>
      <c r="C392" s="17" t="s">
        <v>851</v>
      </c>
      <c r="D392" s="18">
        <v>2017</v>
      </c>
      <c r="E392" s="19" t="s">
        <v>874</v>
      </c>
      <c r="F392" s="16" t="s">
        <v>875</v>
      </c>
      <c r="G392" s="7" t="s">
        <v>38</v>
      </c>
      <c r="H392" s="16" t="s">
        <v>39</v>
      </c>
      <c r="I392" s="20">
        <v>33600</v>
      </c>
      <c r="J392" s="21">
        <v>48</v>
      </c>
      <c r="K392" s="16">
        <f>(14.5*2+17.7*2)*1.8</f>
        <v>115.92000000000002</v>
      </c>
      <c r="L392" s="22">
        <f>(K392/J392)-1</f>
        <v>1.4150000000000005</v>
      </c>
      <c r="M392" s="28"/>
      <c r="N392" s="7">
        <v>0</v>
      </c>
      <c r="O392" s="7"/>
      <c r="P392" s="24"/>
      <c r="Q392" s="7" t="s">
        <v>48</v>
      </c>
      <c r="R392" s="25"/>
      <c r="S392" s="24"/>
      <c r="T392" s="24"/>
      <c r="U392" s="24"/>
      <c r="V392" s="25"/>
      <c r="W392" s="24"/>
      <c r="X392" s="25"/>
      <c r="Y392" s="13">
        <v>1566</v>
      </c>
      <c r="Z392" s="13">
        <v>6.1</v>
      </c>
      <c r="AA392" s="13">
        <v>7</v>
      </c>
      <c r="AB392" s="13">
        <v>2</v>
      </c>
      <c r="AC392" s="13">
        <v>2</v>
      </c>
      <c r="AD392" s="13">
        <v>214.08</v>
      </c>
      <c r="AE392" s="13">
        <v>214.08</v>
      </c>
      <c r="AF392" s="26">
        <f t="shared" si="22"/>
        <v>85.632000000000005</v>
      </c>
      <c r="AG392" s="27" t="s">
        <v>1474</v>
      </c>
    </row>
    <row r="393" spans="1:33" ht="52.2" customHeight="1" x14ac:dyDescent="0.35">
      <c r="A393" s="15">
        <v>507</v>
      </c>
      <c r="B393" s="16">
        <v>507</v>
      </c>
      <c r="C393" s="17" t="s">
        <v>851</v>
      </c>
      <c r="D393" s="18">
        <v>2017</v>
      </c>
      <c r="E393" s="19" t="s">
        <v>876</v>
      </c>
      <c r="F393" s="16" t="s">
        <v>877</v>
      </c>
      <c r="G393" s="7" t="s">
        <v>46</v>
      </c>
      <c r="H393" s="16" t="s">
        <v>47</v>
      </c>
      <c r="I393" s="20">
        <v>11130</v>
      </c>
      <c r="J393" s="21">
        <v>15.9</v>
      </c>
      <c r="K393" s="16">
        <v>12.88</v>
      </c>
      <c r="L393" s="28"/>
      <c r="M393" s="28"/>
      <c r="N393" s="7" t="s">
        <v>53</v>
      </c>
      <c r="O393" s="7" t="s">
        <v>54</v>
      </c>
      <c r="P393" s="24" t="s">
        <v>88</v>
      </c>
      <c r="Q393" s="7" t="s">
        <v>54</v>
      </c>
      <c r="R393" s="25">
        <v>886661.87</v>
      </c>
      <c r="S393" s="24"/>
      <c r="T393" s="24"/>
      <c r="U393" s="24"/>
      <c r="V393" s="25"/>
      <c r="W393" s="24"/>
      <c r="X393" s="25">
        <v>881661.87</v>
      </c>
      <c r="Y393" s="13"/>
      <c r="Z393" s="13"/>
      <c r="AA393" s="13"/>
      <c r="AB393" s="13"/>
      <c r="AC393" s="13">
        <v>2</v>
      </c>
      <c r="AD393" s="13"/>
      <c r="AE393" s="13"/>
      <c r="AF393" s="26">
        <f t="shared" si="22"/>
        <v>0</v>
      </c>
    </row>
    <row r="394" spans="1:33" ht="36" x14ac:dyDescent="0.35">
      <c r="A394" s="15">
        <v>508</v>
      </c>
      <c r="B394" s="16">
        <v>508</v>
      </c>
      <c r="C394" s="17" t="s">
        <v>851</v>
      </c>
      <c r="D394" s="18">
        <v>2017</v>
      </c>
      <c r="E394" s="19" t="s">
        <v>878</v>
      </c>
      <c r="F394" s="16" t="s">
        <v>879</v>
      </c>
      <c r="G394" s="7" t="s">
        <v>38</v>
      </c>
      <c r="H394" s="16" t="s">
        <v>39</v>
      </c>
      <c r="I394" s="20">
        <v>71400</v>
      </c>
      <c r="J394" s="21">
        <v>102</v>
      </c>
      <c r="K394" s="16">
        <f>(20.39*2+19.06*2)*1.8</f>
        <v>142.02000000000001</v>
      </c>
      <c r="L394" s="22">
        <f t="shared" ref="L394:L429" si="23">(K394/J394)-1</f>
        <v>0.39235294117647079</v>
      </c>
      <c r="M394" s="28"/>
      <c r="N394" s="7">
        <v>0</v>
      </c>
      <c r="O394" s="7"/>
      <c r="P394" s="24"/>
      <c r="Q394" s="7" t="s">
        <v>48</v>
      </c>
      <c r="R394" s="25"/>
      <c r="S394" s="24"/>
      <c r="T394" s="24"/>
      <c r="U394" s="24"/>
      <c r="V394" s="25"/>
      <c r="W394" s="24"/>
      <c r="X394" s="25"/>
      <c r="Y394" s="13">
        <v>10337.56</v>
      </c>
      <c r="Z394" s="13">
        <v>26.6</v>
      </c>
      <c r="AA394" s="13">
        <v>21</v>
      </c>
      <c r="AB394" s="13">
        <v>9</v>
      </c>
      <c r="AC394" s="13">
        <v>2</v>
      </c>
      <c r="AD394" s="13">
        <v>1000.02</v>
      </c>
      <c r="AE394" s="13">
        <v>1000.02</v>
      </c>
      <c r="AF394" s="26">
        <f t="shared" si="22"/>
        <v>400.00800000000004</v>
      </c>
      <c r="AG394" s="27" t="s">
        <v>1475</v>
      </c>
    </row>
    <row r="395" spans="1:33" ht="36" x14ac:dyDescent="0.35">
      <c r="A395" s="15">
        <v>509</v>
      </c>
      <c r="B395" s="16">
        <v>509</v>
      </c>
      <c r="C395" s="17" t="s">
        <v>851</v>
      </c>
      <c r="D395" s="18">
        <v>2017</v>
      </c>
      <c r="E395" s="19" t="s">
        <v>880</v>
      </c>
      <c r="F395" s="16" t="s">
        <v>881</v>
      </c>
      <c r="G395" s="7" t="s">
        <v>38</v>
      </c>
      <c r="H395" s="16" t="s">
        <v>39</v>
      </c>
      <c r="I395" s="20">
        <v>98000</v>
      </c>
      <c r="J395" s="21">
        <v>140</v>
      </c>
      <c r="K395" s="16"/>
      <c r="L395" s="22">
        <f t="shared" si="23"/>
        <v>-1</v>
      </c>
      <c r="M395" s="28"/>
      <c r="N395" s="7">
        <v>0</v>
      </c>
      <c r="O395" s="7"/>
      <c r="P395" s="24"/>
      <c r="Q395" s="7" t="s">
        <v>48</v>
      </c>
      <c r="R395" s="25"/>
      <c r="S395" s="24"/>
      <c r="T395" s="24"/>
      <c r="U395" s="24"/>
      <c r="V395" s="25"/>
      <c r="W395" s="24"/>
      <c r="X395" s="25"/>
      <c r="Y395" s="13">
        <v>1500</v>
      </c>
      <c r="Z395" s="13">
        <v>5.4</v>
      </c>
      <c r="AA395" s="13">
        <v>6</v>
      </c>
      <c r="AB395" s="13">
        <v>2</v>
      </c>
      <c r="AC395" s="13">
        <v>2</v>
      </c>
      <c r="AD395" s="13">
        <v>213.04</v>
      </c>
      <c r="AE395" s="13">
        <v>213.04</v>
      </c>
      <c r="AF395" s="26">
        <f t="shared" si="22"/>
        <v>85.216000000000008</v>
      </c>
      <c r="AG395" s="27" t="s">
        <v>1476</v>
      </c>
    </row>
    <row r="396" spans="1:33" ht="36" x14ac:dyDescent="0.35">
      <c r="A396" s="15">
        <v>510</v>
      </c>
      <c r="B396" s="16">
        <v>510</v>
      </c>
      <c r="C396" s="17" t="s">
        <v>851</v>
      </c>
      <c r="D396" s="18">
        <v>2017</v>
      </c>
      <c r="E396" s="19" t="s">
        <v>882</v>
      </c>
      <c r="F396" s="16" t="s">
        <v>883</v>
      </c>
      <c r="G396" s="7" t="s">
        <v>38</v>
      </c>
      <c r="H396" s="16" t="s">
        <v>39</v>
      </c>
      <c r="I396" s="20">
        <v>98000</v>
      </c>
      <c r="J396" s="21">
        <v>140</v>
      </c>
      <c r="K396" s="16">
        <f>(12.58*2+17.8*2)*1.8</f>
        <v>109.36800000000001</v>
      </c>
      <c r="L396" s="22">
        <f t="shared" si="23"/>
        <v>-0.21879999999999988</v>
      </c>
      <c r="M396" s="28">
        <v>1</v>
      </c>
      <c r="N396" s="7">
        <v>0</v>
      </c>
      <c r="O396" s="7"/>
      <c r="P396" s="24"/>
      <c r="Q396" s="7" t="s">
        <v>48</v>
      </c>
      <c r="R396" s="25"/>
      <c r="S396" s="24"/>
      <c r="T396" s="24"/>
      <c r="U396" s="24"/>
      <c r="V396" s="25"/>
      <c r="W396" s="24"/>
      <c r="X396" s="25"/>
      <c r="Y396" s="13">
        <v>1520</v>
      </c>
      <c r="Z396" s="13">
        <v>5.4</v>
      </c>
      <c r="AA396" s="13">
        <v>6</v>
      </c>
      <c r="AB396" s="13">
        <v>2</v>
      </c>
      <c r="AC396" s="13">
        <v>2</v>
      </c>
      <c r="AD396" s="13">
        <v>213.94</v>
      </c>
      <c r="AE396" s="13">
        <v>213.94</v>
      </c>
      <c r="AF396" s="26">
        <f t="shared" si="22"/>
        <v>85.576000000000008</v>
      </c>
      <c r="AG396" s="27" t="s">
        <v>1477</v>
      </c>
    </row>
    <row r="397" spans="1:33" ht="36" x14ac:dyDescent="0.35">
      <c r="A397" s="15">
        <v>511</v>
      </c>
      <c r="B397" s="16">
        <v>511</v>
      </c>
      <c r="C397" s="17" t="s">
        <v>851</v>
      </c>
      <c r="D397" s="18">
        <v>2017</v>
      </c>
      <c r="E397" s="19" t="s">
        <v>884</v>
      </c>
      <c r="F397" s="16" t="s">
        <v>885</v>
      </c>
      <c r="G397" s="7" t="s">
        <v>38</v>
      </c>
      <c r="H397" s="16" t="s">
        <v>39</v>
      </c>
      <c r="I397" s="20">
        <v>52500</v>
      </c>
      <c r="J397" s="21">
        <v>75</v>
      </c>
      <c r="K397" s="16">
        <f>(60.49*2+30.37*2)*1.8</f>
        <v>327.096</v>
      </c>
      <c r="L397" s="22">
        <f t="shared" si="23"/>
        <v>3.3612799999999998</v>
      </c>
      <c r="M397" s="28"/>
      <c r="N397" s="7">
        <v>0</v>
      </c>
      <c r="O397" s="7"/>
      <c r="P397" s="24"/>
      <c r="Q397" s="7" t="s">
        <v>48</v>
      </c>
      <c r="R397" s="25"/>
      <c r="S397" s="24"/>
      <c r="T397" s="24"/>
      <c r="U397" s="24"/>
      <c r="V397" s="25"/>
      <c r="W397" s="24"/>
      <c r="X397" s="25"/>
      <c r="Y397" s="13">
        <v>18303</v>
      </c>
      <c r="Z397" s="13">
        <v>25.75</v>
      </c>
      <c r="AA397" s="13">
        <v>21</v>
      </c>
      <c r="AB397" s="13">
        <v>9</v>
      </c>
      <c r="AC397" s="13">
        <v>2</v>
      </c>
      <c r="AD397" s="13">
        <v>1209.1099999999999</v>
      </c>
      <c r="AE397" s="13">
        <v>1209.1099999999999</v>
      </c>
      <c r="AF397" s="26">
        <f t="shared" si="22"/>
        <v>483.64400000000001</v>
      </c>
      <c r="AG397" s="27" t="s">
        <v>1478</v>
      </c>
    </row>
    <row r="398" spans="1:33" ht="36" x14ac:dyDescent="0.35">
      <c r="A398" s="15">
        <v>512</v>
      </c>
      <c r="B398" s="16">
        <v>512</v>
      </c>
      <c r="C398" s="17" t="s">
        <v>851</v>
      </c>
      <c r="D398" s="18">
        <v>2017</v>
      </c>
      <c r="E398" s="19" t="s">
        <v>886</v>
      </c>
      <c r="F398" s="16" t="s">
        <v>887</v>
      </c>
      <c r="G398" s="7" t="s">
        <v>38</v>
      </c>
      <c r="H398" s="16" t="s">
        <v>39</v>
      </c>
      <c r="I398" s="20">
        <v>70000</v>
      </c>
      <c r="J398" s="21">
        <v>100</v>
      </c>
      <c r="K398" s="16">
        <f>(55.9*2+17.6*2)*1.8</f>
        <v>264.60000000000002</v>
      </c>
      <c r="L398" s="22">
        <f t="shared" si="23"/>
        <v>1.6460000000000004</v>
      </c>
      <c r="M398" s="28"/>
      <c r="N398" s="7">
        <v>0</v>
      </c>
      <c r="O398" s="7"/>
      <c r="P398" s="24"/>
      <c r="Q398" s="7" t="s">
        <v>48</v>
      </c>
      <c r="R398" s="25"/>
      <c r="S398" s="24"/>
      <c r="T398" s="24"/>
      <c r="U398" s="24"/>
      <c r="V398" s="25"/>
      <c r="W398" s="24"/>
      <c r="X398" s="25"/>
      <c r="Y398" s="13">
        <v>7724</v>
      </c>
      <c r="Z398" s="13">
        <v>12.7</v>
      </c>
      <c r="AA398" s="13">
        <v>13</v>
      </c>
      <c r="AB398" s="13">
        <v>3</v>
      </c>
      <c r="AC398" s="13">
        <v>2</v>
      </c>
      <c r="AD398" s="13">
        <v>498.32</v>
      </c>
      <c r="AE398" s="13">
        <v>498.32</v>
      </c>
      <c r="AF398" s="26">
        <f t="shared" si="22"/>
        <v>199.328</v>
      </c>
      <c r="AG398" s="27" t="s">
        <v>1479</v>
      </c>
    </row>
    <row r="399" spans="1:33" ht="36" x14ac:dyDescent="0.35">
      <c r="A399" s="15">
        <v>513</v>
      </c>
      <c r="B399" s="16">
        <v>513</v>
      </c>
      <c r="C399" s="17" t="s">
        <v>851</v>
      </c>
      <c r="D399" s="18">
        <v>2016</v>
      </c>
      <c r="E399" s="19" t="s">
        <v>888</v>
      </c>
      <c r="F399" s="16" t="s">
        <v>889</v>
      </c>
      <c r="G399" s="7" t="s">
        <v>38</v>
      </c>
      <c r="H399" s="16" t="s">
        <v>39</v>
      </c>
      <c r="I399" s="20">
        <v>80500</v>
      </c>
      <c r="J399" s="21">
        <v>115</v>
      </c>
      <c r="K399" s="16">
        <f>(68.4*2+12.6*2)*1.8</f>
        <v>291.60000000000002</v>
      </c>
      <c r="L399" s="22">
        <f t="shared" si="23"/>
        <v>1.5356521739130438</v>
      </c>
      <c r="M399" s="28"/>
      <c r="N399" s="7">
        <v>0</v>
      </c>
      <c r="O399" s="7"/>
      <c r="P399" s="24"/>
      <c r="Q399" s="7" t="s">
        <v>48</v>
      </c>
      <c r="R399" s="25"/>
      <c r="S399" s="24"/>
      <c r="T399" s="24"/>
      <c r="U399" s="24"/>
      <c r="V399" s="25"/>
      <c r="W399" s="24"/>
      <c r="X399" s="25"/>
      <c r="Y399" s="13">
        <v>12476</v>
      </c>
      <c r="Z399" s="13">
        <v>14.25</v>
      </c>
      <c r="AA399" s="13">
        <v>15</v>
      </c>
      <c r="AB399" s="13">
        <v>5</v>
      </c>
      <c r="AC399" s="13">
        <v>2</v>
      </c>
      <c r="AD399" s="13">
        <v>865.95</v>
      </c>
      <c r="AE399" s="13">
        <v>865.95</v>
      </c>
      <c r="AF399" s="26">
        <f t="shared" si="22"/>
        <v>346.38000000000005</v>
      </c>
      <c r="AG399" s="30" t="s">
        <v>1480</v>
      </c>
    </row>
    <row r="400" spans="1:33" ht="36" x14ac:dyDescent="0.35">
      <c r="A400" s="15">
        <v>514</v>
      </c>
      <c r="B400" s="16">
        <v>514</v>
      </c>
      <c r="C400" s="17" t="s">
        <v>851</v>
      </c>
      <c r="D400" s="18">
        <v>2018</v>
      </c>
      <c r="E400" s="19" t="s">
        <v>890</v>
      </c>
      <c r="F400" s="16" t="s">
        <v>891</v>
      </c>
      <c r="G400" s="7" t="s">
        <v>38</v>
      </c>
      <c r="H400" s="16" t="s">
        <v>39</v>
      </c>
      <c r="I400" s="20">
        <v>36267</v>
      </c>
      <c r="J400" s="21">
        <v>47.1</v>
      </c>
      <c r="K400" s="16">
        <f>(11.7*2+41.8*2)*1.8</f>
        <v>192.6</v>
      </c>
      <c r="L400" s="22">
        <f t="shared" si="23"/>
        <v>3.0891719745222925</v>
      </c>
      <c r="M400" s="28"/>
      <c r="N400" s="7">
        <v>0</v>
      </c>
      <c r="O400" s="7"/>
      <c r="P400" s="24"/>
      <c r="Q400" s="7" t="s">
        <v>48</v>
      </c>
      <c r="R400" s="25"/>
      <c r="S400" s="24"/>
      <c r="T400" s="24"/>
      <c r="U400" s="24"/>
      <c r="V400" s="25"/>
      <c r="W400" s="24"/>
      <c r="X400" s="25"/>
      <c r="Y400" s="13">
        <v>3141</v>
      </c>
      <c r="Z400" s="13">
        <v>6.5</v>
      </c>
      <c r="AA400" s="13">
        <v>7</v>
      </c>
      <c r="AB400" s="13">
        <v>2</v>
      </c>
      <c r="AC400" s="13">
        <v>2</v>
      </c>
      <c r="AD400" s="13">
        <v>282.82</v>
      </c>
      <c r="AE400" s="13">
        <v>282.82</v>
      </c>
      <c r="AF400" s="26">
        <f t="shared" si="22"/>
        <v>113.128</v>
      </c>
      <c r="AG400" s="27" t="s">
        <v>1481</v>
      </c>
    </row>
    <row r="401" spans="1:33" ht="36" x14ac:dyDescent="0.35">
      <c r="A401" s="15">
        <v>516</v>
      </c>
      <c r="B401" s="16">
        <v>516</v>
      </c>
      <c r="C401" s="17" t="s">
        <v>851</v>
      </c>
      <c r="D401" s="18">
        <v>2018</v>
      </c>
      <c r="E401" s="19" t="s">
        <v>892</v>
      </c>
      <c r="F401" s="16" t="s">
        <v>893</v>
      </c>
      <c r="G401" s="7" t="s">
        <v>38</v>
      </c>
      <c r="H401" s="16" t="s">
        <v>39</v>
      </c>
      <c r="I401" s="20">
        <v>36267</v>
      </c>
      <c r="J401" s="21">
        <v>47.1</v>
      </c>
      <c r="K401" s="16">
        <f>(11.7*2+41.8*2)*1.8</f>
        <v>192.6</v>
      </c>
      <c r="L401" s="22">
        <f t="shared" si="23"/>
        <v>3.0891719745222925</v>
      </c>
      <c r="M401" s="28"/>
      <c r="N401" s="7">
        <v>0</v>
      </c>
      <c r="O401" s="7"/>
      <c r="P401" s="24"/>
      <c r="Q401" s="7" t="s">
        <v>48</v>
      </c>
      <c r="R401" s="25"/>
      <c r="S401" s="24"/>
      <c r="T401" s="24"/>
      <c r="U401" s="24"/>
      <c r="V401" s="25"/>
      <c r="W401" s="24"/>
      <c r="X401" s="25"/>
      <c r="Y401" s="13">
        <v>2941</v>
      </c>
      <c r="Z401" s="13">
        <v>6.2</v>
      </c>
      <c r="AA401" s="13">
        <v>7</v>
      </c>
      <c r="AB401" s="13">
        <v>2</v>
      </c>
      <c r="AC401" s="13">
        <v>2</v>
      </c>
      <c r="AD401" s="13">
        <v>274.08999999999997</v>
      </c>
      <c r="AE401" s="13">
        <v>274.08999999999997</v>
      </c>
      <c r="AF401" s="26">
        <f t="shared" si="22"/>
        <v>109.636</v>
      </c>
      <c r="AG401" s="27" t="s">
        <v>1482</v>
      </c>
    </row>
    <row r="402" spans="1:33" ht="36" x14ac:dyDescent="0.35">
      <c r="A402" s="15">
        <v>518</v>
      </c>
      <c r="B402" s="16">
        <v>518</v>
      </c>
      <c r="C402" s="17" t="s">
        <v>894</v>
      </c>
      <c r="D402" s="18">
        <v>2016</v>
      </c>
      <c r="E402" s="19" t="s">
        <v>895</v>
      </c>
      <c r="F402" s="16" t="s">
        <v>896</v>
      </c>
      <c r="G402" s="7" t="s">
        <v>38</v>
      </c>
      <c r="H402" s="16" t="s">
        <v>39</v>
      </c>
      <c r="I402" s="20">
        <v>59955</v>
      </c>
      <c r="J402" s="21">
        <v>85.65</v>
      </c>
      <c r="K402" s="16"/>
      <c r="L402" s="22">
        <f t="shared" si="23"/>
        <v>-1</v>
      </c>
      <c r="M402" s="28"/>
      <c r="N402" s="7">
        <v>0</v>
      </c>
      <c r="O402" s="7"/>
      <c r="P402" s="24"/>
      <c r="Q402" s="7" t="s">
        <v>48</v>
      </c>
      <c r="R402" s="25"/>
      <c r="S402" s="24"/>
      <c r="T402" s="24"/>
      <c r="U402" s="24"/>
      <c r="V402" s="25">
        <v>5463030.5499999998</v>
      </c>
      <c r="W402" s="24"/>
      <c r="X402" s="25"/>
      <c r="Y402" s="13">
        <v>4071</v>
      </c>
      <c r="Z402" s="13">
        <v>9.1300000000000008</v>
      </c>
      <c r="AA402" s="13">
        <v>10</v>
      </c>
      <c r="AB402" s="13">
        <v>3</v>
      </c>
      <c r="AC402" s="13">
        <v>2</v>
      </c>
      <c r="AD402" s="13">
        <v>382.23</v>
      </c>
      <c r="AE402" s="13"/>
      <c r="AF402" s="26">
        <f t="shared" si="22"/>
        <v>0</v>
      </c>
      <c r="AG402" s="27" t="s">
        <v>1483</v>
      </c>
    </row>
    <row r="403" spans="1:33" ht="36" x14ac:dyDescent="0.35">
      <c r="A403" s="15">
        <v>520</v>
      </c>
      <c r="B403" s="16">
        <v>520</v>
      </c>
      <c r="C403" s="17" t="s">
        <v>894</v>
      </c>
      <c r="D403" s="18">
        <v>2016</v>
      </c>
      <c r="E403" s="19" t="s">
        <v>897</v>
      </c>
      <c r="F403" s="16" t="s">
        <v>898</v>
      </c>
      <c r="G403" s="7" t="s">
        <v>38</v>
      </c>
      <c r="H403" s="16" t="s">
        <v>39</v>
      </c>
      <c r="I403" s="20">
        <v>59850</v>
      </c>
      <c r="J403" s="21">
        <v>85.5</v>
      </c>
      <c r="K403" s="16">
        <f>(36.2*2+13.2*2)*1.8</f>
        <v>177.84000000000003</v>
      </c>
      <c r="L403" s="22">
        <f t="shared" si="23"/>
        <v>1.0800000000000005</v>
      </c>
      <c r="M403" s="28"/>
      <c r="N403" s="7">
        <v>0</v>
      </c>
      <c r="O403" s="7"/>
      <c r="P403" s="24"/>
      <c r="Q403" s="7" t="s">
        <v>48</v>
      </c>
      <c r="R403" s="25"/>
      <c r="S403" s="24"/>
      <c r="T403" s="24"/>
      <c r="U403" s="24"/>
      <c r="V403" s="25">
        <v>4302017.92</v>
      </c>
      <c r="W403" s="24"/>
      <c r="X403" s="25"/>
      <c r="Y403" s="13">
        <v>3678</v>
      </c>
      <c r="Z403" s="13">
        <v>8.4</v>
      </c>
      <c r="AA403" s="13">
        <v>9</v>
      </c>
      <c r="AB403" s="13">
        <v>3</v>
      </c>
      <c r="AC403" s="13">
        <v>2</v>
      </c>
      <c r="AD403" s="13">
        <v>370.06</v>
      </c>
      <c r="AE403" s="13"/>
      <c r="AF403" s="26">
        <f t="shared" si="22"/>
        <v>0</v>
      </c>
      <c r="AG403" s="27" t="s">
        <v>1484</v>
      </c>
    </row>
    <row r="404" spans="1:33" ht="36" x14ac:dyDescent="0.35">
      <c r="A404" s="15">
        <v>522</v>
      </c>
      <c r="B404" s="16">
        <v>522</v>
      </c>
      <c r="C404" s="17" t="s">
        <v>894</v>
      </c>
      <c r="D404" s="18">
        <v>2017</v>
      </c>
      <c r="E404" s="19" t="s">
        <v>899</v>
      </c>
      <c r="F404" s="16" t="s">
        <v>900</v>
      </c>
      <c r="G404" s="7" t="s">
        <v>38</v>
      </c>
      <c r="H404" s="16" t="s">
        <v>39</v>
      </c>
      <c r="I404" s="20">
        <v>15540</v>
      </c>
      <c r="J404" s="21">
        <v>22.2</v>
      </c>
      <c r="K404" s="16">
        <f>(40*2+11.2*2)*1.8</f>
        <v>184.32000000000002</v>
      </c>
      <c r="L404" s="22">
        <f t="shared" si="23"/>
        <v>7.3027027027027032</v>
      </c>
      <c r="M404" s="28"/>
      <c r="N404" s="7">
        <v>0</v>
      </c>
      <c r="O404" s="7"/>
      <c r="P404" s="24"/>
      <c r="Q404" s="7" t="s">
        <v>48</v>
      </c>
      <c r="R404" s="25"/>
      <c r="S404" s="24"/>
      <c r="T404" s="24"/>
      <c r="U404" s="24"/>
      <c r="V404" s="25"/>
      <c r="W404" s="24"/>
      <c r="X404" s="25"/>
      <c r="Y404" s="13">
        <v>2517</v>
      </c>
      <c r="Z404" s="13">
        <v>6.35</v>
      </c>
      <c r="AA404" s="13">
        <v>7</v>
      </c>
      <c r="AB404" s="13">
        <v>2</v>
      </c>
      <c r="AC404" s="13">
        <v>2</v>
      </c>
      <c r="AD404" s="13">
        <v>255.58</v>
      </c>
      <c r="AE404" s="13">
        <v>255.58</v>
      </c>
      <c r="AF404" s="26">
        <f t="shared" si="22"/>
        <v>102.23200000000001</v>
      </c>
      <c r="AG404" s="27" t="s">
        <v>1485</v>
      </c>
    </row>
    <row r="405" spans="1:33" ht="36" x14ac:dyDescent="0.35">
      <c r="A405" s="15">
        <v>523</v>
      </c>
      <c r="B405" s="16">
        <v>523</v>
      </c>
      <c r="C405" s="17" t="s">
        <v>894</v>
      </c>
      <c r="D405" s="18">
        <v>2017</v>
      </c>
      <c r="E405" s="19" t="s">
        <v>901</v>
      </c>
      <c r="F405" s="16" t="s">
        <v>902</v>
      </c>
      <c r="G405" s="7" t="s">
        <v>38</v>
      </c>
      <c r="H405" s="16" t="s">
        <v>39</v>
      </c>
      <c r="I405" s="20">
        <v>11760</v>
      </c>
      <c r="J405" s="21">
        <v>16.8</v>
      </c>
      <c r="K405" s="16">
        <f>(40*2+11.2*2)*1.8</f>
        <v>184.32000000000002</v>
      </c>
      <c r="L405" s="22">
        <f t="shared" si="23"/>
        <v>9.9714285714285715</v>
      </c>
      <c r="M405" s="28"/>
      <c r="N405" s="7">
        <v>0</v>
      </c>
      <c r="O405" s="7"/>
      <c r="P405" s="24"/>
      <c r="Q405" s="7" t="s">
        <v>48</v>
      </c>
      <c r="R405" s="25"/>
      <c r="S405" s="24"/>
      <c r="T405" s="24"/>
      <c r="U405" s="24"/>
      <c r="V405" s="25"/>
      <c r="W405" s="24"/>
      <c r="X405" s="25"/>
      <c r="Y405" s="13">
        <v>2517</v>
      </c>
      <c r="Z405" s="13">
        <v>6.35</v>
      </c>
      <c r="AA405" s="13">
        <v>7</v>
      </c>
      <c r="AB405" s="13">
        <v>2</v>
      </c>
      <c r="AC405" s="13">
        <v>2</v>
      </c>
      <c r="AD405" s="13">
        <v>255.58</v>
      </c>
      <c r="AE405" s="13">
        <v>255.58</v>
      </c>
      <c r="AF405" s="26">
        <f t="shared" si="22"/>
        <v>102.23200000000001</v>
      </c>
      <c r="AG405" s="27" t="s">
        <v>1486</v>
      </c>
    </row>
    <row r="406" spans="1:33" ht="54" x14ac:dyDescent="0.35">
      <c r="A406" s="15">
        <v>524</v>
      </c>
      <c r="B406" s="16">
        <v>524</v>
      </c>
      <c r="C406" s="17" t="s">
        <v>894</v>
      </c>
      <c r="D406" s="18">
        <v>2018</v>
      </c>
      <c r="E406" s="19" t="s">
        <v>903</v>
      </c>
      <c r="F406" s="16" t="s">
        <v>904</v>
      </c>
      <c r="G406" s="7" t="s">
        <v>46</v>
      </c>
      <c r="H406" s="16" t="s">
        <v>47</v>
      </c>
      <c r="I406" s="20">
        <v>14476</v>
      </c>
      <c r="J406" s="21">
        <v>18.8</v>
      </c>
      <c r="K406" s="16">
        <f>(58*2+16*2)*1.8</f>
        <v>266.40000000000003</v>
      </c>
      <c r="L406" s="22">
        <f t="shared" si="23"/>
        <v>13.170212765957448</v>
      </c>
      <c r="M406" s="28"/>
      <c r="N406" s="7">
        <v>0</v>
      </c>
      <c r="O406" s="7"/>
      <c r="P406" s="24"/>
      <c r="Q406" s="7" t="s">
        <v>48</v>
      </c>
      <c r="R406" s="25"/>
      <c r="S406" s="24"/>
      <c r="T406" s="24"/>
      <c r="U406" s="24"/>
      <c r="V406" s="25"/>
      <c r="W406" s="24"/>
      <c r="X406" s="25"/>
      <c r="Y406" s="13">
        <v>12064</v>
      </c>
      <c r="Z406" s="13">
        <v>13</v>
      </c>
      <c r="AA406" s="13">
        <v>13</v>
      </c>
      <c r="AB406" s="13">
        <v>4</v>
      </c>
      <c r="AC406" s="13">
        <v>2</v>
      </c>
      <c r="AD406" s="13">
        <v>634.86</v>
      </c>
      <c r="AE406" s="13">
        <v>634.86</v>
      </c>
      <c r="AF406" s="26">
        <f t="shared" si="22"/>
        <v>253.94400000000002</v>
      </c>
      <c r="AG406" s="27" t="s">
        <v>1487</v>
      </c>
    </row>
    <row r="407" spans="1:33" ht="36" x14ac:dyDescent="0.35">
      <c r="A407" s="15">
        <v>525</v>
      </c>
      <c r="B407" s="16">
        <v>525</v>
      </c>
      <c r="C407" s="17" t="s">
        <v>894</v>
      </c>
      <c r="D407" s="18">
        <v>2016</v>
      </c>
      <c r="E407" s="19" t="s">
        <v>905</v>
      </c>
      <c r="F407" s="16" t="s">
        <v>906</v>
      </c>
      <c r="G407" s="7" t="s">
        <v>38</v>
      </c>
      <c r="H407" s="16" t="s">
        <v>39</v>
      </c>
      <c r="I407" s="20">
        <v>112000</v>
      </c>
      <c r="J407" s="21">
        <v>160</v>
      </c>
      <c r="K407" s="16">
        <f>(35*2+13.5*2)*1.8</f>
        <v>174.6</v>
      </c>
      <c r="L407" s="22">
        <f t="shared" si="23"/>
        <v>9.1250000000000053E-2</v>
      </c>
      <c r="M407" s="28">
        <v>1</v>
      </c>
      <c r="N407" s="7">
        <v>0</v>
      </c>
      <c r="O407" s="7"/>
      <c r="P407" s="24"/>
      <c r="Q407" s="7" t="s">
        <v>48</v>
      </c>
      <c r="R407" s="25"/>
      <c r="S407" s="24"/>
      <c r="T407" s="24"/>
      <c r="U407" s="24"/>
      <c r="V407" s="25"/>
      <c r="W407" s="24"/>
      <c r="X407" s="25"/>
      <c r="Y407" s="13">
        <v>2063</v>
      </c>
      <c r="Z407" s="13">
        <v>7</v>
      </c>
      <c r="AA407" s="13">
        <v>7</v>
      </c>
      <c r="AB407" s="13">
        <v>2</v>
      </c>
      <c r="AC407" s="13">
        <v>2</v>
      </c>
      <c r="AD407" s="13">
        <v>235.77</v>
      </c>
      <c r="AE407" s="13">
        <v>235.77</v>
      </c>
      <c r="AF407" s="26">
        <f t="shared" si="22"/>
        <v>94.308000000000007</v>
      </c>
      <c r="AG407" s="27" t="s">
        <v>1488</v>
      </c>
    </row>
    <row r="408" spans="1:33" ht="36" x14ac:dyDescent="0.35">
      <c r="A408" s="15">
        <v>527</v>
      </c>
      <c r="B408" s="16">
        <v>527</v>
      </c>
      <c r="C408" s="17" t="s">
        <v>894</v>
      </c>
      <c r="D408" s="18">
        <v>2016</v>
      </c>
      <c r="E408" s="19" t="s">
        <v>907</v>
      </c>
      <c r="F408" s="16" t="s">
        <v>908</v>
      </c>
      <c r="G408" s="7" t="s">
        <v>38</v>
      </c>
      <c r="H408" s="16" t="s">
        <v>39</v>
      </c>
      <c r="I408" s="20">
        <v>112000</v>
      </c>
      <c r="J408" s="21">
        <v>160</v>
      </c>
      <c r="K408" s="16">
        <f>(32*2+12.1*2)*1.8</f>
        <v>158.76000000000002</v>
      </c>
      <c r="L408" s="22">
        <f t="shared" si="23"/>
        <v>-7.7499999999999236E-3</v>
      </c>
      <c r="M408" s="28">
        <v>1</v>
      </c>
      <c r="N408" s="7">
        <v>0</v>
      </c>
      <c r="O408" s="7"/>
      <c r="P408" s="24"/>
      <c r="Q408" s="7" t="s">
        <v>48</v>
      </c>
      <c r="R408" s="25"/>
      <c r="S408" s="24"/>
      <c r="T408" s="24"/>
      <c r="U408" s="24"/>
      <c r="V408" s="25"/>
      <c r="W408" s="24"/>
      <c r="X408" s="25"/>
      <c r="Y408" s="13">
        <v>2069</v>
      </c>
      <c r="Z408" s="13">
        <v>7.4</v>
      </c>
      <c r="AA408" s="13">
        <v>8</v>
      </c>
      <c r="AB408" s="13">
        <v>2</v>
      </c>
      <c r="AC408" s="13">
        <v>2</v>
      </c>
      <c r="AD408" s="13">
        <v>233.49</v>
      </c>
      <c r="AE408" s="13">
        <v>233.49</v>
      </c>
      <c r="AF408" s="26">
        <f t="shared" si="22"/>
        <v>93.396000000000015</v>
      </c>
      <c r="AG408" s="27" t="s">
        <v>1489</v>
      </c>
    </row>
    <row r="409" spans="1:33" ht="36" x14ac:dyDescent="0.35">
      <c r="A409" s="15">
        <v>529</v>
      </c>
      <c r="B409" s="16">
        <v>529</v>
      </c>
      <c r="C409" s="17" t="s">
        <v>894</v>
      </c>
      <c r="D409" s="18">
        <v>2017</v>
      </c>
      <c r="E409" s="19" t="s">
        <v>909</v>
      </c>
      <c r="F409" s="16" t="s">
        <v>910</v>
      </c>
      <c r="G409" s="7" t="s">
        <v>38</v>
      </c>
      <c r="H409" s="16" t="s">
        <v>39</v>
      </c>
      <c r="I409" s="20">
        <v>47600</v>
      </c>
      <c r="J409" s="21">
        <v>68</v>
      </c>
      <c r="K409" s="16">
        <f>(40.2*2+14.8*2)*1.8</f>
        <v>198</v>
      </c>
      <c r="L409" s="22">
        <f t="shared" si="23"/>
        <v>1.9117647058823528</v>
      </c>
      <c r="M409" s="28"/>
      <c r="N409" s="7">
        <v>0</v>
      </c>
      <c r="O409" s="7"/>
      <c r="P409" s="24"/>
      <c r="Q409" s="7" t="s">
        <v>48</v>
      </c>
      <c r="R409" s="25"/>
      <c r="S409" s="24"/>
      <c r="T409" s="24"/>
      <c r="U409" s="24"/>
      <c r="V409" s="25"/>
      <c r="W409" s="24"/>
      <c r="X409" s="25"/>
      <c r="Y409" s="13">
        <v>2044</v>
      </c>
      <c r="Z409" s="13">
        <v>7</v>
      </c>
      <c r="AA409" s="13">
        <v>7</v>
      </c>
      <c r="AB409" s="13">
        <v>2</v>
      </c>
      <c r="AC409" s="13">
        <v>2</v>
      </c>
      <c r="AD409" s="13">
        <v>234.94</v>
      </c>
      <c r="AE409" s="13">
        <v>234.94</v>
      </c>
      <c r="AF409" s="26">
        <f t="shared" si="22"/>
        <v>93.975999999999999</v>
      </c>
      <c r="AG409" s="27" t="s">
        <v>1490</v>
      </c>
    </row>
    <row r="410" spans="1:33" ht="36" x14ac:dyDescent="0.35">
      <c r="A410" s="15">
        <v>530</v>
      </c>
      <c r="B410" s="16">
        <v>530</v>
      </c>
      <c r="C410" s="17" t="s">
        <v>894</v>
      </c>
      <c r="D410" s="18">
        <v>2017</v>
      </c>
      <c r="E410" s="19" t="s">
        <v>911</v>
      </c>
      <c r="F410" s="16" t="s">
        <v>912</v>
      </c>
      <c r="G410" s="7" t="s">
        <v>38</v>
      </c>
      <c r="H410" s="16" t="s">
        <v>39</v>
      </c>
      <c r="I410" s="20">
        <v>211400</v>
      </c>
      <c r="J410" s="21">
        <v>302</v>
      </c>
      <c r="K410" s="16">
        <f>(63*2+13*2)*2</f>
        <v>304</v>
      </c>
      <c r="L410" s="22">
        <f t="shared" si="23"/>
        <v>6.6225165562914245E-3</v>
      </c>
      <c r="M410" s="28">
        <v>1</v>
      </c>
      <c r="N410" s="7">
        <v>0</v>
      </c>
      <c r="O410" s="7"/>
      <c r="P410" s="24"/>
      <c r="Q410" s="7" t="s">
        <v>48</v>
      </c>
      <c r="R410" s="25"/>
      <c r="S410" s="24"/>
      <c r="T410" s="24"/>
      <c r="U410" s="24"/>
      <c r="V410" s="25"/>
      <c r="W410" s="24"/>
      <c r="X410" s="25"/>
      <c r="Y410" s="13">
        <v>13260</v>
      </c>
      <c r="Z410" s="13">
        <v>17</v>
      </c>
      <c r="AA410" s="13">
        <v>17</v>
      </c>
      <c r="AB410" s="13">
        <v>5</v>
      </c>
      <c r="AC410" s="13">
        <v>2</v>
      </c>
      <c r="AD410" s="13">
        <v>859.14</v>
      </c>
      <c r="AE410" s="13">
        <v>859.14</v>
      </c>
      <c r="AF410" s="26">
        <f t="shared" si="22"/>
        <v>343.65600000000001</v>
      </c>
      <c r="AG410" s="27" t="s">
        <v>1491</v>
      </c>
    </row>
    <row r="411" spans="1:33" ht="36" x14ac:dyDescent="0.35">
      <c r="A411" s="15">
        <v>531</v>
      </c>
      <c r="B411" s="16">
        <v>531</v>
      </c>
      <c r="C411" s="17" t="s">
        <v>894</v>
      </c>
      <c r="D411" s="18">
        <v>2017</v>
      </c>
      <c r="E411" s="19" t="s">
        <v>913</v>
      </c>
      <c r="F411" s="16" t="s">
        <v>914</v>
      </c>
      <c r="G411" s="7" t="s">
        <v>38</v>
      </c>
      <c r="H411" s="16" t="s">
        <v>39</v>
      </c>
      <c r="I411" s="20">
        <v>234570</v>
      </c>
      <c r="J411" s="21">
        <v>335.1</v>
      </c>
      <c r="K411" s="16">
        <f>(41*2+12*2)*2</f>
        <v>212</v>
      </c>
      <c r="L411" s="22">
        <f t="shared" si="23"/>
        <v>-0.36735302894658317</v>
      </c>
      <c r="M411" s="28">
        <v>1</v>
      </c>
      <c r="N411" s="7">
        <v>0</v>
      </c>
      <c r="O411" s="7"/>
      <c r="P411" s="24"/>
      <c r="Q411" s="7" t="s">
        <v>48</v>
      </c>
      <c r="R411" s="25"/>
      <c r="S411" s="24"/>
      <c r="T411" s="24"/>
      <c r="U411" s="24"/>
      <c r="V411" s="25"/>
      <c r="W411" s="24"/>
      <c r="X411" s="25"/>
      <c r="Y411" s="13">
        <v>9936</v>
      </c>
      <c r="Z411" s="13">
        <v>9</v>
      </c>
      <c r="AA411" s="13">
        <v>9</v>
      </c>
      <c r="AB411" s="13">
        <v>3</v>
      </c>
      <c r="AC411" s="13">
        <v>2</v>
      </c>
      <c r="AD411" s="13">
        <v>627.77</v>
      </c>
      <c r="AE411" s="13">
        <v>627.77</v>
      </c>
      <c r="AF411" s="26">
        <f t="shared" si="22"/>
        <v>251.108</v>
      </c>
      <c r="AG411" s="27" t="s">
        <v>1492</v>
      </c>
    </row>
    <row r="412" spans="1:33" ht="36" x14ac:dyDescent="0.35">
      <c r="A412" s="15">
        <v>532</v>
      </c>
      <c r="B412" s="16">
        <v>532</v>
      </c>
      <c r="C412" s="17" t="s">
        <v>894</v>
      </c>
      <c r="D412" s="18">
        <v>2017</v>
      </c>
      <c r="E412" s="19" t="s">
        <v>915</v>
      </c>
      <c r="F412" s="16" t="s">
        <v>916</v>
      </c>
      <c r="G412" s="7" t="s">
        <v>38</v>
      </c>
      <c r="H412" s="16" t="s">
        <v>39</v>
      </c>
      <c r="I412" s="20">
        <v>39200</v>
      </c>
      <c r="J412" s="21">
        <v>56</v>
      </c>
      <c r="K412" s="16">
        <f>(52.5*2+14.5*2)*2</f>
        <v>268</v>
      </c>
      <c r="L412" s="22">
        <f t="shared" si="23"/>
        <v>3.7857142857142856</v>
      </c>
      <c r="M412" s="28"/>
      <c r="N412" s="7">
        <v>0</v>
      </c>
      <c r="O412" s="7"/>
      <c r="P412" s="24"/>
      <c r="Q412" s="7" t="s">
        <v>48</v>
      </c>
      <c r="R412" s="25"/>
      <c r="S412" s="24"/>
      <c r="T412" s="24"/>
      <c r="U412" s="24"/>
      <c r="V412" s="25"/>
      <c r="W412" s="24"/>
      <c r="X412" s="25"/>
      <c r="Y412" s="13">
        <v>7673.44</v>
      </c>
      <c r="Z412" s="13">
        <v>11.2</v>
      </c>
      <c r="AA412" s="13">
        <v>12</v>
      </c>
      <c r="AB412" s="13">
        <v>4</v>
      </c>
      <c r="AC412" s="13">
        <v>2</v>
      </c>
      <c r="AD412" s="13">
        <v>611.1</v>
      </c>
      <c r="AE412" s="13">
        <v>611.1</v>
      </c>
      <c r="AF412" s="26">
        <f t="shared" si="22"/>
        <v>244.44000000000003</v>
      </c>
      <c r="AG412" s="27" t="s">
        <v>1493</v>
      </c>
    </row>
    <row r="413" spans="1:33" ht="36" x14ac:dyDescent="0.35">
      <c r="A413" s="15">
        <v>533</v>
      </c>
      <c r="B413" s="16">
        <v>533</v>
      </c>
      <c r="C413" s="17" t="s">
        <v>894</v>
      </c>
      <c r="D413" s="18">
        <v>2017</v>
      </c>
      <c r="E413" s="19" t="s">
        <v>917</v>
      </c>
      <c r="F413" s="16" t="s">
        <v>918</v>
      </c>
      <c r="G413" s="7" t="s">
        <v>38</v>
      </c>
      <c r="H413" s="16" t="s">
        <v>39</v>
      </c>
      <c r="I413" s="20">
        <v>135800</v>
      </c>
      <c r="J413" s="21">
        <v>194</v>
      </c>
      <c r="K413" s="16">
        <f>(64.2*2+13.8*2)*2</f>
        <v>312</v>
      </c>
      <c r="L413" s="22">
        <f t="shared" si="23"/>
        <v>0.60824742268041243</v>
      </c>
      <c r="M413" s="28"/>
      <c r="N413" s="7">
        <v>0</v>
      </c>
      <c r="O413" s="7"/>
      <c r="P413" s="24"/>
      <c r="Q413" s="7" t="s">
        <v>48</v>
      </c>
      <c r="R413" s="25"/>
      <c r="S413" s="24"/>
      <c r="T413" s="24"/>
      <c r="U413" s="24"/>
      <c r="V413" s="25"/>
      <c r="W413" s="24"/>
      <c r="X413" s="25"/>
      <c r="Y413" s="13">
        <v>13260</v>
      </c>
      <c r="Z413" s="13">
        <v>17</v>
      </c>
      <c r="AA413" s="13">
        <v>17</v>
      </c>
      <c r="AB413" s="13">
        <v>5</v>
      </c>
      <c r="AC413" s="13">
        <v>2</v>
      </c>
      <c r="AD413" s="13">
        <v>689.14</v>
      </c>
      <c r="AE413" s="13">
        <v>689.14</v>
      </c>
      <c r="AF413" s="26">
        <f t="shared" si="22"/>
        <v>275.65600000000001</v>
      </c>
      <c r="AG413" s="27" t="s">
        <v>1494</v>
      </c>
    </row>
    <row r="414" spans="1:33" ht="36" x14ac:dyDescent="0.35">
      <c r="A414" s="15">
        <v>534</v>
      </c>
      <c r="B414" s="16">
        <v>534</v>
      </c>
      <c r="C414" s="17" t="s">
        <v>894</v>
      </c>
      <c r="D414" s="18">
        <v>2017</v>
      </c>
      <c r="E414" s="19" t="s">
        <v>919</v>
      </c>
      <c r="F414" s="16" t="s">
        <v>920</v>
      </c>
      <c r="G414" s="7" t="s">
        <v>38</v>
      </c>
      <c r="H414" s="16" t="s">
        <v>39</v>
      </c>
      <c r="I414" s="20">
        <v>136500</v>
      </c>
      <c r="J414" s="21">
        <v>195</v>
      </c>
      <c r="K414" s="16">
        <f>(14.4*2+73.4*2)*2</f>
        <v>351.20000000000005</v>
      </c>
      <c r="L414" s="22">
        <f t="shared" si="23"/>
        <v>0.80102564102564133</v>
      </c>
      <c r="M414" s="28"/>
      <c r="N414" s="7">
        <v>0</v>
      </c>
      <c r="O414" s="7"/>
      <c r="P414" s="24"/>
      <c r="Q414" s="7" t="s">
        <v>48</v>
      </c>
      <c r="R414" s="25"/>
      <c r="S414" s="24"/>
      <c r="T414" s="24"/>
      <c r="U414" s="24"/>
      <c r="V414" s="25"/>
      <c r="W414" s="24"/>
      <c r="X414" s="25"/>
      <c r="Y414" s="13">
        <v>13260</v>
      </c>
      <c r="Z414" s="13">
        <v>17</v>
      </c>
      <c r="AA414" s="13">
        <v>17</v>
      </c>
      <c r="AB414" s="13">
        <v>5</v>
      </c>
      <c r="AC414" s="13">
        <v>2</v>
      </c>
      <c r="AD414" s="13">
        <v>859.14</v>
      </c>
      <c r="AE414" s="13">
        <v>859.14</v>
      </c>
      <c r="AF414" s="26">
        <f t="shared" si="22"/>
        <v>343.65600000000001</v>
      </c>
      <c r="AG414" s="30" t="s">
        <v>1495</v>
      </c>
    </row>
    <row r="415" spans="1:33" ht="36" x14ac:dyDescent="0.35">
      <c r="A415" s="58">
        <v>535</v>
      </c>
      <c r="B415" s="16">
        <v>535</v>
      </c>
      <c r="C415" s="17" t="s">
        <v>894</v>
      </c>
      <c r="D415" s="18">
        <v>2017</v>
      </c>
      <c r="E415" s="19" t="s">
        <v>921</v>
      </c>
      <c r="F415" s="16" t="s">
        <v>922</v>
      </c>
      <c r="G415" s="7" t="s">
        <v>38</v>
      </c>
      <c r="H415" s="16" t="s">
        <v>39</v>
      </c>
      <c r="I415" s="20">
        <v>52850</v>
      </c>
      <c r="J415" s="21">
        <v>75.5</v>
      </c>
      <c r="K415" s="16">
        <f>(34.8*2+12.2*2)*2</f>
        <v>188</v>
      </c>
      <c r="L415" s="22">
        <f t="shared" si="23"/>
        <v>1.4900662251655628</v>
      </c>
      <c r="M415" s="28"/>
      <c r="N415" s="7">
        <v>0</v>
      </c>
      <c r="O415" s="7"/>
      <c r="P415" s="24"/>
      <c r="Q415" s="7" t="s">
        <v>48</v>
      </c>
      <c r="R415" s="25"/>
      <c r="S415" s="24"/>
      <c r="T415" s="24"/>
      <c r="U415" s="24"/>
      <c r="V415" s="25"/>
      <c r="W415" s="24"/>
      <c r="X415" s="25"/>
      <c r="Y415" s="13">
        <v>2717.18</v>
      </c>
      <c r="Z415" s="13">
        <v>6.4</v>
      </c>
      <c r="AA415" s="13">
        <v>7</v>
      </c>
      <c r="AB415" s="13">
        <v>2</v>
      </c>
      <c r="AC415" s="13">
        <v>2</v>
      </c>
      <c r="AD415" s="13">
        <v>264.32</v>
      </c>
      <c r="AE415" s="13">
        <v>264.32</v>
      </c>
      <c r="AF415" s="26">
        <f t="shared" si="22"/>
        <v>105.72800000000001</v>
      </c>
    </row>
    <row r="416" spans="1:33" ht="36" x14ac:dyDescent="0.35">
      <c r="A416" s="15">
        <v>536</v>
      </c>
      <c r="B416" s="16">
        <v>536</v>
      </c>
      <c r="C416" s="17" t="s">
        <v>894</v>
      </c>
      <c r="D416" s="18">
        <v>2017</v>
      </c>
      <c r="E416" s="19" t="s">
        <v>923</v>
      </c>
      <c r="F416" s="16" t="s">
        <v>924</v>
      </c>
      <c r="G416" s="7" t="s">
        <v>38</v>
      </c>
      <c r="H416" s="16" t="s">
        <v>39</v>
      </c>
      <c r="I416" s="20">
        <v>62006</v>
      </c>
      <c r="J416" s="21">
        <v>88.58</v>
      </c>
      <c r="K416" s="16">
        <f>(44.8*2+12*2)*2</f>
        <v>227.2</v>
      </c>
      <c r="L416" s="22">
        <f t="shared" si="23"/>
        <v>1.5649130729284262</v>
      </c>
      <c r="M416" s="28"/>
      <c r="N416" s="7">
        <v>0</v>
      </c>
      <c r="O416" s="7"/>
      <c r="P416" s="24"/>
      <c r="Q416" s="7" t="s">
        <v>48</v>
      </c>
      <c r="R416" s="25"/>
      <c r="S416" s="24"/>
      <c r="T416" s="24"/>
      <c r="U416" s="24"/>
      <c r="V416" s="25"/>
      <c r="W416" s="24"/>
      <c r="X416" s="25"/>
      <c r="Y416" s="13">
        <v>3448</v>
      </c>
      <c r="Z416" s="13">
        <v>6.97</v>
      </c>
      <c r="AA416" s="13">
        <v>7</v>
      </c>
      <c r="AB416" s="13">
        <v>2</v>
      </c>
      <c r="AC416" s="13">
        <v>2</v>
      </c>
      <c r="AD416" s="13">
        <v>296.22000000000003</v>
      </c>
      <c r="AE416" s="13">
        <v>296.22000000000003</v>
      </c>
      <c r="AF416" s="26">
        <f t="shared" si="22"/>
        <v>118.48800000000001</v>
      </c>
      <c r="AG416" s="27" t="s">
        <v>1496</v>
      </c>
    </row>
    <row r="417" spans="1:33" ht="36" x14ac:dyDescent="0.35">
      <c r="A417" s="15">
        <v>537</v>
      </c>
      <c r="B417" s="16">
        <v>537</v>
      </c>
      <c r="C417" s="17" t="s">
        <v>894</v>
      </c>
      <c r="D417" s="18">
        <v>2017</v>
      </c>
      <c r="E417" s="19" t="s">
        <v>925</v>
      </c>
      <c r="F417" s="16" t="s">
        <v>926</v>
      </c>
      <c r="G417" s="7" t="s">
        <v>38</v>
      </c>
      <c r="H417" s="16" t="s">
        <v>39</v>
      </c>
      <c r="I417" s="20">
        <v>56700</v>
      </c>
      <c r="J417" s="21">
        <v>81</v>
      </c>
      <c r="K417" s="16">
        <f>(53.8*2+11.83*2)*1.8</f>
        <v>236.268</v>
      </c>
      <c r="L417" s="22">
        <f>(K417/J417)-1</f>
        <v>1.9168888888888889</v>
      </c>
      <c r="M417" s="28"/>
      <c r="N417" s="7">
        <v>0</v>
      </c>
      <c r="O417" s="7"/>
      <c r="P417" s="24"/>
      <c r="Q417" s="7" t="s">
        <v>48</v>
      </c>
      <c r="R417" s="25"/>
      <c r="S417" s="24"/>
      <c r="T417" s="24"/>
      <c r="U417" s="24"/>
      <c r="V417" s="25"/>
      <c r="W417" s="24"/>
      <c r="X417" s="25"/>
      <c r="Y417" s="13">
        <v>5906</v>
      </c>
      <c r="Z417" s="13">
        <v>8.65</v>
      </c>
      <c r="AA417" s="13">
        <v>9</v>
      </c>
      <c r="AB417" s="13">
        <v>3</v>
      </c>
      <c r="AC417" s="13">
        <v>2</v>
      </c>
      <c r="AD417" s="13">
        <v>461.81</v>
      </c>
      <c r="AE417" s="13">
        <v>461.81</v>
      </c>
      <c r="AF417" s="26">
        <f t="shared" si="22"/>
        <v>184.72400000000002</v>
      </c>
      <c r="AG417" s="27" t="s">
        <v>1497</v>
      </c>
    </row>
    <row r="418" spans="1:33" ht="36" x14ac:dyDescent="0.35">
      <c r="A418" s="15">
        <v>538</v>
      </c>
      <c r="B418" s="16">
        <v>538</v>
      </c>
      <c r="C418" s="17" t="s">
        <v>894</v>
      </c>
      <c r="D418" s="18">
        <v>2017</v>
      </c>
      <c r="E418" s="19" t="s">
        <v>927</v>
      </c>
      <c r="F418" s="16" t="s">
        <v>928</v>
      </c>
      <c r="G418" s="7" t="s">
        <v>38</v>
      </c>
      <c r="H418" s="16" t="s">
        <v>39</v>
      </c>
      <c r="I418" s="20">
        <v>30100</v>
      </c>
      <c r="J418" s="21">
        <v>43</v>
      </c>
      <c r="K418" s="16">
        <f>(53.8*2+13.8*2)*1.8</f>
        <v>243.35999999999999</v>
      </c>
      <c r="L418" s="22">
        <f>(K418/J418)-1</f>
        <v>4.6595348837209301</v>
      </c>
      <c r="M418" s="28"/>
      <c r="N418" s="7">
        <v>0</v>
      </c>
      <c r="O418" s="7"/>
      <c r="P418" s="24"/>
      <c r="Q418" s="7" t="s">
        <v>48</v>
      </c>
      <c r="R418" s="25"/>
      <c r="S418" s="24"/>
      <c r="T418" s="24"/>
      <c r="U418" s="24"/>
      <c r="V418" s="25"/>
      <c r="W418" s="24"/>
      <c r="X418" s="25"/>
      <c r="Y418" s="13">
        <v>3861</v>
      </c>
      <c r="Z418" s="13">
        <v>6.66</v>
      </c>
      <c r="AA418" s="13">
        <v>7</v>
      </c>
      <c r="AB418" s="13">
        <v>2</v>
      </c>
      <c r="AC418" s="13">
        <v>2</v>
      </c>
      <c r="AD418" s="13">
        <v>314.24</v>
      </c>
      <c r="AE418" s="13">
        <v>314.24</v>
      </c>
      <c r="AF418" s="26">
        <f t="shared" si="22"/>
        <v>125.69600000000001</v>
      </c>
      <c r="AG418" s="27" t="s">
        <v>1498</v>
      </c>
    </row>
    <row r="419" spans="1:33" ht="36" x14ac:dyDescent="0.35">
      <c r="A419" s="15">
        <v>539</v>
      </c>
      <c r="B419" s="16">
        <v>539</v>
      </c>
      <c r="C419" s="17" t="s">
        <v>894</v>
      </c>
      <c r="D419" s="18">
        <v>2016</v>
      </c>
      <c r="E419" s="19" t="s">
        <v>929</v>
      </c>
      <c r="F419" s="16" t="s">
        <v>930</v>
      </c>
      <c r="G419" s="7" t="s">
        <v>38</v>
      </c>
      <c r="H419" s="16" t="s">
        <v>39</v>
      </c>
      <c r="I419" s="20">
        <v>140000</v>
      </c>
      <c r="J419" s="21">
        <v>200</v>
      </c>
      <c r="K419" s="16">
        <f>(42.5*2+13.5*2)*1.8</f>
        <v>201.6</v>
      </c>
      <c r="L419" s="22">
        <f t="shared" si="23"/>
        <v>8.0000000000000071E-3</v>
      </c>
      <c r="M419" s="28">
        <v>1</v>
      </c>
      <c r="N419" s="7">
        <v>0</v>
      </c>
      <c r="O419" s="7"/>
      <c r="P419" s="24"/>
      <c r="Q419" s="7" t="s">
        <v>48</v>
      </c>
      <c r="R419" s="25"/>
      <c r="S419" s="24"/>
      <c r="T419" s="24"/>
      <c r="U419" s="24"/>
      <c r="V419" s="25"/>
      <c r="W419" s="24"/>
      <c r="X419" s="25"/>
      <c r="Y419" s="13">
        <v>1814</v>
      </c>
      <c r="Z419" s="13">
        <v>6</v>
      </c>
      <c r="AA419" s="13">
        <v>6</v>
      </c>
      <c r="AB419" s="13">
        <v>2</v>
      </c>
      <c r="AC419" s="13">
        <v>2</v>
      </c>
      <c r="AD419" s="13">
        <v>227.13</v>
      </c>
      <c r="AE419" s="13">
        <v>227.13</v>
      </c>
      <c r="AF419" s="26">
        <f t="shared" si="22"/>
        <v>90.852000000000004</v>
      </c>
      <c r="AG419" s="27" t="s">
        <v>1499</v>
      </c>
    </row>
    <row r="420" spans="1:33" ht="36" x14ac:dyDescent="0.35">
      <c r="A420" s="15">
        <v>541</v>
      </c>
      <c r="B420" s="16">
        <v>541</v>
      </c>
      <c r="C420" s="17" t="s">
        <v>931</v>
      </c>
      <c r="D420" s="18">
        <v>2017</v>
      </c>
      <c r="E420" s="19" t="s">
        <v>932</v>
      </c>
      <c r="F420" s="16" t="s">
        <v>933</v>
      </c>
      <c r="G420" s="7" t="s">
        <v>38</v>
      </c>
      <c r="H420" s="16" t="s">
        <v>39</v>
      </c>
      <c r="I420" s="20">
        <v>61600</v>
      </c>
      <c r="J420" s="21">
        <v>88</v>
      </c>
      <c r="K420" s="16">
        <f>(40.7*2+16.2*2)*1.8</f>
        <v>204.84000000000003</v>
      </c>
      <c r="L420" s="22">
        <f t="shared" si="23"/>
        <v>1.3277272727272731</v>
      </c>
      <c r="M420" s="28"/>
      <c r="N420" s="7">
        <v>0</v>
      </c>
      <c r="O420" s="7"/>
      <c r="P420" s="24"/>
      <c r="Q420" s="7" t="s">
        <v>48</v>
      </c>
      <c r="R420" s="25"/>
      <c r="S420" s="24"/>
      <c r="T420" s="24"/>
      <c r="U420" s="24"/>
      <c r="V420" s="25"/>
      <c r="W420" s="24"/>
      <c r="X420" s="25"/>
      <c r="Y420" s="13">
        <v>3957</v>
      </c>
      <c r="Z420" s="13">
        <v>6.5</v>
      </c>
      <c r="AA420" s="13">
        <v>7</v>
      </c>
      <c r="AB420" s="13">
        <v>2</v>
      </c>
      <c r="AC420" s="13">
        <v>2</v>
      </c>
      <c r="AD420" s="13">
        <v>318.43</v>
      </c>
      <c r="AE420" s="13">
        <v>318.43</v>
      </c>
      <c r="AF420" s="26">
        <f t="shared" si="22"/>
        <v>127.37200000000001</v>
      </c>
      <c r="AG420" s="27" t="s">
        <v>1500</v>
      </c>
    </row>
    <row r="421" spans="1:33" ht="36" x14ac:dyDescent="0.35">
      <c r="A421" s="15">
        <v>542</v>
      </c>
      <c r="B421" s="16">
        <v>542</v>
      </c>
      <c r="C421" s="17" t="s">
        <v>931</v>
      </c>
      <c r="D421" s="18">
        <v>2017</v>
      </c>
      <c r="E421" s="19" t="s">
        <v>934</v>
      </c>
      <c r="F421" s="16" t="s">
        <v>935</v>
      </c>
      <c r="G421" s="7" t="s">
        <v>38</v>
      </c>
      <c r="H421" s="16" t="s">
        <v>39</v>
      </c>
      <c r="I421" s="20">
        <v>63000</v>
      </c>
      <c r="J421" s="21">
        <v>90</v>
      </c>
      <c r="K421" s="16">
        <f>(52.2*2+13.7*2)*1.8</f>
        <v>237.24000000000004</v>
      </c>
      <c r="L421" s="22">
        <f t="shared" si="23"/>
        <v>1.6360000000000006</v>
      </c>
      <c r="M421" s="28"/>
      <c r="N421" s="7">
        <v>0</v>
      </c>
      <c r="O421" s="7"/>
      <c r="P421" s="24"/>
      <c r="Q421" s="7" t="s">
        <v>48</v>
      </c>
      <c r="R421" s="25"/>
      <c r="S421" s="24"/>
      <c r="T421" s="24"/>
      <c r="U421" s="24"/>
      <c r="V421" s="25"/>
      <c r="W421" s="24"/>
      <c r="X421" s="25"/>
      <c r="Y421" s="13">
        <v>4566</v>
      </c>
      <c r="Z421" s="13">
        <v>6.5</v>
      </c>
      <c r="AA421" s="13">
        <v>7</v>
      </c>
      <c r="AB421" s="13">
        <v>2</v>
      </c>
      <c r="AC421" s="13">
        <v>2</v>
      </c>
      <c r="AD421" s="13">
        <v>345.01</v>
      </c>
      <c r="AE421" s="13">
        <v>345.01</v>
      </c>
      <c r="AF421" s="26">
        <f t="shared" si="22"/>
        <v>138.00399999999999</v>
      </c>
      <c r="AG421" s="27" t="s">
        <v>1501</v>
      </c>
    </row>
    <row r="422" spans="1:33" ht="36" x14ac:dyDescent="0.35">
      <c r="A422" s="15">
        <v>543</v>
      </c>
      <c r="B422" s="16">
        <v>543</v>
      </c>
      <c r="C422" s="17" t="s">
        <v>931</v>
      </c>
      <c r="D422" s="18">
        <v>2017</v>
      </c>
      <c r="E422" s="19" t="s">
        <v>936</v>
      </c>
      <c r="F422" s="16" t="s">
        <v>937</v>
      </c>
      <c r="G422" s="7" t="s">
        <v>38</v>
      </c>
      <c r="H422" s="16" t="s">
        <v>39</v>
      </c>
      <c r="I422" s="20">
        <v>62300</v>
      </c>
      <c r="J422" s="21">
        <v>89</v>
      </c>
      <c r="K422" s="16">
        <f>(40.7*2+16.2*2)*1.8</f>
        <v>204.84000000000003</v>
      </c>
      <c r="L422" s="22">
        <f t="shared" si="23"/>
        <v>1.3015730337078657</v>
      </c>
      <c r="M422" s="28"/>
      <c r="N422" s="7">
        <v>0</v>
      </c>
      <c r="O422" s="7"/>
      <c r="P422" s="24"/>
      <c r="Q422" s="7" t="s">
        <v>48</v>
      </c>
      <c r="R422" s="25"/>
      <c r="S422" s="24"/>
      <c r="T422" s="24"/>
      <c r="U422" s="24"/>
      <c r="V422" s="25"/>
      <c r="W422" s="24"/>
      <c r="X422" s="25"/>
      <c r="Y422" s="13">
        <v>3805</v>
      </c>
      <c r="Z422" s="13">
        <v>6.5</v>
      </c>
      <c r="AA422" s="13">
        <v>7</v>
      </c>
      <c r="AB422" s="13">
        <v>2</v>
      </c>
      <c r="AC422" s="13">
        <v>2</v>
      </c>
      <c r="AD422" s="13">
        <v>311.8</v>
      </c>
      <c r="AE422" s="13">
        <v>311.8</v>
      </c>
      <c r="AF422" s="26">
        <f t="shared" si="22"/>
        <v>124.72000000000001</v>
      </c>
      <c r="AG422" s="27" t="s">
        <v>1502</v>
      </c>
    </row>
    <row r="423" spans="1:33" ht="36" x14ac:dyDescent="0.35">
      <c r="A423" s="15">
        <v>544</v>
      </c>
      <c r="B423" s="16">
        <v>544</v>
      </c>
      <c r="C423" s="17" t="s">
        <v>931</v>
      </c>
      <c r="D423" s="18">
        <v>2017</v>
      </c>
      <c r="E423" s="19" t="s">
        <v>938</v>
      </c>
      <c r="F423" s="16" t="s">
        <v>939</v>
      </c>
      <c r="G423" s="7" t="s">
        <v>38</v>
      </c>
      <c r="H423" s="16" t="s">
        <v>39</v>
      </c>
      <c r="I423" s="20">
        <v>98000</v>
      </c>
      <c r="J423" s="21">
        <v>140</v>
      </c>
      <c r="K423" s="16">
        <f>(12.9*2+65.9*2)*1.8</f>
        <v>283.68000000000006</v>
      </c>
      <c r="L423" s="22">
        <f t="shared" si="23"/>
        <v>1.0262857142857147</v>
      </c>
      <c r="M423" s="28"/>
      <c r="N423" s="7">
        <v>0</v>
      </c>
      <c r="O423" s="7"/>
      <c r="P423" s="24"/>
      <c r="Q423" s="7" t="s">
        <v>48</v>
      </c>
      <c r="R423" s="25"/>
      <c r="S423" s="24"/>
      <c r="T423" s="24"/>
      <c r="U423" s="24"/>
      <c r="V423" s="25"/>
      <c r="W423" s="24"/>
      <c r="X423" s="25"/>
      <c r="Y423" s="13">
        <v>10020</v>
      </c>
      <c r="Z423" s="13">
        <v>11.5</v>
      </c>
      <c r="AA423" s="13">
        <v>12</v>
      </c>
      <c r="AB423" s="13">
        <v>4</v>
      </c>
      <c r="AC423" s="13">
        <v>2</v>
      </c>
      <c r="AD423" s="13">
        <v>698.94</v>
      </c>
      <c r="AE423" s="13">
        <v>698.94</v>
      </c>
      <c r="AF423" s="26">
        <f t="shared" si="22"/>
        <v>279.57600000000002</v>
      </c>
      <c r="AG423" s="27" t="s">
        <v>1503</v>
      </c>
    </row>
    <row r="424" spans="1:33" ht="36" x14ac:dyDescent="0.35">
      <c r="A424" s="15">
        <v>545</v>
      </c>
      <c r="B424" s="16">
        <v>545</v>
      </c>
      <c r="C424" s="17" t="s">
        <v>931</v>
      </c>
      <c r="D424" s="18">
        <v>2018</v>
      </c>
      <c r="E424" s="19" t="s">
        <v>940</v>
      </c>
      <c r="F424" s="16" t="s">
        <v>941</v>
      </c>
      <c r="G424" s="7" t="s">
        <v>38</v>
      </c>
      <c r="H424" s="16" t="s">
        <v>39</v>
      </c>
      <c r="I424" s="20">
        <v>250250</v>
      </c>
      <c r="J424" s="21">
        <v>325</v>
      </c>
      <c r="K424" s="16">
        <f>(157+225)*2</f>
        <v>764</v>
      </c>
      <c r="L424" s="22">
        <f t="shared" si="23"/>
        <v>1.3507692307692309</v>
      </c>
      <c r="M424" s="28"/>
      <c r="N424" s="7">
        <v>0</v>
      </c>
      <c r="O424" s="7"/>
      <c r="P424" s="24"/>
      <c r="Q424" s="7" t="s">
        <v>48</v>
      </c>
      <c r="R424" s="25"/>
      <c r="S424" s="24"/>
      <c r="T424" s="24"/>
      <c r="U424" s="24"/>
      <c r="V424" s="25"/>
      <c r="W424" s="24"/>
      <c r="X424" s="25"/>
      <c r="Y424" s="13">
        <v>13526</v>
      </c>
      <c r="Z424" s="13">
        <v>14.03</v>
      </c>
      <c r="AA424" s="13">
        <v>14</v>
      </c>
      <c r="AB424" s="13">
        <v>5</v>
      </c>
      <c r="AC424" s="13">
        <v>2</v>
      </c>
      <c r="AD424" s="13">
        <v>918.31</v>
      </c>
      <c r="AE424" s="13">
        <v>918.31</v>
      </c>
      <c r="AF424" s="26">
        <f t="shared" si="22"/>
        <v>367.32400000000001</v>
      </c>
      <c r="AG424" s="30" t="s">
        <v>1504</v>
      </c>
    </row>
    <row r="425" spans="1:33" ht="36" x14ac:dyDescent="0.35">
      <c r="A425" s="15">
        <v>547</v>
      </c>
      <c r="B425" s="16">
        <v>547</v>
      </c>
      <c r="C425" s="17" t="s">
        <v>942</v>
      </c>
      <c r="D425" s="18">
        <v>2018</v>
      </c>
      <c r="E425" s="19" t="s">
        <v>943</v>
      </c>
      <c r="F425" s="16" t="s">
        <v>944</v>
      </c>
      <c r="G425" s="7" t="s">
        <v>38</v>
      </c>
      <c r="H425" s="16" t="s">
        <v>39</v>
      </c>
      <c r="I425" s="20">
        <v>192500</v>
      </c>
      <c r="J425" s="21">
        <v>250</v>
      </c>
      <c r="K425" s="16">
        <f>(42*2+11*2)*2</f>
        <v>212</v>
      </c>
      <c r="L425" s="22">
        <f t="shared" si="23"/>
        <v>-0.15200000000000002</v>
      </c>
      <c r="M425" s="28">
        <v>1</v>
      </c>
      <c r="N425" s="7">
        <v>0</v>
      </c>
      <c r="O425" s="7"/>
      <c r="P425" s="24"/>
      <c r="Q425" s="7" t="s">
        <v>48</v>
      </c>
      <c r="R425" s="25"/>
      <c r="S425" s="24"/>
      <c r="T425" s="24"/>
      <c r="U425" s="24"/>
      <c r="V425" s="25"/>
      <c r="W425" s="24"/>
      <c r="X425" s="25"/>
      <c r="Y425" s="13">
        <v>9578.76</v>
      </c>
      <c r="Z425" s="13">
        <v>11.31</v>
      </c>
      <c r="AA425" s="13">
        <v>12</v>
      </c>
      <c r="AB425" s="13">
        <v>4</v>
      </c>
      <c r="AC425" s="13">
        <v>2</v>
      </c>
      <c r="AD425" s="13">
        <v>682.43</v>
      </c>
      <c r="AE425" s="13">
        <v>682.43</v>
      </c>
      <c r="AF425" s="26">
        <f t="shared" si="22"/>
        <v>272.97199999999998</v>
      </c>
      <c r="AG425" s="27" t="s">
        <v>1505</v>
      </c>
    </row>
    <row r="426" spans="1:33" ht="36" x14ac:dyDescent="0.35">
      <c r="A426" s="15">
        <v>549</v>
      </c>
      <c r="B426" s="16">
        <v>549</v>
      </c>
      <c r="C426" s="17" t="s">
        <v>942</v>
      </c>
      <c r="D426" s="18">
        <v>2018</v>
      </c>
      <c r="E426" s="19" t="s">
        <v>945</v>
      </c>
      <c r="F426" s="16" t="s">
        <v>946</v>
      </c>
      <c r="G426" s="7" t="s">
        <v>38</v>
      </c>
      <c r="H426" s="16" t="s">
        <v>39</v>
      </c>
      <c r="I426" s="20">
        <v>63371</v>
      </c>
      <c r="J426" s="21">
        <v>82.3</v>
      </c>
      <c r="K426" s="16">
        <f>(13*2+20*2)*2</f>
        <v>132</v>
      </c>
      <c r="L426" s="22">
        <f t="shared" si="23"/>
        <v>0.60388821385176183</v>
      </c>
      <c r="M426" s="28"/>
      <c r="N426" s="7">
        <v>0</v>
      </c>
      <c r="O426" s="7"/>
      <c r="P426" s="24"/>
      <c r="Q426" s="7" t="s">
        <v>48</v>
      </c>
      <c r="R426" s="25"/>
      <c r="S426" s="24"/>
      <c r="T426" s="24"/>
      <c r="U426" s="24"/>
      <c r="V426" s="25"/>
      <c r="W426" s="24"/>
      <c r="X426" s="25"/>
      <c r="Y426" s="13">
        <v>2105.8200000000002</v>
      </c>
      <c r="Z426" s="13">
        <v>6.73</v>
      </c>
      <c r="AA426" s="13">
        <v>7</v>
      </c>
      <c r="AB426" s="13">
        <v>2</v>
      </c>
      <c r="AC426" s="13">
        <v>2</v>
      </c>
      <c r="AD426" s="13">
        <v>237.64</v>
      </c>
      <c r="AE426" s="13">
        <v>237.64</v>
      </c>
      <c r="AF426" s="26">
        <f t="shared" si="22"/>
        <v>95.055999999999997</v>
      </c>
      <c r="AG426" s="27" t="s">
        <v>1506</v>
      </c>
    </row>
    <row r="427" spans="1:33" ht="36" x14ac:dyDescent="0.35">
      <c r="A427" s="15">
        <v>551</v>
      </c>
      <c r="B427" s="16">
        <v>551</v>
      </c>
      <c r="C427" s="17" t="s">
        <v>942</v>
      </c>
      <c r="D427" s="18">
        <v>2017</v>
      </c>
      <c r="E427" s="19" t="s">
        <v>947</v>
      </c>
      <c r="F427" s="16" t="s">
        <v>948</v>
      </c>
      <c r="G427" s="7" t="s">
        <v>38</v>
      </c>
      <c r="H427" s="16" t="s">
        <v>39</v>
      </c>
      <c r="I427" s="20">
        <v>139300</v>
      </c>
      <c r="J427" s="21">
        <v>199</v>
      </c>
      <c r="K427" s="16">
        <f>(12*2+50*2)*2</f>
        <v>248</v>
      </c>
      <c r="L427" s="22">
        <f t="shared" si="23"/>
        <v>0.24623115577889454</v>
      </c>
      <c r="M427" s="28"/>
      <c r="N427" s="7">
        <v>0</v>
      </c>
      <c r="O427" s="7"/>
      <c r="P427" s="24"/>
      <c r="Q427" s="7" t="s">
        <v>48</v>
      </c>
      <c r="R427" s="25"/>
      <c r="S427" s="24"/>
      <c r="T427" s="24"/>
      <c r="U427" s="24"/>
      <c r="V427" s="25"/>
      <c r="W427" s="24"/>
      <c r="X427" s="25"/>
      <c r="Y427" s="13">
        <v>3185</v>
      </c>
      <c r="Z427" s="13">
        <v>9</v>
      </c>
      <c r="AA427" s="13">
        <v>9</v>
      </c>
      <c r="AB427" s="13">
        <v>3</v>
      </c>
      <c r="AC427" s="13">
        <v>2</v>
      </c>
      <c r="AD427" s="13">
        <v>349.76</v>
      </c>
      <c r="AE427" s="13">
        <v>349.76</v>
      </c>
      <c r="AF427" s="26">
        <f t="shared" si="22"/>
        <v>139.904</v>
      </c>
      <c r="AG427" s="27" t="s">
        <v>1507</v>
      </c>
    </row>
    <row r="428" spans="1:33" ht="36" x14ac:dyDescent="0.35">
      <c r="A428" s="15">
        <v>552</v>
      </c>
      <c r="B428" s="16">
        <v>552</v>
      </c>
      <c r="C428" s="17" t="s">
        <v>942</v>
      </c>
      <c r="D428" s="18">
        <v>2017</v>
      </c>
      <c r="E428" s="19" t="s">
        <v>949</v>
      </c>
      <c r="F428" s="16" t="s">
        <v>950</v>
      </c>
      <c r="G428" s="7" t="s">
        <v>38</v>
      </c>
      <c r="H428" s="16" t="s">
        <v>39</v>
      </c>
      <c r="I428" s="20">
        <v>210000</v>
      </c>
      <c r="J428" s="21">
        <v>300</v>
      </c>
      <c r="K428" s="16">
        <f>(36*2+12*2)*2</f>
        <v>192</v>
      </c>
      <c r="L428" s="22">
        <f t="shared" si="23"/>
        <v>-0.36</v>
      </c>
      <c r="M428" s="28">
        <v>1</v>
      </c>
      <c r="N428" s="7">
        <v>0</v>
      </c>
      <c r="O428" s="7"/>
      <c r="P428" s="24"/>
      <c r="Q428" s="7" t="s">
        <v>48</v>
      </c>
      <c r="R428" s="25"/>
      <c r="S428" s="24"/>
      <c r="T428" s="24"/>
      <c r="U428" s="24"/>
      <c r="V428" s="25"/>
      <c r="W428" s="24"/>
      <c r="X428" s="25"/>
      <c r="Y428" s="13">
        <v>2970</v>
      </c>
      <c r="Z428" s="13">
        <v>6.5</v>
      </c>
      <c r="AA428" s="13">
        <v>7</v>
      </c>
      <c r="AB428" s="13">
        <v>2</v>
      </c>
      <c r="AC428" s="13">
        <v>2</v>
      </c>
      <c r="AD428" s="13">
        <v>275.35000000000002</v>
      </c>
      <c r="AE428" s="13">
        <v>275.35000000000002</v>
      </c>
      <c r="AF428" s="26">
        <f t="shared" si="22"/>
        <v>110.14000000000001</v>
      </c>
      <c r="AG428" s="27" t="s">
        <v>1508</v>
      </c>
    </row>
    <row r="429" spans="1:33" ht="36" x14ac:dyDescent="0.35">
      <c r="A429" s="15">
        <v>553</v>
      </c>
      <c r="B429" s="16">
        <v>553</v>
      </c>
      <c r="C429" s="17" t="s">
        <v>942</v>
      </c>
      <c r="D429" s="18">
        <v>2018</v>
      </c>
      <c r="E429" s="19" t="s">
        <v>951</v>
      </c>
      <c r="F429" s="16" t="s">
        <v>952</v>
      </c>
      <c r="G429" s="7" t="s">
        <v>38</v>
      </c>
      <c r="H429" s="16" t="s">
        <v>39</v>
      </c>
      <c r="I429" s="20">
        <v>162470</v>
      </c>
      <c r="J429" s="21">
        <v>211</v>
      </c>
      <c r="K429" s="16">
        <f>(30*2+12*2)*2</f>
        <v>168</v>
      </c>
      <c r="L429" s="22">
        <f t="shared" si="23"/>
        <v>-0.20379146919431279</v>
      </c>
      <c r="M429" s="28">
        <v>1</v>
      </c>
      <c r="N429" s="7">
        <v>0</v>
      </c>
      <c r="O429" s="7"/>
      <c r="P429" s="24"/>
      <c r="Q429" s="7" t="s">
        <v>48</v>
      </c>
      <c r="R429" s="25"/>
      <c r="S429" s="24"/>
      <c r="T429" s="24"/>
      <c r="U429" s="24"/>
      <c r="V429" s="25"/>
      <c r="W429" s="24"/>
      <c r="X429" s="25"/>
      <c r="Y429" s="13">
        <v>2318</v>
      </c>
      <c r="Z429" s="13">
        <v>6.7</v>
      </c>
      <c r="AA429" s="13">
        <v>7</v>
      </c>
      <c r="AB429" s="13">
        <v>2</v>
      </c>
      <c r="AC429" s="13">
        <v>2</v>
      </c>
      <c r="AD429" s="13">
        <v>246.9</v>
      </c>
      <c r="AE429" s="13">
        <v>246.9</v>
      </c>
      <c r="AF429" s="26">
        <f t="shared" si="22"/>
        <v>98.76</v>
      </c>
      <c r="AG429" s="27" t="s">
        <v>1509</v>
      </c>
    </row>
    <row r="430" spans="1:33" ht="36" x14ac:dyDescent="0.35">
      <c r="A430" s="15">
        <v>557</v>
      </c>
      <c r="B430" s="16">
        <v>557</v>
      </c>
      <c r="C430" s="17" t="s">
        <v>942</v>
      </c>
      <c r="D430" s="18">
        <v>2017</v>
      </c>
      <c r="E430" s="19" t="s">
        <v>953</v>
      </c>
      <c r="F430" s="16" t="s">
        <v>954</v>
      </c>
      <c r="G430" s="7" t="s">
        <v>38</v>
      </c>
      <c r="H430" s="16" t="s">
        <v>39</v>
      </c>
      <c r="I430" s="20">
        <v>210000</v>
      </c>
      <c r="J430" s="21">
        <v>300</v>
      </c>
      <c r="K430" s="16"/>
      <c r="L430" s="28"/>
      <c r="M430" s="28"/>
      <c r="N430" s="7" t="s">
        <v>561</v>
      </c>
      <c r="O430" s="7"/>
      <c r="P430" s="24"/>
      <c r="Q430" s="7" t="s">
        <v>48</v>
      </c>
      <c r="R430" s="25"/>
      <c r="S430" s="24"/>
      <c r="T430" s="24" t="s">
        <v>42</v>
      </c>
      <c r="U430" s="24" t="s">
        <v>42</v>
      </c>
      <c r="V430" s="25"/>
      <c r="W430" s="24"/>
      <c r="X430" s="25"/>
      <c r="Y430" s="13">
        <v>8675</v>
      </c>
      <c r="Z430" s="13">
        <v>14.6</v>
      </c>
      <c r="AA430" s="13">
        <v>15</v>
      </c>
      <c r="AB430" s="13">
        <v>5</v>
      </c>
      <c r="AC430" s="13">
        <v>2</v>
      </c>
      <c r="AD430" s="13">
        <v>737.79</v>
      </c>
      <c r="AE430" s="13">
        <v>737.79</v>
      </c>
      <c r="AF430" s="26">
        <f t="shared" si="22"/>
        <v>295.11599999999999</v>
      </c>
      <c r="AG430" s="27" t="s">
        <v>1510</v>
      </c>
    </row>
    <row r="431" spans="1:33" ht="36" x14ac:dyDescent="0.35">
      <c r="A431" s="15">
        <v>558</v>
      </c>
      <c r="B431" s="16">
        <v>558</v>
      </c>
      <c r="C431" s="17" t="s">
        <v>942</v>
      </c>
      <c r="D431" s="18">
        <v>2017</v>
      </c>
      <c r="E431" s="19" t="s">
        <v>955</v>
      </c>
      <c r="F431" s="16" t="s">
        <v>956</v>
      </c>
      <c r="G431" s="7" t="s">
        <v>38</v>
      </c>
      <c r="H431" s="16" t="s">
        <v>39</v>
      </c>
      <c r="I431" s="20">
        <v>84000</v>
      </c>
      <c r="J431" s="21">
        <v>120</v>
      </c>
      <c r="K431" s="16">
        <f>(50*2+12*2)*2</f>
        <v>248</v>
      </c>
      <c r="L431" s="22">
        <f>(K431/J431)-1</f>
        <v>1.0666666666666669</v>
      </c>
      <c r="M431" s="28"/>
      <c r="N431" s="7">
        <v>0</v>
      </c>
      <c r="O431" s="7"/>
      <c r="P431" s="24"/>
      <c r="Q431" s="7" t="s">
        <v>48</v>
      </c>
      <c r="R431" s="25"/>
      <c r="S431" s="24"/>
      <c r="T431" s="24"/>
      <c r="U431" s="24"/>
      <c r="V431" s="25"/>
      <c r="W431" s="24"/>
      <c r="X431" s="25"/>
      <c r="Y431" s="13">
        <v>5827</v>
      </c>
      <c r="Z431" s="13">
        <v>8.5</v>
      </c>
      <c r="AA431" s="13">
        <v>9</v>
      </c>
      <c r="AB431" s="13">
        <v>3</v>
      </c>
      <c r="AC431" s="13">
        <v>2</v>
      </c>
      <c r="AD431" s="13">
        <v>458.56</v>
      </c>
      <c r="AE431" s="13">
        <v>458.56</v>
      </c>
      <c r="AF431" s="26">
        <f t="shared" si="22"/>
        <v>183.42400000000001</v>
      </c>
      <c r="AG431" s="27" t="s">
        <v>1511</v>
      </c>
    </row>
    <row r="432" spans="1:33" ht="36" x14ac:dyDescent="0.35">
      <c r="A432" s="15">
        <v>560</v>
      </c>
      <c r="B432" s="16">
        <v>560</v>
      </c>
      <c r="C432" s="17" t="s">
        <v>942</v>
      </c>
      <c r="D432" s="18">
        <v>2018</v>
      </c>
      <c r="E432" s="19" t="s">
        <v>957</v>
      </c>
      <c r="F432" s="16" t="s">
        <v>958</v>
      </c>
      <c r="G432" s="7" t="s">
        <v>38</v>
      </c>
      <c r="H432" s="16" t="s">
        <v>39</v>
      </c>
      <c r="I432" s="20">
        <v>204050</v>
      </c>
      <c r="J432" s="21">
        <v>265</v>
      </c>
      <c r="K432" s="16">
        <f>(30*2+12*2)*2</f>
        <v>168</v>
      </c>
      <c r="L432" s="22">
        <f>(K432/J432)-1</f>
        <v>-0.36603773584905663</v>
      </c>
      <c r="M432" s="28">
        <v>1</v>
      </c>
      <c r="N432" s="7">
        <v>0</v>
      </c>
      <c r="O432" s="7"/>
      <c r="P432" s="24"/>
      <c r="Q432" s="7" t="s">
        <v>48</v>
      </c>
      <c r="R432" s="25"/>
      <c r="S432" s="24"/>
      <c r="T432" s="24"/>
      <c r="U432" s="24"/>
      <c r="V432" s="25"/>
      <c r="W432" s="24"/>
      <c r="X432" s="25"/>
      <c r="Y432" s="13">
        <v>11369</v>
      </c>
      <c r="Z432" s="13">
        <v>14.5</v>
      </c>
      <c r="AA432" s="13">
        <v>15</v>
      </c>
      <c r="AB432" s="13">
        <v>5</v>
      </c>
      <c r="AC432" s="13">
        <v>2</v>
      </c>
      <c r="AD432" s="13">
        <v>828.63</v>
      </c>
      <c r="AE432" s="13">
        <v>828.63</v>
      </c>
      <c r="AF432" s="26">
        <f t="shared" si="22"/>
        <v>331.452</v>
      </c>
      <c r="AG432" s="27" t="s">
        <v>1512</v>
      </c>
    </row>
    <row r="433" spans="1:33" ht="48.6" customHeight="1" x14ac:dyDescent="0.35">
      <c r="A433" s="15">
        <v>562</v>
      </c>
      <c r="B433" s="16">
        <v>562</v>
      </c>
      <c r="C433" s="17" t="s">
        <v>959</v>
      </c>
      <c r="D433" s="18">
        <v>2018</v>
      </c>
      <c r="E433" s="19" t="s">
        <v>960</v>
      </c>
      <c r="F433" s="16" t="s">
        <v>961</v>
      </c>
      <c r="G433" s="7" t="s">
        <v>38</v>
      </c>
      <c r="H433" s="16" t="s">
        <v>39</v>
      </c>
      <c r="I433" s="20">
        <v>733040</v>
      </c>
      <c r="J433" s="21">
        <v>952</v>
      </c>
      <c r="K433" s="16"/>
      <c r="L433" s="28"/>
      <c r="M433" s="28"/>
      <c r="N433" s="7" t="s">
        <v>53</v>
      </c>
      <c r="O433" s="7" t="s">
        <v>54</v>
      </c>
      <c r="P433" s="24"/>
      <c r="Q433" s="7" t="s">
        <v>54</v>
      </c>
      <c r="R433" s="25">
        <v>6737497</v>
      </c>
      <c r="S433" s="24"/>
      <c r="T433" s="24"/>
      <c r="U433" s="24"/>
      <c r="V433" s="47">
        <v>6737497.2000000002</v>
      </c>
      <c r="W433" s="59" t="s">
        <v>43</v>
      </c>
      <c r="X433" s="25"/>
      <c r="Y433" s="13">
        <v>14077</v>
      </c>
      <c r="Z433" s="13">
        <v>13</v>
      </c>
      <c r="AA433" s="13">
        <v>13</v>
      </c>
      <c r="AB433" s="13">
        <v>5</v>
      </c>
      <c r="AC433" s="13">
        <v>2</v>
      </c>
      <c r="AD433" s="13">
        <v>955.09</v>
      </c>
      <c r="AE433" s="13"/>
      <c r="AF433" s="26">
        <f t="shared" si="22"/>
        <v>0</v>
      </c>
      <c r="AG433" s="27" t="s">
        <v>1513</v>
      </c>
    </row>
    <row r="434" spans="1:33" ht="54" x14ac:dyDescent="0.35">
      <c r="A434" s="15">
        <v>564</v>
      </c>
      <c r="B434" s="16">
        <v>564</v>
      </c>
      <c r="C434" s="17" t="s">
        <v>959</v>
      </c>
      <c r="D434" s="18">
        <v>2018</v>
      </c>
      <c r="E434" s="19" t="s">
        <v>962</v>
      </c>
      <c r="F434" s="16" t="s">
        <v>963</v>
      </c>
      <c r="G434" s="7" t="s">
        <v>38</v>
      </c>
      <c r="H434" s="16" t="s">
        <v>39</v>
      </c>
      <c r="I434" s="20">
        <v>87780</v>
      </c>
      <c r="J434" s="21">
        <v>114</v>
      </c>
      <c r="K434" s="16">
        <f>(36.2*2+8.2*2)*2</f>
        <v>177.60000000000002</v>
      </c>
      <c r="L434" s="22">
        <f>(K434/J434)-1</f>
        <v>0.55789473684210544</v>
      </c>
      <c r="M434" s="28"/>
      <c r="N434" s="7">
        <v>0</v>
      </c>
      <c r="O434" s="7"/>
      <c r="P434" s="24"/>
      <c r="Q434" s="7" t="s">
        <v>48</v>
      </c>
      <c r="R434" s="25"/>
      <c r="S434" s="24"/>
      <c r="T434" s="24"/>
      <c r="U434" s="24"/>
      <c r="V434" s="25"/>
      <c r="W434" s="24"/>
      <c r="X434" s="25"/>
      <c r="Y434" s="13">
        <v>8567.5</v>
      </c>
      <c r="Z434" s="13">
        <v>11.5</v>
      </c>
      <c r="AA434" s="13">
        <v>12</v>
      </c>
      <c r="AB434" s="13">
        <v>4</v>
      </c>
      <c r="AC434" s="13">
        <v>2</v>
      </c>
      <c r="AD434" s="13">
        <v>644.57000000000005</v>
      </c>
      <c r="AE434" s="13">
        <v>644.57000000000005</v>
      </c>
      <c r="AF434" s="26">
        <f t="shared" si="22"/>
        <v>257.82800000000003</v>
      </c>
      <c r="AG434" s="27" t="s">
        <v>1514</v>
      </c>
    </row>
    <row r="435" spans="1:33" ht="43.8" customHeight="1" x14ac:dyDescent="0.35">
      <c r="A435" s="15">
        <v>566</v>
      </c>
      <c r="B435" s="16">
        <v>566</v>
      </c>
      <c r="C435" s="17" t="s">
        <v>959</v>
      </c>
      <c r="D435" s="18">
        <v>2017</v>
      </c>
      <c r="E435" s="19" t="s">
        <v>964</v>
      </c>
      <c r="F435" s="16" t="s">
        <v>965</v>
      </c>
      <c r="G435" s="7" t="s">
        <v>38</v>
      </c>
      <c r="H435" s="16" t="s">
        <v>39</v>
      </c>
      <c r="I435" s="20">
        <v>459998</v>
      </c>
      <c r="J435" s="21">
        <v>657.14</v>
      </c>
      <c r="K435" s="16">
        <f>(42*2+11*2)*2</f>
        <v>212</v>
      </c>
      <c r="L435" s="22">
        <f>(K435/J435)-1</f>
        <v>-0.67738990169522473</v>
      </c>
      <c r="M435" s="28" t="s">
        <v>375</v>
      </c>
      <c r="N435" s="7">
        <v>0</v>
      </c>
      <c r="O435" s="7"/>
      <c r="P435" s="24"/>
      <c r="Q435" s="7" t="s">
        <v>41</v>
      </c>
      <c r="R435" s="25"/>
      <c r="S435" s="24"/>
      <c r="T435" s="24" t="s">
        <v>42</v>
      </c>
      <c r="U435" s="24" t="s">
        <v>42</v>
      </c>
      <c r="V435" s="25"/>
      <c r="W435" s="24"/>
      <c r="X435" s="25">
        <v>3404886.68</v>
      </c>
      <c r="Y435" s="13"/>
      <c r="Z435" s="13"/>
      <c r="AA435" s="13"/>
      <c r="AB435" s="13"/>
      <c r="AC435" s="13">
        <v>2</v>
      </c>
      <c r="AD435" s="13"/>
      <c r="AE435" s="13"/>
      <c r="AF435" s="26">
        <f t="shared" si="22"/>
        <v>0</v>
      </c>
      <c r="AG435" s="27" t="s">
        <v>1515</v>
      </c>
    </row>
    <row r="436" spans="1:33" ht="35.4" customHeight="1" x14ac:dyDescent="0.35">
      <c r="A436" s="15">
        <v>567</v>
      </c>
      <c r="B436" s="16">
        <v>567</v>
      </c>
      <c r="C436" s="17" t="s">
        <v>959</v>
      </c>
      <c r="D436" s="18">
        <v>2018</v>
      </c>
      <c r="E436" s="19" t="s">
        <v>966</v>
      </c>
      <c r="F436" s="16" t="s">
        <v>967</v>
      </c>
      <c r="G436" s="7" t="s">
        <v>38</v>
      </c>
      <c r="H436" s="16" t="s">
        <v>39</v>
      </c>
      <c r="I436" s="20">
        <v>458920</v>
      </c>
      <c r="J436" s="21">
        <v>596</v>
      </c>
      <c r="K436" s="16">
        <f>(42*2+11*2)*2</f>
        <v>212</v>
      </c>
      <c r="L436" s="22">
        <f>(K436/J436)-1</f>
        <v>-0.64429530201342278</v>
      </c>
      <c r="M436" s="28" t="s">
        <v>375</v>
      </c>
      <c r="N436" s="7">
        <v>0</v>
      </c>
      <c r="O436" s="7" t="s">
        <v>41</v>
      </c>
      <c r="P436" s="24"/>
      <c r="Q436" s="7" t="s">
        <v>41</v>
      </c>
      <c r="R436" s="25"/>
      <c r="S436" s="24"/>
      <c r="T436" s="24" t="s">
        <v>42</v>
      </c>
      <c r="U436" s="24" t="s">
        <v>42</v>
      </c>
      <c r="V436" s="25"/>
      <c r="W436" s="24"/>
      <c r="X436" s="25">
        <v>3851305.68</v>
      </c>
      <c r="Y436" s="13">
        <v>5245</v>
      </c>
      <c r="Z436" s="13">
        <v>10.57</v>
      </c>
      <c r="AA436" s="13">
        <v>11</v>
      </c>
      <c r="AB436" s="13">
        <v>3</v>
      </c>
      <c r="AC436" s="13">
        <v>2</v>
      </c>
      <c r="AD436" s="13"/>
      <c r="AE436" s="13"/>
      <c r="AF436" s="26">
        <f t="shared" si="22"/>
        <v>0</v>
      </c>
      <c r="AG436" s="27" t="s">
        <v>1516</v>
      </c>
    </row>
    <row r="437" spans="1:33" ht="47.4" customHeight="1" x14ac:dyDescent="0.35">
      <c r="A437" s="15">
        <v>570</v>
      </c>
      <c r="B437" s="16">
        <v>570</v>
      </c>
      <c r="C437" s="17" t="s">
        <v>959</v>
      </c>
      <c r="D437" s="18">
        <v>2017</v>
      </c>
      <c r="E437" s="19" t="s">
        <v>968</v>
      </c>
      <c r="F437" s="16" t="s">
        <v>969</v>
      </c>
      <c r="G437" s="7" t="s">
        <v>38</v>
      </c>
      <c r="H437" s="16" t="s">
        <v>39</v>
      </c>
      <c r="I437" s="20">
        <v>322000</v>
      </c>
      <c r="J437" s="21">
        <v>460</v>
      </c>
      <c r="K437" s="16">
        <f>(79.2*2+12.65*2)*2</f>
        <v>367.40000000000003</v>
      </c>
      <c r="L437" s="22">
        <f>(K437/J437)-1</f>
        <v>-0.20130434782608686</v>
      </c>
      <c r="M437" s="28">
        <v>1</v>
      </c>
      <c r="N437" s="7">
        <v>0</v>
      </c>
      <c r="O437" s="7" t="s">
        <v>41</v>
      </c>
      <c r="P437" s="24"/>
      <c r="Q437" s="7" t="s">
        <v>41</v>
      </c>
      <c r="R437" s="25"/>
      <c r="S437" s="24"/>
      <c r="T437" s="24" t="s">
        <v>42</v>
      </c>
      <c r="U437" s="24" t="s">
        <v>42</v>
      </c>
      <c r="V437" s="25"/>
      <c r="W437" s="24" t="s">
        <v>43</v>
      </c>
      <c r="X437" s="25">
        <v>11304381.49</v>
      </c>
      <c r="Y437" s="13">
        <v>2648</v>
      </c>
      <c r="Z437" s="13">
        <v>14.47</v>
      </c>
      <c r="AA437" s="13">
        <v>15</v>
      </c>
      <c r="AB437" s="13">
        <v>5</v>
      </c>
      <c r="AC437" s="13">
        <v>2</v>
      </c>
      <c r="AD437" s="13">
        <v>534.58000000000004</v>
      </c>
      <c r="AE437" s="13"/>
      <c r="AF437" s="26">
        <f t="shared" si="22"/>
        <v>0</v>
      </c>
      <c r="AG437" s="27" t="s">
        <v>1517</v>
      </c>
    </row>
    <row r="438" spans="1:33" ht="52.8" customHeight="1" x14ac:dyDescent="0.35">
      <c r="A438" s="15">
        <v>571</v>
      </c>
      <c r="B438" s="16">
        <v>571</v>
      </c>
      <c r="C438" s="17" t="s">
        <v>970</v>
      </c>
      <c r="D438" s="18">
        <v>2017</v>
      </c>
      <c r="E438" s="19" t="s">
        <v>971</v>
      </c>
      <c r="F438" s="16" t="s">
        <v>972</v>
      </c>
      <c r="G438" s="7" t="s">
        <v>46</v>
      </c>
      <c r="H438" s="16" t="s">
        <v>47</v>
      </c>
      <c r="I438" s="20">
        <v>4626.1000000000004</v>
      </c>
      <c r="J438" s="21">
        <v>9.6999999999999993</v>
      </c>
      <c r="K438" s="16"/>
      <c r="L438" s="28"/>
      <c r="M438" s="28"/>
      <c r="N438" s="7" t="s">
        <v>87</v>
      </c>
      <c r="O438" s="7" t="s">
        <v>54</v>
      </c>
      <c r="P438" s="24" t="s">
        <v>88</v>
      </c>
      <c r="Q438" s="7" t="s">
        <v>54</v>
      </c>
      <c r="R438" s="25">
        <v>936882.12</v>
      </c>
      <c r="S438" s="24"/>
      <c r="T438" s="24"/>
      <c r="U438" s="24"/>
      <c r="V438" s="25"/>
      <c r="W438" s="24"/>
      <c r="X438" s="25">
        <v>931882.12</v>
      </c>
      <c r="Y438" s="13"/>
      <c r="Z438" s="13"/>
      <c r="AA438" s="13"/>
      <c r="AB438" s="13"/>
      <c r="AC438" s="13">
        <v>2</v>
      </c>
      <c r="AD438" s="13"/>
      <c r="AE438" s="13"/>
      <c r="AF438" s="26">
        <f t="shared" si="22"/>
        <v>0</v>
      </c>
    </row>
    <row r="439" spans="1:33" ht="50.4" customHeight="1" x14ac:dyDescent="0.35">
      <c r="A439" s="15">
        <v>572</v>
      </c>
      <c r="B439" s="16">
        <v>572</v>
      </c>
      <c r="C439" s="17" t="s">
        <v>970</v>
      </c>
      <c r="D439" s="18">
        <v>2017</v>
      </c>
      <c r="E439" s="19" t="s">
        <v>973</v>
      </c>
      <c r="F439" s="16" t="s">
        <v>974</v>
      </c>
      <c r="G439" s="7" t="s">
        <v>46</v>
      </c>
      <c r="H439" s="16" t="s">
        <v>47</v>
      </c>
      <c r="I439" s="20">
        <v>4769.18</v>
      </c>
      <c r="J439" s="21">
        <v>10</v>
      </c>
      <c r="K439" s="16"/>
      <c r="L439" s="28"/>
      <c r="M439" s="28"/>
      <c r="N439" s="7" t="s">
        <v>365</v>
      </c>
      <c r="O439" s="7" t="s">
        <v>54</v>
      </c>
      <c r="P439" s="24" t="s">
        <v>88</v>
      </c>
      <c r="Q439" s="7" t="s">
        <v>54</v>
      </c>
      <c r="R439" s="25">
        <v>955296.25</v>
      </c>
      <c r="S439" s="24"/>
      <c r="T439" s="24" t="s">
        <v>42</v>
      </c>
      <c r="U439" s="24" t="s">
        <v>42</v>
      </c>
      <c r="V439" s="25"/>
      <c r="W439" s="24"/>
      <c r="X439" s="25">
        <v>950296.25</v>
      </c>
      <c r="Y439" s="13"/>
      <c r="Z439" s="13"/>
      <c r="AA439" s="13"/>
      <c r="AB439" s="13"/>
      <c r="AC439" s="13">
        <v>2</v>
      </c>
      <c r="AD439" s="13"/>
      <c r="AE439" s="13"/>
      <c r="AF439" s="26">
        <f t="shared" si="22"/>
        <v>0</v>
      </c>
    </row>
    <row r="440" spans="1:33" ht="54" x14ac:dyDescent="0.35">
      <c r="A440" s="15">
        <v>574</v>
      </c>
      <c r="B440" s="16">
        <v>574</v>
      </c>
      <c r="C440" s="17" t="s">
        <v>970</v>
      </c>
      <c r="D440" s="18">
        <v>2017</v>
      </c>
      <c r="E440" s="19" t="s">
        <v>975</v>
      </c>
      <c r="F440" s="16" t="s">
        <v>976</v>
      </c>
      <c r="G440" s="7" t="s">
        <v>38</v>
      </c>
      <c r="H440" s="16" t="s">
        <v>39</v>
      </c>
      <c r="I440" s="20">
        <v>318640</v>
      </c>
      <c r="J440" s="21">
        <v>455.2</v>
      </c>
      <c r="K440" s="16">
        <f>112*2.5</f>
        <v>280</v>
      </c>
      <c r="L440" s="22">
        <f t="shared" ref="L440:L446" si="24">(K440/J440)-1</f>
        <v>-0.38488576449912126</v>
      </c>
      <c r="M440" s="28" t="s">
        <v>375</v>
      </c>
      <c r="N440" s="7">
        <v>0</v>
      </c>
      <c r="O440" s="7"/>
      <c r="P440" s="24"/>
      <c r="Q440" s="7" t="s">
        <v>48</v>
      </c>
      <c r="R440" s="25"/>
      <c r="S440" s="24"/>
      <c r="T440" s="24"/>
      <c r="U440" s="24"/>
      <c r="V440" s="25">
        <v>5359245.07</v>
      </c>
      <c r="W440" s="24"/>
      <c r="X440" s="25"/>
      <c r="Y440" s="13">
        <v>5211</v>
      </c>
      <c r="Z440" s="13">
        <v>9.83</v>
      </c>
      <c r="AA440" s="13">
        <v>10</v>
      </c>
      <c r="AB440" s="13">
        <v>3</v>
      </c>
      <c r="AC440" s="13">
        <v>2</v>
      </c>
      <c r="AD440" s="13">
        <v>428.05</v>
      </c>
      <c r="AE440" s="13"/>
      <c r="AF440" s="26">
        <f t="shared" si="22"/>
        <v>0</v>
      </c>
      <c r="AG440" s="27" t="s">
        <v>1518</v>
      </c>
    </row>
    <row r="441" spans="1:33" ht="54" x14ac:dyDescent="0.35">
      <c r="A441" s="15">
        <v>576</v>
      </c>
      <c r="B441" s="16">
        <v>576</v>
      </c>
      <c r="C441" s="17" t="s">
        <v>970</v>
      </c>
      <c r="D441" s="18">
        <v>2017</v>
      </c>
      <c r="E441" s="19" t="s">
        <v>977</v>
      </c>
      <c r="F441" s="16" t="s">
        <v>978</v>
      </c>
      <c r="G441" s="7" t="s">
        <v>38</v>
      </c>
      <c r="H441" s="16" t="s">
        <v>39</v>
      </c>
      <c r="I441" s="20">
        <v>289051</v>
      </c>
      <c r="J441" s="21">
        <v>412.93</v>
      </c>
      <c r="K441" s="16">
        <f>125*2.5</f>
        <v>312.5</v>
      </c>
      <c r="L441" s="22">
        <f t="shared" si="24"/>
        <v>-0.24321313539825151</v>
      </c>
      <c r="M441" s="28" t="s">
        <v>375</v>
      </c>
      <c r="N441" s="7">
        <v>0</v>
      </c>
      <c r="O441" s="7"/>
      <c r="P441" s="24"/>
      <c r="Q441" s="7" t="s">
        <v>48</v>
      </c>
      <c r="R441" s="25"/>
      <c r="S441" s="24"/>
      <c r="T441" s="24"/>
      <c r="U441" s="24"/>
      <c r="V441" s="25">
        <v>7767824.9199999999</v>
      </c>
      <c r="W441" s="24"/>
      <c r="X441" s="25"/>
      <c r="Y441" s="13">
        <v>6625</v>
      </c>
      <c r="Z441" s="13">
        <v>10.8</v>
      </c>
      <c r="AA441" s="13">
        <v>11</v>
      </c>
      <c r="AB441" s="13">
        <v>3</v>
      </c>
      <c r="AC441" s="13">
        <v>2</v>
      </c>
      <c r="AD441" s="13">
        <v>428.94</v>
      </c>
      <c r="AE441" s="13"/>
      <c r="AF441" s="26">
        <f t="shared" si="22"/>
        <v>0</v>
      </c>
      <c r="AG441" s="27" t="s">
        <v>1519</v>
      </c>
    </row>
    <row r="442" spans="1:33" ht="43.2" customHeight="1" x14ac:dyDescent="0.35">
      <c r="A442" s="15">
        <v>578</v>
      </c>
      <c r="B442" s="16">
        <v>578</v>
      </c>
      <c r="C442" s="17" t="s">
        <v>970</v>
      </c>
      <c r="D442" s="18">
        <v>2017</v>
      </c>
      <c r="E442" s="19" t="s">
        <v>979</v>
      </c>
      <c r="F442" s="16" t="s">
        <v>980</v>
      </c>
      <c r="G442" s="7" t="s">
        <v>38</v>
      </c>
      <c r="H442" s="16" t="s">
        <v>39</v>
      </c>
      <c r="I442" s="20">
        <v>295666</v>
      </c>
      <c r="J442" s="21">
        <v>422.38</v>
      </c>
      <c r="K442" s="16">
        <f>112*2.5</f>
        <v>280</v>
      </c>
      <c r="L442" s="22">
        <f t="shared" si="24"/>
        <v>-0.33708982432880341</v>
      </c>
      <c r="M442" s="28" t="s">
        <v>375</v>
      </c>
      <c r="N442" s="7">
        <v>0</v>
      </c>
      <c r="O442" s="7"/>
      <c r="P442" s="24"/>
      <c r="Q442" s="7" t="s">
        <v>48</v>
      </c>
      <c r="R442" s="25"/>
      <c r="S442" s="24"/>
      <c r="T442" s="24"/>
      <c r="U442" s="24"/>
      <c r="V442" s="25">
        <v>3078850.26</v>
      </c>
      <c r="W442" s="24"/>
      <c r="X442" s="25"/>
      <c r="Y442" s="13">
        <v>3469</v>
      </c>
      <c r="Z442" s="13">
        <v>6.49</v>
      </c>
      <c r="AA442" s="13">
        <v>7</v>
      </c>
      <c r="AB442" s="13">
        <v>2</v>
      </c>
      <c r="AC442" s="13">
        <v>2</v>
      </c>
      <c r="AD442" s="13">
        <v>297.13</v>
      </c>
      <c r="AE442" s="13"/>
      <c r="AF442" s="26">
        <f t="shared" si="22"/>
        <v>0</v>
      </c>
      <c r="AG442" s="27" t="s">
        <v>1520</v>
      </c>
    </row>
    <row r="443" spans="1:33" ht="54" x14ac:dyDescent="0.35">
      <c r="A443" s="15">
        <v>580</v>
      </c>
      <c r="B443" s="16">
        <v>580</v>
      </c>
      <c r="C443" s="17" t="s">
        <v>970</v>
      </c>
      <c r="D443" s="18">
        <v>2017</v>
      </c>
      <c r="E443" s="19" t="s">
        <v>981</v>
      </c>
      <c r="F443" s="16" t="s">
        <v>982</v>
      </c>
      <c r="G443" s="7" t="s">
        <v>38</v>
      </c>
      <c r="H443" s="16" t="s">
        <v>39</v>
      </c>
      <c r="I443" s="20">
        <v>398104</v>
      </c>
      <c r="J443" s="21">
        <v>568.72</v>
      </c>
      <c r="K443" s="16">
        <f>149*2.5</f>
        <v>372.5</v>
      </c>
      <c r="L443" s="22">
        <f t="shared" si="24"/>
        <v>-0.34502039668026452</v>
      </c>
      <c r="M443" s="28" t="s">
        <v>375</v>
      </c>
      <c r="N443" s="7">
        <v>0</v>
      </c>
      <c r="O443" s="7"/>
      <c r="P443" s="24"/>
      <c r="Q443" s="7" t="s">
        <v>48</v>
      </c>
      <c r="R443" s="25"/>
      <c r="S443" s="24"/>
      <c r="T443" s="24"/>
      <c r="U443" s="24"/>
      <c r="V443" s="25"/>
      <c r="W443" s="24"/>
      <c r="X443" s="25"/>
      <c r="Y443" s="13">
        <v>7566</v>
      </c>
      <c r="Z443" s="13">
        <v>9.77</v>
      </c>
      <c r="AA443" s="13">
        <v>10</v>
      </c>
      <c r="AB443" s="13">
        <v>3</v>
      </c>
      <c r="AC443" s="13">
        <v>2</v>
      </c>
      <c r="AD443" s="13">
        <v>522.71</v>
      </c>
      <c r="AE443" s="13">
        <v>522.71</v>
      </c>
      <c r="AF443" s="26">
        <f t="shared" si="22"/>
        <v>209.08400000000003</v>
      </c>
      <c r="AG443" s="27" t="s">
        <v>1521</v>
      </c>
    </row>
    <row r="444" spans="1:33" ht="43.8" customHeight="1" x14ac:dyDescent="0.35">
      <c r="A444" s="15">
        <v>582</v>
      </c>
      <c r="B444" s="16">
        <v>582</v>
      </c>
      <c r="C444" s="17" t="s">
        <v>970</v>
      </c>
      <c r="D444" s="18">
        <v>2017</v>
      </c>
      <c r="E444" s="19" t="s">
        <v>983</v>
      </c>
      <c r="F444" s="16" t="s">
        <v>984</v>
      </c>
      <c r="G444" s="7" t="s">
        <v>38</v>
      </c>
      <c r="H444" s="16" t="s">
        <v>39</v>
      </c>
      <c r="I444" s="20">
        <v>277991</v>
      </c>
      <c r="J444" s="21">
        <v>397.13</v>
      </c>
      <c r="K444" s="16">
        <f>(52*2+14.1*2)*2</f>
        <v>264.39999999999998</v>
      </c>
      <c r="L444" s="22">
        <f t="shared" si="24"/>
        <v>-0.33422305038652333</v>
      </c>
      <c r="M444" s="28" t="s">
        <v>375</v>
      </c>
      <c r="N444" s="7">
        <v>0</v>
      </c>
      <c r="O444" s="7"/>
      <c r="P444" s="24"/>
      <c r="Q444" s="7" t="s">
        <v>48</v>
      </c>
      <c r="R444" s="25"/>
      <c r="S444" s="24"/>
      <c r="T444" s="24"/>
      <c r="U444" s="24"/>
      <c r="V444" s="25"/>
      <c r="W444" s="24"/>
      <c r="X444" s="25"/>
      <c r="Y444" s="13">
        <v>10844</v>
      </c>
      <c r="Z444" s="13">
        <v>14.95</v>
      </c>
      <c r="AA444" s="13">
        <v>15</v>
      </c>
      <c r="AB444" s="13">
        <v>4</v>
      </c>
      <c r="AC444" s="13">
        <v>2</v>
      </c>
      <c r="AD444" s="13">
        <v>689.48</v>
      </c>
      <c r="AE444" s="13">
        <v>689.48</v>
      </c>
      <c r="AF444" s="26">
        <f t="shared" si="22"/>
        <v>275.79200000000003</v>
      </c>
      <c r="AG444" s="27" t="s">
        <v>1522</v>
      </c>
    </row>
    <row r="445" spans="1:33" ht="54" x14ac:dyDescent="0.35">
      <c r="A445" s="15">
        <v>583</v>
      </c>
      <c r="B445" s="16">
        <v>583</v>
      </c>
      <c r="C445" s="17" t="s">
        <v>970</v>
      </c>
      <c r="D445" s="18">
        <v>2017</v>
      </c>
      <c r="E445" s="19" t="s">
        <v>985</v>
      </c>
      <c r="F445" s="16" t="s">
        <v>986</v>
      </c>
      <c r="G445" s="7" t="s">
        <v>46</v>
      </c>
      <c r="H445" s="16" t="s">
        <v>47</v>
      </c>
      <c r="I445" s="20">
        <v>4807.33</v>
      </c>
      <c r="J445" s="21">
        <v>10.08</v>
      </c>
      <c r="K445" s="16">
        <f>2.6*0.9*8</f>
        <v>18.720000000000002</v>
      </c>
      <c r="L445" s="22">
        <f t="shared" si="24"/>
        <v>0.85714285714285743</v>
      </c>
      <c r="M445" s="28"/>
      <c r="N445" s="7">
        <v>0</v>
      </c>
      <c r="O445" s="7"/>
      <c r="P445" s="24"/>
      <c r="Q445" s="7" t="s">
        <v>48</v>
      </c>
      <c r="R445" s="25"/>
      <c r="S445" s="24"/>
      <c r="T445" s="24"/>
      <c r="U445" s="24"/>
      <c r="V445" s="25"/>
      <c r="W445" s="24"/>
      <c r="X445" s="25"/>
      <c r="Y445" s="13">
        <v>12464</v>
      </c>
      <c r="Z445" s="13">
        <v>17.600000000000001</v>
      </c>
      <c r="AA445" s="13">
        <v>18</v>
      </c>
      <c r="AB445" s="13">
        <v>4</v>
      </c>
      <c r="AC445" s="13">
        <v>2</v>
      </c>
      <c r="AD445" s="13">
        <v>559.80999999999995</v>
      </c>
      <c r="AE445" s="13">
        <v>559.80999999999995</v>
      </c>
      <c r="AF445" s="26">
        <f t="shared" si="22"/>
        <v>223.92399999999998</v>
      </c>
      <c r="AG445" s="27" t="s">
        <v>1523</v>
      </c>
    </row>
    <row r="446" spans="1:33" ht="54" x14ac:dyDescent="0.35">
      <c r="A446" s="15">
        <v>584</v>
      </c>
      <c r="B446" s="16">
        <v>584</v>
      </c>
      <c r="C446" s="17" t="s">
        <v>970</v>
      </c>
      <c r="D446" s="18">
        <v>2017</v>
      </c>
      <c r="E446" s="19" t="s">
        <v>987</v>
      </c>
      <c r="F446" s="16" t="s">
        <v>988</v>
      </c>
      <c r="G446" s="7" t="s">
        <v>46</v>
      </c>
      <c r="H446" s="16" t="s">
        <v>47</v>
      </c>
      <c r="I446" s="20">
        <v>11446.03</v>
      </c>
      <c r="J446" s="21">
        <v>24</v>
      </c>
      <c r="K446" s="16">
        <f>2.6*0.9*7+2.2*0.3*12</f>
        <v>24.300000000000004</v>
      </c>
      <c r="L446" s="22">
        <f t="shared" si="24"/>
        <v>1.2500000000000178E-2</v>
      </c>
      <c r="M446" s="28">
        <v>1</v>
      </c>
      <c r="N446" s="7">
        <v>0</v>
      </c>
      <c r="O446" s="7"/>
      <c r="P446" s="24"/>
      <c r="Q446" s="7" t="s">
        <v>48</v>
      </c>
      <c r="R446" s="25"/>
      <c r="S446" s="24"/>
      <c r="T446" s="24"/>
      <c r="U446" s="24"/>
      <c r="V446" s="25"/>
      <c r="W446" s="24"/>
      <c r="X446" s="25"/>
      <c r="Y446" s="13">
        <v>15160</v>
      </c>
      <c r="Z446" s="13">
        <v>15.6</v>
      </c>
      <c r="AA446" s="13">
        <v>16</v>
      </c>
      <c r="AB446" s="13">
        <v>4</v>
      </c>
      <c r="AC446" s="13">
        <v>2</v>
      </c>
      <c r="AD446" s="13">
        <v>680.01</v>
      </c>
      <c r="AE446" s="13">
        <v>680.01</v>
      </c>
      <c r="AF446" s="26">
        <f t="shared" si="22"/>
        <v>272.00400000000002</v>
      </c>
      <c r="AG446" s="27" t="s">
        <v>1524</v>
      </c>
    </row>
    <row r="447" spans="1:33" ht="54" customHeight="1" x14ac:dyDescent="0.35">
      <c r="A447" s="15">
        <v>585</v>
      </c>
      <c r="B447" s="16">
        <v>585</v>
      </c>
      <c r="C447" s="17" t="s">
        <v>970</v>
      </c>
      <c r="D447" s="18">
        <v>2017</v>
      </c>
      <c r="E447" s="19" t="s">
        <v>989</v>
      </c>
      <c r="F447" s="16" t="s">
        <v>990</v>
      </c>
      <c r="G447" s="7" t="s">
        <v>46</v>
      </c>
      <c r="H447" s="16" t="s">
        <v>47</v>
      </c>
      <c r="I447" s="20">
        <v>59519.33</v>
      </c>
      <c r="J447" s="21">
        <v>124.8</v>
      </c>
      <c r="K447" s="16">
        <v>122.88</v>
      </c>
      <c r="L447" s="28"/>
      <c r="M447" s="28"/>
      <c r="N447" s="53" t="s">
        <v>87</v>
      </c>
      <c r="O447" s="7" t="s">
        <v>54</v>
      </c>
      <c r="P447" s="24" t="s">
        <v>88</v>
      </c>
      <c r="Q447" s="7" t="s">
        <v>54</v>
      </c>
      <c r="R447" s="25">
        <v>8811133.1199999992</v>
      </c>
      <c r="S447" s="24"/>
      <c r="T447" s="24"/>
      <c r="U447" s="24"/>
      <c r="V447" s="25"/>
      <c r="W447" s="24"/>
      <c r="X447" s="25">
        <v>8806133.1199999992</v>
      </c>
      <c r="Y447" s="13"/>
      <c r="Z447" s="13"/>
      <c r="AA447" s="13"/>
      <c r="AB447" s="13"/>
      <c r="AC447" s="13">
        <v>2</v>
      </c>
      <c r="AD447" s="13"/>
      <c r="AE447" s="13"/>
      <c r="AF447" s="26">
        <f t="shared" si="22"/>
        <v>0</v>
      </c>
    </row>
    <row r="448" spans="1:33" ht="44.4" customHeight="1" x14ac:dyDescent="0.35">
      <c r="A448" s="15">
        <v>586</v>
      </c>
      <c r="B448" s="16">
        <v>586</v>
      </c>
      <c r="C448" s="17" t="s">
        <v>970</v>
      </c>
      <c r="D448" s="18">
        <v>2017</v>
      </c>
      <c r="E448" s="19" t="s">
        <v>991</v>
      </c>
      <c r="F448" s="16" t="s">
        <v>992</v>
      </c>
      <c r="G448" s="7" t="s">
        <v>38</v>
      </c>
      <c r="H448" s="16" t="s">
        <v>39</v>
      </c>
      <c r="I448" s="20">
        <v>365120</v>
      </c>
      <c r="J448" s="21">
        <v>521.6</v>
      </c>
      <c r="K448" s="16">
        <f>(37*2+13*2)*2</f>
        <v>200</v>
      </c>
      <c r="L448" s="22">
        <f t="shared" ref="L448:L453" si="25">(K448/J448)-1</f>
        <v>-0.6165644171779141</v>
      </c>
      <c r="M448" s="28" t="s">
        <v>375</v>
      </c>
      <c r="N448" s="7">
        <v>0</v>
      </c>
      <c r="O448" s="7"/>
      <c r="P448" s="24"/>
      <c r="Q448" s="7" t="s">
        <v>48</v>
      </c>
      <c r="R448" s="25"/>
      <c r="S448" s="24"/>
      <c r="T448" s="24" t="s">
        <v>42</v>
      </c>
      <c r="U448" s="24" t="s">
        <v>42</v>
      </c>
      <c r="V448" s="25">
        <v>5785820.2199999997</v>
      </c>
      <c r="W448" s="24"/>
      <c r="X448" s="25"/>
      <c r="Y448" s="13">
        <v>2329</v>
      </c>
      <c r="Z448" s="13">
        <v>5.55</v>
      </c>
      <c r="AA448" s="13">
        <v>6</v>
      </c>
      <c r="AB448" s="13">
        <v>2</v>
      </c>
      <c r="AC448" s="13">
        <v>2</v>
      </c>
      <c r="AD448" s="13">
        <v>250.24</v>
      </c>
      <c r="AE448" s="13"/>
      <c r="AF448" s="26">
        <f t="shared" si="22"/>
        <v>0</v>
      </c>
      <c r="AG448" s="27" t="s">
        <v>1525</v>
      </c>
    </row>
    <row r="449" spans="1:33" ht="36" x14ac:dyDescent="0.35">
      <c r="A449" s="15">
        <v>587</v>
      </c>
      <c r="B449" s="16">
        <v>587</v>
      </c>
      <c r="C449" s="17" t="s">
        <v>970</v>
      </c>
      <c r="D449" s="18">
        <v>2017</v>
      </c>
      <c r="E449" s="19" t="s">
        <v>993</v>
      </c>
      <c r="F449" s="16" t="s">
        <v>994</v>
      </c>
      <c r="G449" s="7" t="s">
        <v>38</v>
      </c>
      <c r="H449" s="16" t="s">
        <v>39</v>
      </c>
      <c r="I449" s="20">
        <v>126119</v>
      </c>
      <c r="J449" s="21">
        <v>180.17</v>
      </c>
      <c r="K449" s="16">
        <f>(37*2+13*2)*2</f>
        <v>200</v>
      </c>
      <c r="L449" s="22">
        <f t="shared" si="25"/>
        <v>0.11006271854359784</v>
      </c>
      <c r="M449" s="28">
        <v>1</v>
      </c>
      <c r="N449" s="7">
        <v>0</v>
      </c>
      <c r="O449" s="7"/>
      <c r="P449" s="24"/>
      <c r="Q449" s="7" t="s">
        <v>48</v>
      </c>
      <c r="R449" s="25"/>
      <c r="S449" s="24"/>
      <c r="T449" s="24"/>
      <c r="U449" s="24"/>
      <c r="V449" s="25"/>
      <c r="W449" s="24"/>
      <c r="X449" s="25"/>
      <c r="Y449" s="13">
        <v>3301</v>
      </c>
      <c r="Z449" s="13">
        <v>6.6</v>
      </c>
      <c r="AA449" s="13">
        <v>7</v>
      </c>
      <c r="AB449" s="13">
        <v>2</v>
      </c>
      <c r="AC449" s="13">
        <v>2</v>
      </c>
      <c r="AD449" s="13">
        <v>289.8</v>
      </c>
      <c r="AE449" s="13">
        <v>289.8</v>
      </c>
      <c r="AF449" s="26">
        <f t="shared" si="22"/>
        <v>115.92000000000002</v>
      </c>
      <c r="AG449" s="27" t="s">
        <v>1526</v>
      </c>
    </row>
    <row r="450" spans="1:33" ht="36" x14ac:dyDescent="0.35">
      <c r="A450" s="15">
        <v>588</v>
      </c>
      <c r="B450" s="16">
        <v>588</v>
      </c>
      <c r="C450" s="17" t="s">
        <v>970</v>
      </c>
      <c r="D450" s="18">
        <v>2017</v>
      </c>
      <c r="E450" s="19" t="s">
        <v>995</v>
      </c>
      <c r="F450" s="16" t="s">
        <v>996</v>
      </c>
      <c r="G450" s="7" t="s">
        <v>38</v>
      </c>
      <c r="H450" s="16" t="s">
        <v>39</v>
      </c>
      <c r="I450" s="20">
        <v>94829</v>
      </c>
      <c r="J450" s="21">
        <v>135.47</v>
      </c>
      <c r="K450" s="16">
        <f>(36*2+14*2)*2</f>
        <v>200</v>
      </c>
      <c r="L450" s="22">
        <f t="shared" si="25"/>
        <v>0.47634162545212955</v>
      </c>
      <c r="M450" s="28"/>
      <c r="N450" s="7">
        <v>0</v>
      </c>
      <c r="O450" s="7"/>
      <c r="P450" s="24"/>
      <c r="Q450" s="7" t="s">
        <v>48</v>
      </c>
      <c r="R450" s="25"/>
      <c r="S450" s="24"/>
      <c r="T450" s="24"/>
      <c r="U450" s="24"/>
      <c r="V450" s="25"/>
      <c r="W450" s="24"/>
      <c r="X450" s="25"/>
      <c r="Y450" s="13">
        <v>2219</v>
      </c>
      <c r="Z450" s="13">
        <v>6.6</v>
      </c>
      <c r="AA450" s="13">
        <v>7</v>
      </c>
      <c r="AB450" s="13">
        <v>2</v>
      </c>
      <c r="AC450" s="13">
        <v>2</v>
      </c>
      <c r="AD450" s="13">
        <v>242.58</v>
      </c>
      <c r="AE450" s="13">
        <v>242.58</v>
      </c>
      <c r="AF450" s="26">
        <f t="shared" si="22"/>
        <v>97.032000000000011</v>
      </c>
      <c r="AG450" s="27" t="s">
        <v>1527</v>
      </c>
    </row>
    <row r="451" spans="1:33" ht="36" x14ac:dyDescent="0.35">
      <c r="A451" s="15">
        <v>589</v>
      </c>
      <c r="B451" s="16">
        <v>589</v>
      </c>
      <c r="C451" s="17" t="s">
        <v>970</v>
      </c>
      <c r="D451" s="18">
        <v>2017</v>
      </c>
      <c r="E451" s="19" t="s">
        <v>997</v>
      </c>
      <c r="F451" s="16" t="s">
        <v>998</v>
      </c>
      <c r="G451" s="7" t="s">
        <v>38</v>
      </c>
      <c r="H451" s="16" t="s">
        <v>39</v>
      </c>
      <c r="I451" s="20">
        <v>123851</v>
      </c>
      <c r="J451" s="21">
        <v>176.93</v>
      </c>
      <c r="K451" s="16">
        <f>(21.95*2+14.95*2)*2</f>
        <v>147.6</v>
      </c>
      <c r="L451" s="22">
        <f t="shared" si="25"/>
        <v>-0.16577177414796818</v>
      </c>
      <c r="M451" s="28">
        <v>1</v>
      </c>
      <c r="N451" s="7">
        <v>0</v>
      </c>
      <c r="O451" s="7"/>
      <c r="P451" s="24"/>
      <c r="Q451" s="7" t="s">
        <v>48</v>
      </c>
      <c r="R451" s="25"/>
      <c r="S451" s="24"/>
      <c r="T451" s="24"/>
      <c r="U451" s="24"/>
      <c r="V451" s="25"/>
      <c r="W451" s="24"/>
      <c r="X451" s="25"/>
      <c r="Y451" s="13">
        <v>2584</v>
      </c>
      <c r="Z451" s="13">
        <v>6.28</v>
      </c>
      <c r="AA451" s="13">
        <v>7</v>
      </c>
      <c r="AB451" s="13">
        <v>2</v>
      </c>
      <c r="AC451" s="13">
        <v>2</v>
      </c>
      <c r="AD451" s="13">
        <v>258.51</v>
      </c>
      <c r="AE451" s="13">
        <v>258.51</v>
      </c>
      <c r="AF451" s="26">
        <f t="shared" si="22"/>
        <v>103.404</v>
      </c>
      <c r="AG451" s="27" t="s">
        <v>1528</v>
      </c>
    </row>
    <row r="452" spans="1:33" ht="36" x14ac:dyDescent="0.35">
      <c r="A452" s="15">
        <v>590</v>
      </c>
      <c r="B452" s="16">
        <v>590</v>
      </c>
      <c r="C452" s="17" t="s">
        <v>970</v>
      </c>
      <c r="D452" s="18">
        <v>2017</v>
      </c>
      <c r="E452" s="19" t="s">
        <v>999</v>
      </c>
      <c r="F452" s="16" t="s">
        <v>1000</v>
      </c>
      <c r="G452" s="7" t="s">
        <v>38</v>
      </c>
      <c r="H452" s="16" t="s">
        <v>39</v>
      </c>
      <c r="I452" s="20">
        <v>123095</v>
      </c>
      <c r="J452" s="21">
        <v>175.85</v>
      </c>
      <c r="K452" s="16">
        <f>(30*2+10.95*2)*2</f>
        <v>163.80000000000001</v>
      </c>
      <c r="L452" s="22">
        <f t="shared" si="25"/>
        <v>-6.8524310491896445E-2</v>
      </c>
      <c r="M452" s="28">
        <v>1</v>
      </c>
      <c r="N452" s="7">
        <v>0</v>
      </c>
      <c r="O452" s="7"/>
      <c r="P452" s="24"/>
      <c r="Q452" s="7" t="s">
        <v>48</v>
      </c>
      <c r="R452" s="25"/>
      <c r="S452" s="24"/>
      <c r="T452" s="24"/>
      <c r="U452" s="24"/>
      <c r="V452" s="25"/>
      <c r="W452" s="24"/>
      <c r="X452" s="25"/>
      <c r="Y452" s="13">
        <v>2795</v>
      </c>
      <c r="Z452" s="13">
        <v>6.73</v>
      </c>
      <c r="AA452" s="13">
        <v>7</v>
      </c>
      <c r="AB452" s="13">
        <v>2</v>
      </c>
      <c r="AC452" s="13">
        <v>2</v>
      </c>
      <c r="AD452" s="13">
        <v>267.72000000000003</v>
      </c>
      <c r="AE452" s="13">
        <v>267.72000000000003</v>
      </c>
      <c r="AF452" s="26">
        <f t="shared" ref="AF452:AF515" si="26">AE452*0.4</f>
        <v>107.08800000000002</v>
      </c>
      <c r="AG452" s="27" t="s">
        <v>1529</v>
      </c>
    </row>
    <row r="453" spans="1:33" ht="42" customHeight="1" x14ac:dyDescent="0.35">
      <c r="A453" s="15">
        <v>591</v>
      </c>
      <c r="B453" s="16">
        <v>591</v>
      </c>
      <c r="C453" s="17" t="s">
        <v>970</v>
      </c>
      <c r="D453" s="18">
        <v>2017</v>
      </c>
      <c r="E453" s="19" t="s">
        <v>1001</v>
      </c>
      <c r="F453" s="16" t="s">
        <v>1002</v>
      </c>
      <c r="G453" s="7" t="s">
        <v>38</v>
      </c>
      <c r="H453" s="16" t="s">
        <v>39</v>
      </c>
      <c r="I453" s="20">
        <v>155029</v>
      </c>
      <c r="J453" s="21">
        <v>221.47</v>
      </c>
      <c r="K453" s="16">
        <f>(37.1*2+11.85*2)*2</f>
        <v>195.8</v>
      </c>
      <c r="L453" s="22">
        <f t="shared" si="25"/>
        <v>-0.11590734636745381</v>
      </c>
      <c r="M453" s="28" t="s">
        <v>375</v>
      </c>
      <c r="N453" s="7">
        <v>0</v>
      </c>
      <c r="O453" s="7"/>
      <c r="P453" s="24"/>
      <c r="Q453" s="7" t="s">
        <v>48</v>
      </c>
      <c r="R453" s="25"/>
      <c r="S453" s="24"/>
      <c r="T453" s="24"/>
      <c r="U453" s="24"/>
      <c r="V453" s="25">
        <v>2676908.65</v>
      </c>
      <c r="W453" s="24"/>
      <c r="X453" s="25"/>
      <c r="Y453" s="13">
        <v>2996</v>
      </c>
      <c r="Z453" s="13">
        <v>7.36</v>
      </c>
      <c r="AA453" s="13">
        <v>8</v>
      </c>
      <c r="AB453" s="13">
        <v>2</v>
      </c>
      <c r="AC453" s="13">
        <v>2</v>
      </c>
      <c r="AD453" s="13">
        <v>272.81</v>
      </c>
      <c r="AE453" s="13"/>
      <c r="AF453" s="26">
        <f t="shared" si="26"/>
        <v>0</v>
      </c>
      <c r="AG453" s="27" t="s">
        <v>1530</v>
      </c>
    </row>
    <row r="454" spans="1:33" ht="54.6" customHeight="1" x14ac:dyDescent="0.35">
      <c r="A454" s="15">
        <v>592</v>
      </c>
      <c r="B454" s="16">
        <v>592</v>
      </c>
      <c r="C454" s="17" t="s">
        <v>970</v>
      </c>
      <c r="D454" s="18">
        <v>2017</v>
      </c>
      <c r="E454" s="19" t="s">
        <v>1003</v>
      </c>
      <c r="F454" s="16" t="s">
        <v>1004</v>
      </c>
      <c r="G454" s="7" t="s">
        <v>46</v>
      </c>
      <c r="H454" s="16" t="s">
        <v>47</v>
      </c>
      <c r="I454" s="20">
        <v>25690</v>
      </c>
      <c r="J454" s="21">
        <v>36.700000000000003</v>
      </c>
      <c r="K454" s="16"/>
      <c r="L454" s="28"/>
      <c r="M454" s="28"/>
      <c r="N454" s="7" t="s">
        <v>87</v>
      </c>
      <c r="O454" s="7" t="s">
        <v>54</v>
      </c>
      <c r="P454" s="24" t="s">
        <v>88</v>
      </c>
      <c r="Q454" s="7" t="s">
        <v>54</v>
      </c>
      <c r="R454" s="25">
        <v>3495072.49</v>
      </c>
      <c r="S454" s="24"/>
      <c r="T454" s="24"/>
      <c r="U454" s="24"/>
      <c r="V454" s="25"/>
      <c r="W454" s="24"/>
      <c r="X454" s="25">
        <v>3485072.49</v>
      </c>
      <c r="Y454" s="13"/>
      <c r="Z454" s="13"/>
      <c r="AA454" s="13"/>
      <c r="AB454" s="13"/>
      <c r="AC454" s="13">
        <v>2</v>
      </c>
      <c r="AD454" s="13"/>
      <c r="AE454" s="13"/>
      <c r="AF454" s="26">
        <f t="shared" si="26"/>
        <v>0</v>
      </c>
    </row>
    <row r="455" spans="1:33" ht="54" x14ac:dyDescent="0.35">
      <c r="A455" s="15">
        <v>593</v>
      </c>
      <c r="B455" s="16">
        <v>593</v>
      </c>
      <c r="C455" s="17" t="s">
        <v>970</v>
      </c>
      <c r="D455" s="18">
        <v>2017</v>
      </c>
      <c r="E455" s="19" t="s">
        <v>1005</v>
      </c>
      <c r="F455" s="16" t="s">
        <v>1006</v>
      </c>
      <c r="G455" s="7" t="s">
        <v>46</v>
      </c>
      <c r="H455" s="16" t="s">
        <v>47</v>
      </c>
      <c r="I455" s="20">
        <v>14879.83</v>
      </c>
      <c r="J455" s="21">
        <v>31.2</v>
      </c>
      <c r="K455" s="16">
        <f>2.9*0.9*48</f>
        <v>125.28</v>
      </c>
      <c r="L455" s="22">
        <f>(K455/J455)-1</f>
        <v>3.0153846153846153</v>
      </c>
      <c r="M455" s="28"/>
      <c r="N455" s="7">
        <v>0</v>
      </c>
      <c r="O455" s="7"/>
      <c r="P455" s="24"/>
      <c r="Q455" s="7" t="s">
        <v>48</v>
      </c>
      <c r="R455" s="25"/>
      <c r="S455" s="24"/>
      <c r="T455" s="24"/>
      <c r="U455" s="24"/>
      <c r="V455" s="25"/>
      <c r="W455" s="24"/>
      <c r="X455" s="25"/>
      <c r="Y455" s="13">
        <v>9374</v>
      </c>
      <c r="Z455" s="13">
        <v>14.33</v>
      </c>
      <c r="AA455" s="13">
        <v>15</v>
      </c>
      <c r="AB455" s="13">
        <v>5</v>
      </c>
      <c r="AC455" s="13">
        <v>2</v>
      </c>
      <c r="AD455" s="13">
        <v>588.5</v>
      </c>
      <c r="AE455" s="13">
        <v>588.5</v>
      </c>
      <c r="AF455" s="26">
        <f t="shared" si="26"/>
        <v>235.4</v>
      </c>
      <c r="AG455" s="27" t="s">
        <v>1531</v>
      </c>
    </row>
    <row r="456" spans="1:33" ht="59.4" customHeight="1" x14ac:dyDescent="0.35">
      <c r="A456" s="15">
        <v>597</v>
      </c>
      <c r="B456" s="16">
        <v>597</v>
      </c>
      <c r="C456" s="17" t="s">
        <v>970</v>
      </c>
      <c r="D456" s="18">
        <v>2017</v>
      </c>
      <c r="E456" s="19" t="s">
        <v>1007</v>
      </c>
      <c r="F456" s="16" t="s">
        <v>1008</v>
      </c>
      <c r="G456" s="7" t="s">
        <v>46</v>
      </c>
      <c r="H456" s="16" t="s">
        <v>47</v>
      </c>
      <c r="I456" s="20">
        <v>5723.01</v>
      </c>
      <c r="J456" s="21">
        <v>12</v>
      </c>
      <c r="K456" s="16">
        <v>7.5</v>
      </c>
      <c r="L456" s="28"/>
      <c r="M456" s="28"/>
      <c r="N456" s="7" t="s">
        <v>87</v>
      </c>
      <c r="O456" s="7" t="s">
        <v>54</v>
      </c>
      <c r="P456" s="24" t="s">
        <v>88</v>
      </c>
      <c r="Q456" s="7" t="s">
        <v>54</v>
      </c>
      <c r="R456" s="25">
        <v>789270.35</v>
      </c>
      <c r="S456" s="24"/>
      <c r="T456" s="24"/>
      <c r="U456" s="24"/>
      <c r="V456" s="25"/>
      <c r="W456" s="24"/>
      <c r="X456" s="25">
        <v>784270.35</v>
      </c>
      <c r="Y456" s="13"/>
      <c r="Z456" s="13"/>
      <c r="AA456" s="13"/>
      <c r="AB456" s="13"/>
      <c r="AC456" s="13">
        <v>2</v>
      </c>
      <c r="AD456" s="13"/>
      <c r="AE456" s="13"/>
      <c r="AF456" s="26">
        <f t="shared" si="26"/>
        <v>0</v>
      </c>
    </row>
    <row r="457" spans="1:33" ht="50.4" customHeight="1" x14ac:dyDescent="0.35">
      <c r="A457" s="15">
        <v>598</v>
      </c>
      <c r="B457" s="16">
        <v>598</v>
      </c>
      <c r="C457" s="17" t="s">
        <v>970</v>
      </c>
      <c r="D457" s="18">
        <v>2017</v>
      </c>
      <c r="E457" s="19" t="s">
        <v>1009</v>
      </c>
      <c r="F457" s="16" t="s">
        <v>1010</v>
      </c>
      <c r="G457" s="7" t="s">
        <v>46</v>
      </c>
      <c r="H457" s="16" t="s">
        <v>47</v>
      </c>
      <c r="I457" s="20">
        <v>5723.01</v>
      </c>
      <c r="J457" s="21">
        <v>12</v>
      </c>
      <c r="K457" s="16"/>
      <c r="L457" s="28"/>
      <c r="M457" s="28"/>
      <c r="N457" s="7" t="s">
        <v>87</v>
      </c>
      <c r="O457" s="7" t="s">
        <v>54</v>
      </c>
      <c r="P457" s="24" t="s">
        <v>88</v>
      </c>
      <c r="Q457" s="7" t="s">
        <v>54</v>
      </c>
      <c r="R457" s="25">
        <v>1291519.18</v>
      </c>
      <c r="S457" s="24"/>
      <c r="T457" s="24" t="s">
        <v>42</v>
      </c>
      <c r="U457" s="24" t="s">
        <v>42</v>
      </c>
      <c r="V457" s="25"/>
      <c r="W457" s="24"/>
      <c r="X457" s="25">
        <v>1286519.18</v>
      </c>
      <c r="Y457" s="13"/>
      <c r="Z457" s="13"/>
      <c r="AA457" s="13"/>
      <c r="AB457" s="13"/>
      <c r="AC457" s="13">
        <v>2</v>
      </c>
      <c r="AD457" s="13"/>
      <c r="AE457" s="13"/>
      <c r="AF457" s="26">
        <f t="shared" si="26"/>
        <v>0</v>
      </c>
    </row>
    <row r="458" spans="1:33" ht="64.8" customHeight="1" x14ac:dyDescent="0.35">
      <c r="A458" s="15">
        <v>599</v>
      </c>
      <c r="B458" s="16">
        <v>599</v>
      </c>
      <c r="C458" s="17" t="s">
        <v>970</v>
      </c>
      <c r="D458" s="18">
        <v>2017</v>
      </c>
      <c r="E458" s="19" t="s">
        <v>1011</v>
      </c>
      <c r="F458" s="16" t="s">
        <v>1012</v>
      </c>
      <c r="G458" s="7" t="s">
        <v>46</v>
      </c>
      <c r="H458" s="16" t="s">
        <v>47</v>
      </c>
      <c r="I458" s="20">
        <v>5723.01</v>
      </c>
      <c r="J458" s="21">
        <v>12</v>
      </c>
      <c r="K458" s="16"/>
      <c r="L458" s="28"/>
      <c r="M458" s="28"/>
      <c r="N458" s="7" t="s">
        <v>87</v>
      </c>
      <c r="O458" s="7" t="s">
        <v>54</v>
      </c>
      <c r="P458" s="24" t="s">
        <v>88</v>
      </c>
      <c r="Q458" s="7" t="s">
        <v>54</v>
      </c>
      <c r="R458" s="25">
        <v>672310.99</v>
      </c>
      <c r="S458" s="24"/>
      <c r="T458" s="24" t="s">
        <v>42</v>
      </c>
      <c r="U458" s="24" t="s">
        <v>42</v>
      </c>
      <c r="V458" s="25"/>
      <c r="W458" s="24"/>
      <c r="X458" s="25">
        <v>667310.99</v>
      </c>
      <c r="Y458" s="13"/>
      <c r="Z458" s="13"/>
      <c r="AA458" s="13"/>
      <c r="AB458" s="13"/>
      <c r="AC458" s="13">
        <v>2</v>
      </c>
      <c r="AD458" s="13"/>
      <c r="AE458" s="13"/>
      <c r="AF458" s="26">
        <f t="shared" si="26"/>
        <v>0</v>
      </c>
    </row>
    <row r="459" spans="1:33" ht="54" x14ac:dyDescent="0.35">
      <c r="A459" s="15">
        <v>600</v>
      </c>
      <c r="B459" s="16">
        <v>600</v>
      </c>
      <c r="C459" s="17" t="s">
        <v>970</v>
      </c>
      <c r="D459" s="18">
        <v>2017</v>
      </c>
      <c r="E459" s="19" t="s">
        <v>1013</v>
      </c>
      <c r="F459" s="16" t="s">
        <v>1014</v>
      </c>
      <c r="G459" s="7" t="s">
        <v>46</v>
      </c>
      <c r="H459" s="16" t="s">
        <v>47</v>
      </c>
      <c r="I459" s="20">
        <v>9681.43</v>
      </c>
      <c r="J459" s="21">
        <v>20.3</v>
      </c>
      <c r="K459" s="16">
        <f>3.2*0.95*6+2*0.95*7</f>
        <v>31.54</v>
      </c>
      <c r="L459" s="22">
        <f t="shared" ref="L459:L464" si="27">(K459/J459)-1</f>
        <v>0.55369458128078808</v>
      </c>
      <c r="M459" s="28"/>
      <c r="N459" s="7">
        <v>0</v>
      </c>
      <c r="O459" s="7"/>
      <c r="P459" s="24"/>
      <c r="Q459" s="7" t="s">
        <v>48</v>
      </c>
      <c r="R459" s="25"/>
      <c r="S459" s="24"/>
      <c r="T459" s="24"/>
      <c r="U459" s="24"/>
      <c r="V459" s="25"/>
      <c r="W459" s="24"/>
      <c r="X459" s="25"/>
      <c r="Y459" s="13">
        <v>4351</v>
      </c>
      <c r="Z459" s="13">
        <v>9.3000000000000007</v>
      </c>
      <c r="AA459" s="13">
        <v>10</v>
      </c>
      <c r="AB459" s="13">
        <v>3</v>
      </c>
      <c r="AC459" s="13">
        <v>2</v>
      </c>
      <c r="AD459" s="13">
        <v>313.04000000000002</v>
      </c>
      <c r="AE459" s="13">
        <v>313.04000000000002</v>
      </c>
      <c r="AF459" s="26">
        <f t="shared" si="26"/>
        <v>125.21600000000001</v>
      </c>
      <c r="AG459" s="27" t="s">
        <v>1532</v>
      </c>
    </row>
    <row r="460" spans="1:33" ht="54" x14ac:dyDescent="0.35">
      <c r="A460" s="15">
        <v>601</v>
      </c>
      <c r="B460" s="16">
        <v>601</v>
      </c>
      <c r="C460" s="17" t="s">
        <v>970</v>
      </c>
      <c r="D460" s="18">
        <v>2017</v>
      </c>
      <c r="E460" s="19" t="s">
        <v>1015</v>
      </c>
      <c r="F460" s="16" t="s">
        <v>1016</v>
      </c>
      <c r="G460" s="7" t="s">
        <v>46</v>
      </c>
      <c r="H460" s="16" t="s">
        <v>47</v>
      </c>
      <c r="I460" s="20">
        <v>5150.71</v>
      </c>
      <c r="J460" s="21">
        <v>10.8</v>
      </c>
      <c r="K460" s="16">
        <f>2.8*0.75*6</f>
        <v>12.599999999999998</v>
      </c>
      <c r="L460" s="22">
        <f t="shared" si="27"/>
        <v>0.1666666666666663</v>
      </c>
      <c r="M460" s="28"/>
      <c r="N460" s="7">
        <v>0</v>
      </c>
      <c r="O460" s="7"/>
      <c r="P460" s="24"/>
      <c r="Q460" s="7" t="s">
        <v>48</v>
      </c>
      <c r="R460" s="25"/>
      <c r="S460" s="24"/>
      <c r="T460" s="24"/>
      <c r="U460" s="24"/>
      <c r="V460" s="25"/>
      <c r="W460" s="24"/>
      <c r="X460" s="25"/>
      <c r="Y460" s="13">
        <v>2430</v>
      </c>
      <c r="Z460" s="13">
        <v>5.62</v>
      </c>
      <c r="AA460" s="13">
        <v>6</v>
      </c>
      <c r="AB460" s="13">
        <v>2</v>
      </c>
      <c r="AC460" s="13">
        <v>2</v>
      </c>
      <c r="AD460" s="13">
        <v>202.71</v>
      </c>
      <c r="AE460" s="13">
        <v>202.71</v>
      </c>
      <c r="AF460" s="26">
        <f t="shared" si="26"/>
        <v>81.084000000000003</v>
      </c>
      <c r="AG460" s="27" t="s">
        <v>1533</v>
      </c>
    </row>
    <row r="461" spans="1:33" ht="54" x14ac:dyDescent="0.35">
      <c r="A461" s="15">
        <v>602</v>
      </c>
      <c r="B461" s="16">
        <v>602</v>
      </c>
      <c r="C461" s="17" t="s">
        <v>970</v>
      </c>
      <c r="D461" s="18">
        <v>2017</v>
      </c>
      <c r="E461" s="19" t="s">
        <v>1017</v>
      </c>
      <c r="F461" s="16" t="s">
        <v>1018</v>
      </c>
      <c r="G461" s="7" t="s">
        <v>46</v>
      </c>
      <c r="H461" s="16" t="s">
        <v>47</v>
      </c>
      <c r="I461" s="20">
        <v>5150.71</v>
      </c>
      <c r="J461" s="21">
        <v>10.8</v>
      </c>
      <c r="K461" s="16">
        <f>2.8*0.75*6</f>
        <v>12.599999999999998</v>
      </c>
      <c r="L461" s="22">
        <f t="shared" si="27"/>
        <v>0.1666666666666663</v>
      </c>
      <c r="M461" s="28"/>
      <c r="N461" s="7">
        <v>0</v>
      </c>
      <c r="O461" s="7"/>
      <c r="P461" s="24"/>
      <c r="Q461" s="7" t="s">
        <v>48</v>
      </c>
      <c r="R461" s="25"/>
      <c r="S461" s="24"/>
      <c r="T461" s="24"/>
      <c r="U461" s="24"/>
      <c r="V461" s="25"/>
      <c r="W461" s="24"/>
      <c r="X461" s="25"/>
      <c r="Y461" s="13">
        <v>2416</v>
      </c>
      <c r="Z461" s="13">
        <v>5.66</v>
      </c>
      <c r="AA461" s="13">
        <v>6</v>
      </c>
      <c r="AB461" s="13">
        <v>2</v>
      </c>
      <c r="AC461" s="13">
        <v>2</v>
      </c>
      <c r="AD461" s="13">
        <v>202.07</v>
      </c>
      <c r="AE461" s="13">
        <v>202.07</v>
      </c>
      <c r="AF461" s="26">
        <f t="shared" si="26"/>
        <v>80.828000000000003</v>
      </c>
      <c r="AG461" s="27" t="s">
        <v>1534</v>
      </c>
    </row>
    <row r="462" spans="1:33" ht="54" x14ac:dyDescent="0.35">
      <c r="A462" s="15">
        <v>603</v>
      </c>
      <c r="B462" s="16">
        <v>603</v>
      </c>
      <c r="C462" s="17" t="s">
        <v>970</v>
      </c>
      <c r="D462" s="18">
        <v>2017</v>
      </c>
      <c r="E462" s="19" t="s">
        <v>1019</v>
      </c>
      <c r="F462" s="16" t="s">
        <v>1020</v>
      </c>
      <c r="G462" s="7" t="s">
        <v>46</v>
      </c>
      <c r="H462" s="16" t="s">
        <v>47</v>
      </c>
      <c r="I462" s="20">
        <v>58245.96</v>
      </c>
      <c r="J462" s="21">
        <v>122.13</v>
      </c>
      <c r="K462" s="16">
        <f>3.2*0.8*40</f>
        <v>102.40000000000002</v>
      </c>
      <c r="L462" s="22">
        <f t="shared" si="27"/>
        <v>-0.16154916891836546</v>
      </c>
      <c r="M462" s="28">
        <v>1</v>
      </c>
      <c r="N462" s="7">
        <v>0</v>
      </c>
      <c r="O462" s="7"/>
      <c r="P462" s="24"/>
      <c r="Q462" s="7" t="s">
        <v>48</v>
      </c>
      <c r="R462" s="25"/>
      <c r="S462" s="24"/>
      <c r="T462" s="24"/>
      <c r="U462" s="24"/>
      <c r="V462" s="25"/>
      <c r="W462" s="24"/>
      <c r="X462" s="25"/>
      <c r="Y462" s="13">
        <v>11623</v>
      </c>
      <c r="Z462" s="13">
        <v>14.29</v>
      </c>
      <c r="AA462" s="13">
        <v>15</v>
      </c>
      <c r="AB462" s="13">
        <v>5</v>
      </c>
      <c r="AC462" s="13">
        <v>2</v>
      </c>
      <c r="AD462" s="13">
        <v>662.38</v>
      </c>
      <c r="AE462" s="13">
        <v>662.38</v>
      </c>
      <c r="AF462" s="26">
        <f t="shared" si="26"/>
        <v>264.952</v>
      </c>
      <c r="AG462" s="27" t="s">
        <v>1535</v>
      </c>
    </row>
    <row r="463" spans="1:33" ht="54" x14ac:dyDescent="0.35">
      <c r="A463" s="15">
        <v>604</v>
      </c>
      <c r="B463" s="16">
        <v>604</v>
      </c>
      <c r="C463" s="17" t="s">
        <v>970</v>
      </c>
      <c r="D463" s="18">
        <v>2017</v>
      </c>
      <c r="E463" s="19" t="s">
        <v>1021</v>
      </c>
      <c r="F463" s="16" t="s">
        <v>1022</v>
      </c>
      <c r="G463" s="7" t="s">
        <v>46</v>
      </c>
      <c r="H463" s="16" t="s">
        <v>47</v>
      </c>
      <c r="I463" s="20">
        <v>1907.67</v>
      </c>
      <c r="J463" s="21">
        <v>4</v>
      </c>
      <c r="K463" s="16">
        <f>2.2*0.9*2</f>
        <v>3.9600000000000004</v>
      </c>
      <c r="L463" s="22">
        <f t="shared" si="27"/>
        <v>-9.9999999999998979E-3</v>
      </c>
      <c r="M463" s="28">
        <v>1</v>
      </c>
      <c r="N463" s="7">
        <v>0</v>
      </c>
      <c r="O463" s="7"/>
      <c r="P463" s="24"/>
      <c r="Q463" s="7" t="s">
        <v>48</v>
      </c>
      <c r="R463" s="25"/>
      <c r="S463" s="24"/>
      <c r="T463" s="24"/>
      <c r="U463" s="24"/>
      <c r="V463" s="25"/>
      <c r="W463" s="24"/>
      <c r="X463" s="25"/>
      <c r="Y463" s="13">
        <v>2094</v>
      </c>
      <c r="Z463" s="13">
        <v>6.46</v>
      </c>
      <c r="AA463" s="13">
        <v>7</v>
      </c>
      <c r="AB463" s="13">
        <v>2</v>
      </c>
      <c r="AC463" s="13">
        <v>2</v>
      </c>
      <c r="AD463" s="13">
        <v>184.43</v>
      </c>
      <c r="AE463" s="13">
        <v>184.43</v>
      </c>
      <c r="AF463" s="26">
        <f t="shared" si="26"/>
        <v>73.772000000000006</v>
      </c>
      <c r="AG463" s="30" t="s">
        <v>1536</v>
      </c>
    </row>
    <row r="464" spans="1:33" ht="54" x14ac:dyDescent="0.35">
      <c r="A464" s="15">
        <v>605</v>
      </c>
      <c r="B464" s="16">
        <v>605</v>
      </c>
      <c r="C464" s="17" t="s">
        <v>970</v>
      </c>
      <c r="D464" s="18">
        <v>2017</v>
      </c>
      <c r="E464" s="19" t="s">
        <v>1023</v>
      </c>
      <c r="F464" s="16" t="s">
        <v>1024</v>
      </c>
      <c r="G464" s="7" t="s">
        <v>46</v>
      </c>
      <c r="H464" s="16" t="s">
        <v>47</v>
      </c>
      <c r="I464" s="20">
        <v>25704</v>
      </c>
      <c r="J464" s="21">
        <v>36.72</v>
      </c>
      <c r="K464" s="16">
        <f>3*0.85*24+2.2*0.3*6</f>
        <v>65.16</v>
      </c>
      <c r="L464" s="22">
        <f t="shared" si="27"/>
        <v>0.77450980392156854</v>
      </c>
      <c r="M464" s="28"/>
      <c r="N464" s="7">
        <v>0</v>
      </c>
      <c r="O464" s="7"/>
      <c r="P464" s="24"/>
      <c r="Q464" s="7" t="s">
        <v>48</v>
      </c>
      <c r="R464" s="25"/>
      <c r="S464" s="24"/>
      <c r="T464" s="24"/>
      <c r="U464" s="24"/>
      <c r="V464" s="25"/>
      <c r="W464" s="24"/>
      <c r="X464" s="25"/>
      <c r="Y464" s="13">
        <v>22387</v>
      </c>
      <c r="Z464" s="13">
        <v>16.100000000000001</v>
      </c>
      <c r="AA464" s="13">
        <v>16</v>
      </c>
      <c r="AB464" s="13">
        <v>4</v>
      </c>
      <c r="AC464" s="13">
        <v>2</v>
      </c>
      <c r="AD464" s="13">
        <v>906.9</v>
      </c>
      <c r="AE464" s="13">
        <v>906.9</v>
      </c>
      <c r="AF464" s="26">
        <f t="shared" si="26"/>
        <v>362.76</v>
      </c>
      <c r="AG464" s="27" t="s">
        <v>1537</v>
      </c>
    </row>
    <row r="465" spans="1:33" ht="55.8" customHeight="1" x14ac:dyDescent="0.35">
      <c r="A465" s="15">
        <v>606</v>
      </c>
      <c r="B465" s="16">
        <v>606</v>
      </c>
      <c r="C465" s="17" t="s">
        <v>970</v>
      </c>
      <c r="D465" s="18">
        <v>2017</v>
      </c>
      <c r="E465" s="19" t="s">
        <v>1025</v>
      </c>
      <c r="F465" s="16" t="s">
        <v>1026</v>
      </c>
      <c r="G465" s="7" t="s">
        <v>46</v>
      </c>
      <c r="H465" s="16" t="s">
        <v>47</v>
      </c>
      <c r="I465" s="20">
        <v>27661.23</v>
      </c>
      <c r="J465" s="21">
        <v>58</v>
      </c>
      <c r="K465" s="16">
        <v>43.84</v>
      </c>
      <c r="L465" s="28"/>
      <c r="M465" s="28"/>
      <c r="N465" s="7" t="s">
        <v>87</v>
      </c>
      <c r="O465" s="7" t="s">
        <v>54</v>
      </c>
      <c r="P465" s="24"/>
      <c r="Q465" s="7" t="s">
        <v>54</v>
      </c>
      <c r="R465" s="25">
        <v>3800749.36</v>
      </c>
      <c r="S465" s="24"/>
      <c r="T465" s="24"/>
      <c r="U465" s="24"/>
      <c r="V465" s="25"/>
      <c r="W465" s="24"/>
      <c r="X465" s="25">
        <v>3795749.36</v>
      </c>
      <c r="Y465" s="13"/>
      <c r="Z465" s="13"/>
      <c r="AA465" s="13"/>
      <c r="AB465" s="13"/>
      <c r="AC465" s="13">
        <v>2</v>
      </c>
      <c r="AD465" s="13"/>
      <c r="AE465" s="13"/>
      <c r="AF465" s="26">
        <f t="shared" si="26"/>
        <v>0</v>
      </c>
    </row>
    <row r="466" spans="1:33" ht="60" customHeight="1" x14ac:dyDescent="0.35">
      <c r="A466" s="15">
        <v>607</v>
      </c>
      <c r="B466" s="16">
        <v>607</v>
      </c>
      <c r="C466" s="17" t="s">
        <v>970</v>
      </c>
      <c r="D466" s="18">
        <v>2017</v>
      </c>
      <c r="E466" s="19" t="s">
        <v>1027</v>
      </c>
      <c r="F466" s="16" t="s">
        <v>1028</v>
      </c>
      <c r="G466" s="7" t="s">
        <v>46</v>
      </c>
      <c r="H466" s="16" t="s">
        <v>47</v>
      </c>
      <c r="I466" s="20">
        <v>5723.01</v>
      </c>
      <c r="J466" s="21">
        <v>12</v>
      </c>
      <c r="K466" s="16"/>
      <c r="L466" s="28"/>
      <c r="M466" s="28"/>
      <c r="N466" s="7" t="s">
        <v>87</v>
      </c>
      <c r="O466" s="7" t="s">
        <v>54</v>
      </c>
      <c r="P466" s="24" t="s">
        <v>88</v>
      </c>
      <c r="Q466" s="7" t="s">
        <v>54</v>
      </c>
      <c r="R466" s="25">
        <v>1208833.48</v>
      </c>
      <c r="S466" s="24"/>
      <c r="T466" s="24" t="s">
        <v>42</v>
      </c>
      <c r="U466" s="24" t="s">
        <v>42</v>
      </c>
      <c r="V466" s="25"/>
      <c r="W466" s="24"/>
      <c r="X466" s="25">
        <v>1203833.48</v>
      </c>
      <c r="Y466" s="13"/>
      <c r="Z466" s="13"/>
      <c r="AA466" s="13"/>
      <c r="AB466" s="13"/>
      <c r="AC466" s="13">
        <v>2</v>
      </c>
      <c r="AD466" s="13"/>
      <c r="AE466" s="13"/>
      <c r="AF466" s="26">
        <f t="shared" si="26"/>
        <v>0</v>
      </c>
    </row>
    <row r="467" spans="1:33" ht="59.4" customHeight="1" x14ac:dyDescent="0.35">
      <c r="A467" s="15">
        <v>608</v>
      </c>
      <c r="B467" s="16">
        <v>608</v>
      </c>
      <c r="C467" s="17" t="s">
        <v>970</v>
      </c>
      <c r="D467" s="18">
        <v>2017</v>
      </c>
      <c r="E467" s="19" t="s">
        <v>1029</v>
      </c>
      <c r="F467" s="16" t="s">
        <v>1030</v>
      </c>
      <c r="G467" s="7" t="s">
        <v>46</v>
      </c>
      <c r="H467" s="16" t="s">
        <v>47</v>
      </c>
      <c r="I467" s="20">
        <v>3433.81</v>
      </c>
      <c r="J467" s="21">
        <v>7.2</v>
      </c>
      <c r="K467" s="16"/>
      <c r="L467" s="28"/>
      <c r="M467" s="28"/>
      <c r="N467" s="7" t="s">
        <v>87</v>
      </c>
      <c r="O467" s="7" t="s">
        <v>54</v>
      </c>
      <c r="P467" s="24" t="s">
        <v>88</v>
      </c>
      <c r="Q467" s="7" t="s">
        <v>54</v>
      </c>
      <c r="R467" s="25">
        <v>555649.1</v>
      </c>
      <c r="S467" s="24"/>
      <c r="T467" s="24" t="s">
        <v>42</v>
      </c>
      <c r="U467" s="24" t="s">
        <v>42</v>
      </c>
      <c r="V467" s="25"/>
      <c r="W467" s="24"/>
      <c r="X467" s="25">
        <v>550649.1</v>
      </c>
      <c r="Y467" s="13"/>
      <c r="Z467" s="13"/>
      <c r="AA467" s="13"/>
      <c r="AB467" s="13"/>
      <c r="AC467" s="13">
        <v>2</v>
      </c>
      <c r="AD467" s="13"/>
      <c r="AE467" s="13"/>
      <c r="AF467" s="26">
        <f t="shared" si="26"/>
        <v>0</v>
      </c>
    </row>
    <row r="468" spans="1:33" ht="61.8" customHeight="1" x14ac:dyDescent="0.35">
      <c r="A468" s="15">
        <v>609</v>
      </c>
      <c r="B468" s="16">
        <v>609</v>
      </c>
      <c r="C468" s="17" t="s">
        <v>970</v>
      </c>
      <c r="D468" s="18">
        <v>2017</v>
      </c>
      <c r="E468" s="19" t="s">
        <v>1031</v>
      </c>
      <c r="F468" s="16" t="s">
        <v>1032</v>
      </c>
      <c r="G468" s="7" t="s">
        <v>46</v>
      </c>
      <c r="H468" s="16" t="s">
        <v>47</v>
      </c>
      <c r="I468" s="20">
        <v>6152.24</v>
      </c>
      <c r="J468" s="21">
        <v>12.9</v>
      </c>
      <c r="K468" s="16"/>
      <c r="L468" s="28"/>
      <c r="M468" s="28"/>
      <c r="N468" s="7" t="s">
        <v>53</v>
      </c>
      <c r="O468" s="7" t="s">
        <v>54</v>
      </c>
      <c r="P468" s="24" t="s">
        <v>88</v>
      </c>
      <c r="Q468" s="7" t="s">
        <v>54</v>
      </c>
      <c r="R468" s="25">
        <v>1214427.74</v>
      </c>
      <c r="S468" s="24"/>
      <c r="T468" s="24" t="s">
        <v>42</v>
      </c>
      <c r="U468" s="24" t="s">
        <v>42</v>
      </c>
      <c r="V468" s="25"/>
      <c r="W468" s="24"/>
      <c r="X468" s="25">
        <v>1209427.74</v>
      </c>
      <c r="Y468" s="13"/>
      <c r="Z468" s="13"/>
      <c r="AA468" s="13"/>
      <c r="AB468" s="13"/>
      <c r="AC468" s="13">
        <v>2</v>
      </c>
      <c r="AD468" s="13"/>
      <c r="AE468" s="13"/>
      <c r="AF468" s="26">
        <f t="shared" si="26"/>
        <v>0</v>
      </c>
    </row>
    <row r="469" spans="1:33" ht="46.2" customHeight="1" x14ac:dyDescent="0.35">
      <c r="A469" s="15">
        <v>610</v>
      </c>
      <c r="B469" s="16">
        <v>610</v>
      </c>
      <c r="C469" s="17" t="s">
        <v>970</v>
      </c>
      <c r="D469" s="18">
        <v>2017</v>
      </c>
      <c r="E469" s="19" t="s">
        <v>1033</v>
      </c>
      <c r="F469" s="16" t="s">
        <v>1034</v>
      </c>
      <c r="G469" s="7" t="s">
        <v>46</v>
      </c>
      <c r="H469" s="16" t="s">
        <v>47</v>
      </c>
      <c r="I469" s="20">
        <v>12590.63</v>
      </c>
      <c r="J469" s="21">
        <v>26.4</v>
      </c>
      <c r="K469" s="16"/>
      <c r="L469" s="28"/>
      <c r="M469" s="28"/>
      <c r="N469" s="7" t="s">
        <v>87</v>
      </c>
      <c r="O469" s="7" t="s">
        <v>54</v>
      </c>
      <c r="P469" s="24" t="s">
        <v>88</v>
      </c>
      <c r="Q469" s="7" t="s">
        <v>54</v>
      </c>
      <c r="R469" s="25">
        <v>1793276.41</v>
      </c>
      <c r="S469" s="24"/>
      <c r="T469" s="24" t="s">
        <v>42</v>
      </c>
      <c r="U469" s="24" t="s">
        <v>42</v>
      </c>
      <c r="V469" s="25"/>
      <c r="W469" s="24"/>
      <c r="X469" s="25">
        <v>1788276.41</v>
      </c>
      <c r="Y469" s="13"/>
      <c r="Z469" s="13"/>
      <c r="AA469" s="13"/>
      <c r="AB469" s="13"/>
      <c r="AC469" s="13">
        <v>2</v>
      </c>
      <c r="AD469" s="13"/>
      <c r="AE469" s="13"/>
      <c r="AF469" s="26">
        <f t="shared" si="26"/>
        <v>0</v>
      </c>
    </row>
    <row r="470" spans="1:33" ht="61.8" customHeight="1" x14ac:dyDescent="0.35">
      <c r="A470" s="15">
        <v>611</v>
      </c>
      <c r="B470" s="16">
        <v>611</v>
      </c>
      <c r="C470" s="17" t="s">
        <v>970</v>
      </c>
      <c r="D470" s="18">
        <v>2017</v>
      </c>
      <c r="E470" s="19" t="s">
        <v>1035</v>
      </c>
      <c r="F470" s="16" t="s">
        <v>1036</v>
      </c>
      <c r="G470" s="7" t="s">
        <v>46</v>
      </c>
      <c r="H470" s="16" t="s">
        <v>47</v>
      </c>
      <c r="I470" s="20">
        <v>45831.79</v>
      </c>
      <c r="J470" s="21">
        <v>96.1</v>
      </c>
      <c r="K470" s="16">
        <f>3*0.8*30</f>
        <v>72.000000000000014</v>
      </c>
      <c r="L470" s="22">
        <f>(K470/J470)-1</f>
        <v>-0.25078043704474484</v>
      </c>
      <c r="M470" s="28">
        <v>1</v>
      </c>
      <c r="N470" s="7">
        <v>0</v>
      </c>
      <c r="O470" s="7" t="s">
        <v>40</v>
      </c>
      <c r="P470" s="24"/>
      <c r="Q470" s="7" t="s">
        <v>41</v>
      </c>
      <c r="R470" s="25"/>
      <c r="S470" s="24"/>
      <c r="T470" s="24" t="s">
        <v>42</v>
      </c>
      <c r="U470" s="24" t="s">
        <v>42</v>
      </c>
      <c r="V470" s="25"/>
      <c r="W470" s="24"/>
      <c r="X470" s="25">
        <v>4565427.97</v>
      </c>
      <c r="Y470" s="13">
        <v>7577</v>
      </c>
      <c r="Z470" s="13">
        <v>10.5</v>
      </c>
      <c r="AA470" s="13">
        <v>11</v>
      </c>
      <c r="AB470" s="13">
        <v>4</v>
      </c>
      <c r="AC470" s="13">
        <v>2</v>
      </c>
      <c r="AD470" s="13">
        <v>496.15</v>
      </c>
      <c r="AE470" s="13"/>
      <c r="AF470" s="26">
        <f t="shared" si="26"/>
        <v>0</v>
      </c>
      <c r="AG470" s="27" t="s">
        <v>1538</v>
      </c>
    </row>
    <row r="471" spans="1:33" ht="54" x14ac:dyDescent="0.35">
      <c r="A471" s="15">
        <v>612</v>
      </c>
      <c r="B471" s="16">
        <v>612</v>
      </c>
      <c r="C471" s="17" t="s">
        <v>970</v>
      </c>
      <c r="D471" s="18">
        <v>2017</v>
      </c>
      <c r="E471" s="19" t="s">
        <v>1037</v>
      </c>
      <c r="F471" s="16" t="s">
        <v>1038</v>
      </c>
      <c r="G471" s="7" t="s">
        <v>46</v>
      </c>
      <c r="H471" s="16" t="s">
        <v>47</v>
      </c>
      <c r="I471" s="20">
        <v>12876.78</v>
      </c>
      <c r="J471" s="21">
        <v>27</v>
      </c>
      <c r="K471" s="16">
        <f>1.6*0.6*9+1.2*2*4</f>
        <v>18.240000000000002</v>
      </c>
      <c r="L471" s="22">
        <f>(K471/J471)-1</f>
        <v>-0.32444444444444442</v>
      </c>
      <c r="M471" s="28">
        <v>1</v>
      </c>
      <c r="N471" s="7">
        <v>0</v>
      </c>
      <c r="O471" s="7"/>
      <c r="P471" s="24"/>
      <c r="Q471" s="7" t="s">
        <v>48</v>
      </c>
      <c r="R471" s="25"/>
      <c r="S471" s="24"/>
      <c r="T471" s="24"/>
      <c r="U471" s="24"/>
      <c r="V471" s="25"/>
      <c r="W471" s="24"/>
      <c r="X471" s="25"/>
      <c r="Y471" s="13">
        <v>7871</v>
      </c>
      <c r="Z471" s="13">
        <v>9.3699999999999992</v>
      </c>
      <c r="AA471" s="13">
        <v>10</v>
      </c>
      <c r="AB471" s="13">
        <v>3</v>
      </c>
      <c r="AC471" s="13">
        <v>2</v>
      </c>
      <c r="AD471" s="13">
        <v>454.87</v>
      </c>
      <c r="AE471" s="13">
        <v>454.87</v>
      </c>
      <c r="AF471" s="26">
        <f t="shared" si="26"/>
        <v>181.94800000000001</v>
      </c>
      <c r="AG471" s="27" t="s">
        <v>1539</v>
      </c>
    </row>
    <row r="472" spans="1:33" ht="54" x14ac:dyDescent="0.35">
      <c r="A472" s="15">
        <v>613</v>
      </c>
      <c r="B472" s="16">
        <v>613</v>
      </c>
      <c r="C472" s="17" t="s">
        <v>970</v>
      </c>
      <c r="D472" s="18">
        <v>2017</v>
      </c>
      <c r="E472" s="19" t="s">
        <v>1039</v>
      </c>
      <c r="F472" s="16" t="s">
        <v>1040</v>
      </c>
      <c r="G472" s="7" t="s">
        <v>46</v>
      </c>
      <c r="H472" s="16" t="s">
        <v>47</v>
      </c>
      <c r="I472" s="20">
        <v>89646.22</v>
      </c>
      <c r="J472" s="21">
        <v>187.97</v>
      </c>
      <c r="K472" s="16"/>
      <c r="L472" s="22">
        <f>(K472/J472)-1</f>
        <v>-1</v>
      </c>
      <c r="M472" s="28"/>
      <c r="N472" s="7">
        <v>0</v>
      </c>
      <c r="O472" s="7"/>
      <c r="P472" s="24"/>
      <c r="Q472" s="7" t="s">
        <v>48</v>
      </c>
      <c r="R472" s="25"/>
      <c r="S472" s="24"/>
      <c r="T472" s="24"/>
      <c r="U472" s="24"/>
      <c r="V472" s="25"/>
      <c r="W472" s="24"/>
      <c r="X472" s="25"/>
      <c r="Y472" s="13">
        <v>12032.5</v>
      </c>
      <c r="Z472" s="13">
        <v>13.89</v>
      </c>
      <c r="AA472" s="13">
        <v>14</v>
      </c>
      <c r="AB472" s="13">
        <v>5</v>
      </c>
      <c r="AC472" s="13">
        <v>2</v>
      </c>
      <c r="AD472" s="13">
        <v>693.14</v>
      </c>
      <c r="AE472" s="13">
        <v>693.14</v>
      </c>
      <c r="AF472" s="26">
        <f t="shared" si="26"/>
        <v>277.25600000000003</v>
      </c>
      <c r="AG472" s="27" t="s">
        <v>1540</v>
      </c>
    </row>
    <row r="473" spans="1:33" ht="54" x14ac:dyDescent="0.35">
      <c r="A473" s="15">
        <v>614</v>
      </c>
      <c r="B473" s="16">
        <v>614</v>
      </c>
      <c r="C473" s="17" t="s">
        <v>970</v>
      </c>
      <c r="D473" s="18">
        <v>2017</v>
      </c>
      <c r="E473" s="19" t="s">
        <v>1041</v>
      </c>
      <c r="F473" s="16" t="s">
        <v>1042</v>
      </c>
      <c r="G473" s="7" t="s">
        <v>46</v>
      </c>
      <c r="H473" s="16" t="s">
        <v>47</v>
      </c>
      <c r="I473" s="20">
        <v>65933.87</v>
      </c>
      <c r="J473" s="21">
        <v>138.25</v>
      </c>
      <c r="K473" s="16"/>
      <c r="L473" s="22">
        <f>(K473/J473)-1</f>
        <v>-1</v>
      </c>
      <c r="M473" s="28"/>
      <c r="N473" s="7">
        <v>0</v>
      </c>
      <c r="O473" s="7"/>
      <c r="P473" s="24"/>
      <c r="Q473" s="7" t="s">
        <v>48</v>
      </c>
      <c r="R473" s="25"/>
      <c r="S473" s="24"/>
      <c r="T473" s="24"/>
      <c r="U473" s="24"/>
      <c r="V473" s="25"/>
      <c r="W473" s="24"/>
      <c r="X473" s="25"/>
      <c r="Y473" s="13">
        <v>9534</v>
      </c>
      <c r="Z473" s="13">
        <v>14.02</v>
      </c>
      <c r="AA473" s="13">
        <v>14</v>
      </c>
      <c r="AB473" s="13">
        <v>5</v>
      </c>
      <c r="AC473" s="13">
        <v>2</v>
      </c>
      <c r="AD473" s="13">
        <v>607.47</v>
      </c>
      <c r="AE473" s="13">
        <v>607.47</v>
      </c>
      <c r="AF473" s="26">
        <f t="shared" si="26"/>
        <v>242.98800000000003</v>
      </c>
      <c r="AG473" s="27" t="s">
        <v>1541</v>
      </c>
    </row>
    <row r="474" spans="1:33" ht="54.6" customHeight="1" x14ac:dyDescent="0.35">
      <c r="A474" s="15">
        <v>615</v>
      </c>
      <c r="B474" s="16">
        <v>615</v>
      </c>
      <c r="C474" s="17" t="s">
        <v>970</v>
      </c>
      <c r="D474" s="18">
        <v>2017</v>
      </c>
      <c r="E474" s="19" t="s">
        <v>1043</v>
      </c>
      <c r="F474" s="16" t="s">
        <v>1044</v>
      </c>
      <c r="G474" s="7" t="s">
        <v>46</v>
      </c>
      <c r="H474" s="16" t="s">
        <v>47</v>
      </c>
      <c r="I474" s="20">
        <v>48720</v>
      </c>
      <c r="J474" s="21">
        <v>69.599999999999994</v>
      </c>
      <c r="K474" s="16"/>
      <c r="L474" s="28"/>
      <c r="M474" s="28"/>
      <c r="N474" s="7" t="s">
        <v>87</v>
      </c>
      <c r="O474" s="7" t="s">
        <v>54</v>
      </c>
      <c r="P474" s="24" t="s">
        <v>88</v>
      </c>
      <c r="Q474" s="7" t="s">
        <v>54</v>
      </c>
      <c r="R474" s="25">
        <v>3648642.13</v>
      </c>
      <c r="S474" s="24"/>
      <c r="T474" s="24"/>
      <c r="U474" s="24"/>
      <c r="V474" s="25"/>
      <c r="W474" s="24"/>
      <c r="X474" s="25">
        <v>3643642.13</v>
      </c>
      <c r="Y474" s="13"/>
      <c r="Z474" s="13"/>
      <c r="AA474" s="13"/>
      <c r="AB474" s="13"/>
      <c r="AC474" s="13">
        <v>2</v>
      </c>
      <c r="AD474" s="13"/>
      <c r="AE474" s="13"/>
      <c r="AF474" s="26">
        <f t="shared" si="26"/>
        <v>0</v>
      </c>
    </row>
    <row r="475" spans="1:33" ht="49.2" customHeight="1" x14ac:dyDescent="0.35">
      <c r="A475" s="15">
        <v>616</v>
      </c>
      <c r="B475" s="16">
        <v>616</v>
      </c>
      <c r="C475" s="17" t="s">
        <v>970</v>
      </c>
      <c r="D475" s="18">
        <v>2017</v>
      </c>
      <c r="E475" s="19" t="s">
        <v>1045</v>
      </c>
      <c r="F475" s="16" t="s">
        <v>1046</v>
      </c>
      <c r="G475" s="7" t="s">
        <v>46</v>
      </c>
      <c r="H475" s="16" t="s">
        <v>47</v>
      </c>
      <c r="I475" s="20">
        <v>19267.48</v>
      </c>
      <c r="J475" s="21">
        <v>40.4</v>
      </c>
      <c r="K475" s="16"/>
      <c r="L475" s="28"/>
      <c r="M475" s="28"/>
      <c r="N475" s="7" t="s">
        <v>87</v>
      </c>
      <c r="O475" s="7" t="s">
        <v>54</v>
      </c>
      <c r="P475" s="24" t="s">
        <v>88</v>
      </c>
      <c r="Q475" s="7" t="s">
        <v>54</v>
      </c>
      <c r="R475" s="25">
        <v>8646166.4700000007</v>
      </c>
      <c r="S475" s="24"/>
      <c r="T475" s="24" t="s">
        <v>42</v>
      </c>
      <c r="U475" s="24" t="s">
        <v>42</v>
      </c>
      <c r="V475" s="25"/>
      <c r="W475" s="24"/>
      <c r="X475" s="25">
        <v>8641116.4700000007</v>
      </c>
      <c r="Y475" s="13"/>
      <c r="Z475" s="13"/>
      <c r="AA475" s="13"/>
      <c r="AB475" s="13"/>
      <c r="AC475" s="13">
        <v>2</v>
      </c>
      <c r="AD475" s="13"/>
      <c r="AE475" s="13"/>
      <c r="AF475" s="26">
        <f t="shared" si="26"/>
        <v>0</v>
      </c>
    </row>
    <row r="476" spans="1:33" ht="58.2" customHeight="1" x14ac:dyDescent="0.35">
      <c r="A476" s="15">
        <v>617</v>
      </c>
      <c r="B476" s="16">
        <v>617</v>
      </c>
      <c r="C476" s="17" t="s">
        <v>970</v>
      </c>
      <c r="D476" s="18">
        <v>2017</v>
      </c>
      <c r="E476" s="19" t="s">
        <v>1047</v>
      </c>
      <c r="F476" s="16" t="s">
        <v>1048</v>
      </c>
      <c r="G476" s="7" t="s">
        <v>46</v>
      </c>
      <c r="H476" s="16" t="s">
        <v>47</v>
      </c>
      <c r="I476" s="20">
        <v>6720</v>
      </c>
      <c r="J476" s="21">
        <v>9.6</v>
      </c>
      <c r="K476" s="16"/>
      <c r="L476" s="28"/>
      <c r="M476" s="28"/>
      <c r="N476" s="7" t="s">
        <v>87</v>
      </c>
      <c r="O476" s="7" t="s">
        <v>40</v>
      </c>
      <c r="P476" s="24" t="s">
        <v>88</v>
      </c>
      <c r="Q476" s="7" t="s">
        <v>54</v>
      </c>
      <c r="R476" s="25">
        <v>352267.43</v>
      </c>
      <c r="S476" s="24"/>
      <c r="T476" s="24" t="s">
        <v>42</v>
      </c>
      <c r="U476" s="24" t="s">
        <v>42</v>
      </c>
      <c r="V476" s="25"/>
      <c r="W476" s="24"/>
      <c r="X476" s="25">
        <v>347267.43</v>
      </c>
      <c r="Y476" s="13"/>
      <c r="Z476" s="13"/>
      <c r="AA476" s="13"/>
      <c r="AB476" s="13"/>
      <c r="AC476" s="13">
        <v>2</v>
      </c>
      <c r="AD476" s="13"/>
      <c r="AE476" s="13"/>
      <c r="AF476" s="26">
        <f t="shared" si="26"/>
        <v>0</v>
      </c>
    </row>
    <row r="477" spans="1:33" ht="64.8" customHeight="1" x14ac:dyDescent="0.35">
      <c r="A477" s="15">
        <v>618</v>
      </c>
      <c r="B477" s="16">
        <v>618</v>
      </c>
      <c r="C477" s="17" t="s">
        <v>970</v>
      </c>
      <c r="D477" s="18">
        <v>2017</v>
      </c>
      <c r="E477" s="19" t="s">
        <v>1049</v>
      </c>
      <c r="F477" s="16" t="s">
        <v>1050</v>
      </c>
      <c r="G477" s="7" t="s">
        <v>46</v>
      </c>
      <c r="H477" s="16" t="s">
        <v>47</v>
      </c>
      <c r="I477" s="20">
        <v>6720</v>
      </c>
      <c r="J477" s="21">
        <v>9.6</v>
      </c>
      <c r="K477" s="16"/>
      <c r="L477" s="28"/>
      <c r="M477" s="28"/>
      <c r="N477" s="7" t="s">
        <v>53</v>
      </c>
      <c r="O477" s="7" t="s">
        <v>54</v>
      </c>
      <c r="P477" s="24" t="s">
        <v>88</v>
      </c>
      <c r="Q477" s="7" t="s">
        <v>54</v>
      </c>
      <c r="R477" s="25">
        <v>820447.78</v>
      </c>
      <c r="S477" s="24"/>
      <c r="T477" s="24" t="s">
        <v>42</v>
      </c>
      <c r="U477" s="24" t="s">
        <v>42</v>
      </c>
      <c r="V477" s="25"/>
      <c r="W477" s="24"/>
      <c r="X477" s="25">
        <v>819613.88</v>
      </c>
      <c r="Y477" s="13"/>
      <c r="Z477" s="13"/>
      <c r="AA477" s="13"/>
      <c r="AB477" s="13"/>
      <c r="AC477" s="13">
        <v>2</v>
      </c>
      <c r="AD477" s="13"/>
      <c r="AE477" s="13"/>
      <c r="AF477" s="26">
        <f t="shared" si="26"/>
        <v>0</v>
      </c>
    </row>
    <row r="478" spans="1:33" ht="54" x14ac:dyDescent="0.35">
      <c r="A478" s="15">
        <v>619</v>
      </c>
      <c r="B478" s="16">
        <v>619</v>
      </c>
      <c r="C478" s="17" t="s">
        <v>970</v>
      </c>
      <c r="D478" s="18">
        <v>2017</v>
      </c>
      <c r="E478" s="19" t="s">
        <v>1051</v>
      </c>
      <c r="F478" s="16" t="s">
        <v>1052</v>
      </c>
      <c r="G478" s="7" t="s">
        <v>46</v>
      </c>
      <c r="H478" s="16" t="s">
        <v>47</v>
      </c>
      <c r="I478" s="20">
        <v>8584.52</v>
      </c>
      <c r="J478" s="21">
        <v>18</v>
      </c>
      <c r="K478" s="16">
        <f>1.6*0.6*9+1.2*2*4</f>
        <v>18.240000000000002</v>
      </c>
      <c r="L478" s="22">
        <f>(K478/J478)-1</f>
        <v>1.3333333333333419E-2</v>
      </c>
      <c r="M478" s="28">
        <v>1</v>
      </c>
      <c r="N478" s="7">
        <v>0</v>
      </c>
      <c r="O478" s="7"/>
      <c r="P478" s="24"/>
      <c r="Q478" s="7" t="s">
        <v>48</v>
      </c>
      <c r="R478" s="25"/>
      <c r="S478" s="24"/>
      <c r="T478" s="24"/>
      <c r="U478" s="24"/>
      <c r="V478" s="25"/>
      <c r="W478" s="24"/>
      <c r="X478" s="25"/>
      <c r="Y478" s="13">
        <v>7551.38</v>
      </c>
      <c r="Z478" s="13">
        <v>6.8</v>
      </c>
      <c r="AA478" s="13">
        <v>7</v>
      </c>
      <c r="AB478" s="13">
        <v>3</v>
      </c>
      <c r="AC478" s="13">
        <v>2</v>
      </c>
      <c r="AD478" s="13">
        <v>471.68</v>
      </c>
      <c r="AE478" s="13">
        <v>471.68</v>
      </c>
      <c r="AF478" s="26">
        <f t="shared" si="26"/>
        <v>188.67200000000003</v>
      </c>
      <c r="AG478" s="27" t="s">
        <v>1542</v>
      </c>
    </row>
    <row r="479" spans="1:33" ht="54" x14ac:dyDescent="0.35">
      <c r="A479" s="15">
        <v>620</v>
      </c>
      <c r="B479" s="16">
        <v>620</v>
      </c>
      <c r="C479" s="17" t="s">
        <v>970</v>
      </c>
      <c r="D479" s="18">
        <v>2017</v>
      </c>
      <c r="E479" s="19" t="s">
        <v>1053</v>
      </c>
      <c r="F479" s="16" t="s">
        <v>1054</v>
      </c>
      <c r="G479" s="7" t="s">
        <v>46</v>
      </c>
      <c r="H479" s="16" t="s">
        <v>47</v>
      </c>
      <c r="I479" s="20">
        <v>7630.68</v>
      </c>
      <c r="J479" s="21">
        <v>16</v>
      </c>
      <c r="K479" s="16">
        <f>2.8*0.85*11</f>
        <v>26.18</v>
      </c>
      <c r="L479" s="22">
        <f>(K479/J479)-1</f>
        <v>0.63624999999999998</v>
      </c>
      <c r="M479" s="28"/>
      <c r="N479" s="7">
        <v>0</v>
      </c>
      <c r="O479" s="7"/>
      <c r="P479" s="24"/>
      <c r="Q479" s="7" t="s">
        <v>48</v>
      </c>
      <c r="R479" s="25"/>
      <c r="S479" s="24"/>
      <c r="T479" s="24"/>
      <c r="U479" s="24"/>
      <c r="V479" s="25"/>
      <c r="W479" s="24"/>
      <c r="X479" s="25"/>
      <c r="Y479" s="13">
        <v>5363</v>
      </c>
      <c r="Z479" s="13">
        <v>10.29</v>
      </c>
      <c r="AA479" s="13">
        <v>11</v>
      </c>
      <c r="AB479" s="13">
        <v>3</v>
      </c>
      <c r="AC479" s="13">
        <v>2</v>
      </c>
      <c r="AD479" s="13">
        <v>344.48</v>
      </c>
      <c r="AE479" s="13">
        <v>344.48</v>
      </c>
      <c r="AF479" s="26">
        <f t="shared" si="26"/>
        <v>137.792</v>
      </c>
      <c r="AG479" s="27" t="s">
        <v>1543</v>
      </c>
    </row>
    <row r="480" spans="1:33" ht="54" x14ac:dyDescent="0.35">
      <c r="A480" s="15">
        <v>621</v>
      </c>
      <c r="B480" s="16">
        <v>621</v>
      </c>
      <c r="C480" s="17" t="s">
        <v>970</v>
      </c>
      <c r="D480" s="18">
        <v>2017</v>
      </c>
      <c r="E480" s="19" t="s">
        <v>1055</v>
      </c>
      <c r="F480" s="16" t="s">
        <v>1056</v>
      </c>
      <c r="G480" s="7" t="s">
        <v>46</v>
      </c>
      <c r="H480" s="16" t="s">
        <v>47</v>
      </c>
      <c r="I480" s="20">
        <v>10301.42</v>
      </c>
      <c r="J480" s="21">
        <v>21.6</v>
      </c>
      <c r="K480" s="16">
        <f>2.4*0.75*18</f>
        <v>32.4</v>
      </c>
      <c r="L480" s="22">
        <f>(K480/J480)-1</f>
        <v>0.49999999999999978</v>
      </c>
      <c r="M480" s="28"/>
      <c r="N480" s="7">
        <v>0</v>
      </c>
      <c r="O480" s="7"/>
      <c r="P480" s="24"/>
      <c r="Q480" s="7" t="s">
        <v>48</v>
      </c>
      <c r="R480" s="25"/>
      <c r="S480" s="24"/>
      <c r="T480" s="24"/>
      <c r="U480" s="24"/>
      <c r="V480" s="25"/>
      <c r="W480" s="24"/>
      <c r="X480" s="25"/>
      <c r="Y480" s="13">
        <v>8659</v>
      </c>
      <c r="Z480" s="13">
        <v>9.93</v>
      </c>
      <c r="AA480" s="13">
        <v>10</v>
      </c>
      <c r="AB480" s="13">
        <v>3</v>
      </c>
      <c r="AC480" s="13">
        <v>2</v>
      </c>
      <c r="AD480" s="13">
        <v>486.62</v>
      </c>
      <c r="AE480" s="13">
        <v>486.62</v>
      </c>
      <c r="AF480" s="26">
        <f t="shared" si="26"/>
        <v>194.64800000000002</v>
      </c>
      <c r="AG480" s="27" t="s">
        <v>1544</v>
      </c>
    </row>
    <row r="481" spans="1:33" ht="55.8" customHeight="1" x14ac:dyDescent="0.35">
      <c r="A481" s="15">
        <v>622</v>
      </c>
      <c r="B481" s="16">
        <v>622</v>
      </c>
      <c r="C481" s="17" t="s">
        <v>970</v>
      </c>
      <c r="D481" s="18">
        <v>2017</v>
      </c>
      <c r="E481" s="19" t="s">
        <v>1057</v>
      </c>
      <c r="F481" s="16" t="s">
        <v>1058</v>
      </c>
      <c r="G481" s="7" t="s">
        <v>46</v>
      </c>
      <c r="H481" s="16" t="s">
        <v>47</v>
      </c>
      <c r="I481" s="20">
        <v>10969.11</v>
      </c>
      <c r="J481" s="21">
        <v>23</v>
      </c>
      <c r="K481" s="16">
        <f>3.2*0.8*36</f>
        <v>92.160000000000025</v>
      </c>
      <c r="L481" s="22">
        <f>(K481/J481)-1</f>
        <v>3.0069565217391316</v>
      </c>
      <c r="M481" s="28"/>
      <c r="N481" s="7">
        <v>0</v>
      </c>
      <c r="O481" s="7" t="s">
        <v>40</v>
      </c>
      <c r="P481" s="24"/>
      <c r="Q481" s="7" t="s">
        <v>41</v>
      </c>
      <c r="R481" s="25"/>
      <c r="S481" s="24"/>
      <c r="T481" s="24" t="s">
        <v>42</v>
      </c>
      <c r="U481" s="24" t="s">
        <v>42</v>
      </c>
      <c r="V481" s="25">
        <v>6120817.7999999998</v>
      </c>
      <c r="W481" s="24"/>
      <c r="X481" s="25"/>
      <c r="Y481" s="13">
        <v>8213</v>
      </c>
      <c r="Z481" s="13">
        <v>12.1</v>
      </c>
      <c r="AA481" s="13">
        <v>13</v>
      </c>
      <c r="AB481" s="13">
        <v>4</v>
      </c>
      <c r="AC481" s="13">
        <v>2</v>
      </c>
      <c r="AD481" s="13">
        <v>497.34</v>
      </c>
      <c r="AE481" s="13"/>
      <c r="AF481" s="26">
        <f t="shared" si="26"/>
        <v>0</v>
      </c>
      <c r="AG481" s="27" t="s">
        <v>1545</v>
      </c>
    </row>
    <row r="482" spans="1:33" ht="57" customHeight="1" x14ac:dyDescent="0.35">
      <c r="A482" s="15">
        <v>623</v>
      </c>
      <c r="B482" s="16">
        <v>623</v>
      </c>
      <c r="C482" s="17" t="s">
        <v>970</v>
      </c>
      <c r="D482" s="18">
        <v>2017</v>
      </c>
      <c r="E482" s="19" t="s">
        <v>1059</v>
      </c>
      <c r="F482" s="16" t="s">
        <v>1060</v>
      </c>
      <c r="G482" s="7" t="s">
        <v>46</v>
      </c>
      <c r="H482" s="16" t="s">
        <v>47</v>
      </c>
      <c r="I482" s="20">
        <v>23100</v>
      </c>
      <c r="J482" s="21">
        <v>33</v>
      </c>
      <c r="K482" s="16"/>
      <c r="L482" s="28"/>
      <c r="M482" s="28"/>
      <c r="N482" s="7" t="s">
        <v>87</v>
      </c>
      <c r="O482" s="7" t="s">
        <v>54</v>
      </c>
      <c r="P482" s="24" t="s">
        <v>88</v>
      </c>
      <c r="Q482" s="7" t="s">
        <v>54</v>
      </c>
      <c r="R482" s="25">
        <v>3672409.03</v>
      </c>
      <c r="S482" s="24"/>
      <c r="T482" s="24" t="s">
        <v>42</v>
      </c>
      <c r="U482" s="24" t="s">
        <v>42</v>
      </c>
      <c r="V482" s="25"/>
      <c r="W482" s="24"/>
      <c r="X482" s="25">
        <v>3667409.03</v>
      </c>
      <c r="Y482" s="13"/>
      <c r="Z482" s="13"/>
      <c r="AA482" s="13"/>
      <c r="AB482" s="13"/>
      <c r="AC482" s="13">
        <v>2</v>
      </c>
      <c r="AD482" s="13"/>
      <c r="AE482" s="13"/>
      <c r="AF482" s="26">
        <f t="shared" si="26"/>
        <v>0</v>
      </c>
    </row>
    <row r="483" spans="1:33" ht="53.4" customHeight="1" x14ac:dyDescent="0.35">
      <c r="A483" s="15">
        <v>624</v>
      </c>
      <c r="B483" s="16">
        <v>624</v>
      </c>
      <c r="C483" s="17" t="s">
        <v>970</v>
      </c>
      <c r="D483" s="18">
        <v>2017</v>
      </c>
      <c r="E483" s="19" t="s">
        <v>1061</v>
      </c>
      <c r="F483" s="16" t="s">
        <v>1062</v>
      </c>
      <c r="G483" s="7" t="s">
        <v>46</v>
      </c>
      <c r="H483" s="16" t="s">
        <v>47</v>
      </c>
      <c r="I483" s="20">
        <v>11975.4</v>
      </c>
      <c r="J483" s="21">
        <v>25.11</v>
      </c>
      <c r="K483" s="16"/>
      <c r="L483" s="28"/>
      <c r="M483" s="28"/>
      <c r="N483" s="7" t="s">
        <v>53</v>
      </c>
      <c r="O483" s="7" t="s">
        <v>54</v>
      </c>
      <c r="P483" s="24"/>
      <c r="Q483" s="7" t="s">
        <v>54</v>
      </c>
      <c r="R483" s="25"/>
      <c r="S483" s="24"/>
      <c r="T483" s="24"/>
      <c r="U483" s="24"/>
      <c r="V483" s="48">
        <v>2609504.98</v>
      </c>
      <c r="W483" s="24" t="s">
        <v>43</v>
      </c>
      <c r="X483" s="25"/>
      <c r="Y483" s="13">
        <v>8940</v>
      </c>
      <c r="Z483" s="13">
        <v>10</v>
      </c>
      <c r="AA483" s="13">
        <v>10</v>
      </c>
      <c r="AB483" s="13">
        <v>3</v>
      </c>
      <c r="AC483" s="13">
        <v>2</v>
      </c>
      <c r="AD483" s="13">
        <v>497.94</v>
      </c>
      <c r="AE483" s="13">
        <v>497.94</v>
      </c>
      <c r="AF483" s="26">
        <f t="shared" si="26"/>
        <v>199.17600000000002</v>
      </c>
      <c r="AG483" s="27" t="s">
        <v>1546</v>
      </c>
    </row>
    <row r="484" spans="1:33" ht="54" x14ac:dyDescent="0.35">
      <c r="A484" s="15">
        <v>625</v>
      </c>
      <c r="B484" s="16">
        <v>625</v>
      </c>
      <c r="C484" s="17" t="s">
        <v>970</v>
      </c>
      <c r="D484" s="18">
        <v>2017</v>
      </c>
      <c r="E484" s="19" t="s">
        <v>1063</v>
      </c>
      <c r="F484" s="16" t="s">
        <v>1064</v>
      </c>
      <c r="G484" s="7" t="s">
        <v>46</v>
      </c>
      <c r="H484" s="16" t="s">
        <v>47</v>
      </c>
      <c r="I484" s="20">
        <v>34276.080000000002</v>
      </c>
      <c r="J484" s="21">
        <v>71.87</v>
      </c>
      <c r="K484" s="16">
        <f>3.2*0.8*22+2.2*0.3*12</f>
        <v>64.240000000000009</v>
      </c>
      <c r="L484" s="22">
        <f>(K484/J484)-1</f>
        <v>-0.10616390705440371</v>
      </c>
      <c r="M484" s="28">
        <v>1</v>
      </c>
      <c r="N484" s="7">
        <v>0</v>
      </c>
      <c r="O484" s="7"/>
      <c r="P484" s="24"/>
      <c r="Q484" s="7" t="s">
        <v>48</v>
      </c>
      <c r="R484" s="25"/>
      <c r="S484" s="24"/>
      <c r="T484" s="24"/>
      <c r="U484" s="24"/>
      <c r="V484" s="25"/>
      <c r="W484" s="24"/>
      <c r="X484" s="25"/>
      <c r="Y484" s="13">
        <v>15380.5</v>
      </c>
      <c r="Z484" s="13">
        <v>16.54</v>
      </c>
      <c r="AA484" s="13">
        <v>17</v>
      </c>
      <c r="AB484" s="13">
        <v>4</v>
      </c>
      <c r="AC484" s="13">
        <v>2</v>
      </c>
      <c r="AD484" s="13">
        <v>665.08</v>
      </c>
      <c r="AE484" s="13">
        <v>665.08</v>
      </c>
      <c r="AF484" s="26">
        <f t="shared" si="26"/>
        <v>266.03200000000004</v>
      </c>
      <c r="AG484" s="27" t="s">
        <v>1547</v>
      </c>
    </row>
    <row r="485" spans="1:33" ht="59.4" customHeight="1" x14ac:dyDescent="0.35">
      <c r="A485" s="15">
        <v>626</v>
      </c>
      <c r="B485" s="16">
        <v>626</v>
      </c>
      <c r="C485" s="17" t="s">
        <v>970</v>
      </c>
      <c r="D485" s="18">
        <v>2017</v>
      </c>
      <c r="E485" s="19" t="s">
        <v>1065</v>
      </c>
      <c r="F485" s="16" t="s">
        <v>1066</v>
      </c>
      <c r="G485" s="7" t="s">
        <v>46</v>
      </c>
      <c r="H485" s="16" t="s">
        <v>47</v>
      </c>
      <c r="I485" s="20">
        <v>7535.3</v>
      </c>
      <c r="J485" s="21">
        <v>15.8</v>
      </c>
      <c r="K485" s="16"/>
      <c r="L485" s="28"/>
      <c r="M485" s="28"/>
      <c r="N485" s="7" t="s">
        <v>87</v>
      </c>
      <c r="O485" s="7" t="s">
        <v>54</v>
      </c>
      <c r="P485" s="24" t="s">
        <v>88</v>
      </c>
      <c r="Q485" s="7" t="s">
        <v>54</v>
      </c>
      <c r="R485" s="25">
        <v>1228189.28</v>
      </c>
      <c r="S485" s="24"/>
      <c r="T485" s="24"/>
      <c r="U485" s="24"/>
      <c r="V485" s="25"/>
      <c r="W485" s="24"/>
      <c r="X485" s="25">
        <v>1223189.28</v>
      </c>
      <c r="Y485" s="13"/>
      <c r="Z485" s="13"/>
      <c r="AA485" s="13"/>
      <c r="AB485" s="13"/>
      <c r="AC485" s="13">
        <v>2</v>
      </c>
      <c r="AD485" s="13"/>
      <c r="AE485" s="13"/>
      <c r="AF485" s="26">
        <f t="shared" si="26"/>
        <v>0</v>
      </c>
    </row>
    <row r="486" spans="1:33" ht="49.8" customHeight="1" x14ac:dyDescent="0.35">
      <c r="A486" s="15">
        <v>627</v>
      </c>
      <c r="B486" s="16">
        <v>627</v>
      </c>
      <c r="C486" s="17" t="s">
        <v>970</v>
      </c>
      <c r="D486" s="18">
        <v>2017</v>
      </c>
      <c r="E486" s="19" t="s">
        <v>1067</v>
      </c>
      <c r="F486" s="16" t="s">
        <v>1068</v>
      </c>
      <c r="G486" s="7" t="s">
        <v>46</v>
      </c>
      <c r="H486" s="16" t="s">
        <v>47</v>
      </c>
      <c r="I486" s="20">
        <v>7630.68</v>
      </c>
      <c r="J486" s="21">
        <v>16</v>
      </c>
      <c r="K486" s="16"/>
      <c r="L486" s="28"/>
      <c r="M486" s="28"/>
      <c r="N486" s="7" t="s">
        <v>87</v>
      </c>
      <c r="O486" s="7" t="s">
        <v>54</v>
      </c>
      <c r="P486" s="24" t="s">
        <v>88</v>
      </c>
      <c r="Q486" s="7" t="s">
        <v>54</v>
      </c>
      <c r="R486" s="25">
        <v>1448705.02</v>
      </c>
      <c r="S486" s="24"/>
      <c r="T486" s="24" t="s">
        <v>42</v>
      </c>
      <c r="U486" s="24" t="s">
        <v>42</v>
      </c>
      <c r="V486" s="25"/>
      <c r="W486" s="24"/>
      <c r="X486" s="25">
        <v>1443705.02</v>
      </c>
      <c r="Y486" s="13"/>
      <c r="Z486" s="13"/>
      <c r="AA486" s="13"/>
      <c r="AB486" s="13"/>
      <c r="AC486" s="13">
        <v>2</v>
      </c>
      <c r="AD486" s="13"/>
      <c r="AE486" s="13"/>
      <c r="AF486" s="26">
        <f t="shared" si="26"/>
        <v>0</v>
      </c>
    </row>
    <row r="487" spans="1:33" ht="62.4" customHeight="1" x14ac:dyDescent="0.35">
      <c r="A487" s="15">
        <v>628</v>
      </c>
      <c r="B487" s="16">
        <v>628</v>
      </c>
      <c r="C487" s="17" t="s">
        <v>970</v>
      </c>
      <c r="D487" s="18">
        <v>2017</v>
      </c>
      <c r="E487" s="19" t="s">
        <v>1069</v>
      </c>
      <c r="F487" s="16" t="s">
        <v>1070</v>
      </c>
      <c r="G487" s="7" t="s">
        <v>46</v>
      </c>
      <c r="H487" s="16" t="s">
        <v>47</v>
      </c>
      <c r="I487" s="20">
        <v>1764.6</v>
      </c>
      <c r="J487" s="21">
        <v>3.7</v>
      </c>
      <c r="K487" s="16"/>
      <c r="L487" s="28"/>
      <c r="M487" s="28"/>
      <c r="N487" s="7" t="s">
        <v>87</v>
      </c>
      <c r="O487" s="7" t="s">
        <v>54</v>
      </c>
      <c r="P487" s="24" t="s">
        <v>88</v>
      </c>
      <c r="Q487" s="7" t="s">
        <v>54</v>
      </c>
      <c r="R487" s="25">
        <v>783968.16</v>
      </c>
      <c r="S487" s="24"/>
      <c r="T487" s="24" t="s">
        <v>42</v>
      </c>
      <c r="U487" s="24" t="s">
        <v>42</v>
      </c>
      <c r="V487" s="25"/>
      <c r="W487" s="24"/>
      <c r="X487" s="25">
        <v>778968.16</v>
      </c>
      <c r="Y487" s="13"/>
      <c r="Z487" s="13"/>
      <c r="AA487" s="13"/>
      <c r="AB487" s="13"/>
      <c r="AC487" s="13">
        <v>2</v>
      </c>
      <c r="AD487" s="13"/>
      <c r="AE487" s="13"/>
      <c r="AF487" s="26">
        <f t="shared" si="26"/>
        <v>0</v>
      </c>
    </row>
    <row r="488" spans="1:33" ht="57" customHeight="1" x14ac:dyDescent="0.35">
      <c r="A488" s="15">
        <v>629</v>
      </c>
      <c r="B488" s="16">
        <v>629</v>
      </c>
      <c r="C488" s="17" t="s">
        <v>970</v>
      </c>
      <c r="D488" s="18">
        <v>2017</v>
      </c>
      <c r="E488" s="19" t="s">
        <v>1071</v>
      </c>
      <c r="F488" s="16" t="s">
        <v>1072</v>
      </c>
      <c r="G488" s="7" t="s">
        <v>46</v>
      </c>
      <c r="H488" s="16" t="s">
        <v>47</v>
      </c>
      <c r="I488" s="20">
        <v>1764.6</v>
      </c>
      <c r="J488" s="21">
        <v>3.7</v>
      </c>
      <c r="K488" s="16"/>
      <c r="L488" s="28"/>
      <c r="M488" s="28"/>
      <c r="N488" s="7" t="s">
        <v>87</v>
      </c>
      <c r="O488" s="7" t="s">
        <v>54</v>
      </c>
      <c r="P488" s="24" t="s">
        <v>88</v>
      </c>
      <c r="Q488" s="7" t="s">
        <v>54</v>
      </c>
      <c r="R488" s="25">
        <v>783776.33</v>
      </c>
      <c r="S488" s="24"/>
      <c r="T488" s="24" t="s">
        <v>42</v>
      </c>
      <c r="U488" s="24" t="s">
        <v>42</v>
      </c>
      <c r="V488" s="25"/>
      <c r="W488" s="24"/>
      <c r="X488" s="25">
        <v>778776.33</v>
      </c>
      <c r="Y488" s="13"/>
      <c r="Z488" s="13"/>
      <c r="AA488" s="13"/>
      <c r="AB488" s="13"/>
      <c r="AC488" s="13">
        <v>2</v>
      </c>
      <c r="AD488" s="13"/>
      <c r="AE488" s="13"/>
      <c r="AF488" s="26">
        <f t="shared" si="26"/>
        <v>0</v>
      </c>
    </row>
    <row r="489" spans="1:33" ht="54.6" customHeight="1" x14ac:dyDescent="0.35">
      <c r="A489" s="15">
        <v>630</v>
      </c>
      <c r="B489" s="16">
        <v>630</v>
      </c>
      <c r="C489" s="17" t="s">
        <v>970</v>
      </c>
      <c r="D489" s="18">
        <v>2017</v>
      </c>
      <c r="E489" s="19" t="s">
        <v>1073</v>
      </c>
      <c r="F489" s="16" t="s">
        <v>1074</v>
      </c>
      <c r="G489" s="7" t="s">
        <v>46</v>
      </c>
      <c r="H489" s="16" t="s">
        <v>47</v>
      </c>
      <c r="I489" s="20">
        <v>6867.62</v>
      </c>
      <c r="J489" s="21">
        <v>14.4</v>
      </c>
      <c r="K489" s="16"/>
      <c r="L489" s="28"/>
      <c r="M489" s="28"/>
      <c r="N489" s="7" t="s">
        <v>53</v>
      </c>
      <c r="O489" s="7" t="s">
        <v>54</v>
      </c>
      <c r="P489" s="24"/>
      <c r="Q489" s="7" t="s">
        <v>54</v>
      </c>
      <c r="R489" s="25">
        <v>1655499.3</v>
      </c>
      <c r="S489" s="24"/>
      <c r="T489" s="24" t="s">
        <v>42</v>
      </c>
      <c r="U489" s="24" t="s">
        <v>42</v>
      </c>
      <c r="V489" s="25"/>
      <c r="W489" s="24"/>
      <c r="X489" s="25">
        <v>1650449.3</v>
      </c>
      <c r="Y489" s="13"/>
      <c r="Z489" s="13"/>
      <c r="AA489" s="13"/>
      <c r="AB489" s="13"/>
      <c r="AC489" s="13">
        <v>2</v>
      </c>
      <c r="AD489" s="13"/>
      <c r="AE489" s="13"/>
      <c r="AF489" s="26">
        <f t="shared" si="26"/>
        <v>0</v>
      </c>
    </row>
    <row r="490" spans="1:33" s="56" customFormat="1" ht="36" x14ac:dyDescent="0.35">
      <c r="A490" s="58">
        <v>0</v>
      </c>
      <c r="B490" s="50">
        <v>632</v>
      </c>
      <c r="C490" s="17" t="s">
        <v>1075</v>
      </c>
      <c r="D490" s="51">
        <v>2016</v>
      </c>
      <c r="E490" s="52" t="s">
        <v>1076</v>
      </c>
      <c r="F490" s="50" t="s">
        <v>1077</v>
      </c>
      <c r="G490" s="53" t="s">
        <v>38</v>
      </c>
      <c r="H490" s="50" t="s">
        <v>39</v>
      </c>
      <c r="I490" s="20">
        <v>105000</v>
      </c>
      <c r="J490" s="54">
        <v>150</v>
      </c>
      <c r="K490" s="50"/>
      <c r="L490" s="55"/>
      <c r="M490" s="55"/>
      <c r="N490" s="53">
        <v>0</v>
      </c>
      <c r="O490" s="7"/>
      <c r="P490" s="24"/>
      <c r="Q490" s="7" t="s">
        <v>48</v>
      </c>
      <c r="R490" s="25"/>
      <c r="S490" s="24"/>
      <c r="T490" s="24"/>
      <c r="U490" s="24"/>
      <c r="V490" s="25"/>
      <c r="W490" s="24"/>
      <c r="X490" s="25"/>
      <c r="Y490" s="13">
        <v>12837</v>
      </c>
      <c r="Z490" s="13">
        <v>25.2</v>
      </c>
      <c r="AA490" s="13">
        <v>21</v>
      </c>
      <c r="AB490" s="13">
        <v>9</v>
      </c>
      <c r="AC490" s="13">
        <v>2</v>
      </c>
      <c r="AD490" s="13">
        <v>1065.6300000000001</v>
      </c>
      <c r="AE490" s="13">
        <v>1065.6300000000001</v>
      </c>
      <c r="AF490" s="26">
        <f t="shared" si="26"/>
        <v>426.25200000000007</v>
      </c>
      <c r="AG490" s="27" t="s">
        <v>1548</v>
      </c>
    </row>
    <row r="491" spans="1:33" ht="36" x14ac:dyDescent="0.35">
      <c r="A491" s="15">
        <v>633</v>
      </c>
      <c r="B491" s="16">
        <v>633</v>
      </c>
      <c r="C491" s="17" t="s">
        <v>1075</v>
      </c>
      <c r="D491" s="18">
        <v>2016</v>
      </c>
      <c r="E491" s="19" t="s">
        <v>1078</v>
      </c>
      <c r="F491" s="16" t="s">
        <v>1079</v>
      </c>
      <c r="G491" s="7" t="s">
        <v>38</v>
      </c>
      <c r="H491" s="16" t="s">
        <v>39</v>
      </c>
      <c r="I491" s="20">
        <v>175000</v>
      </c>
      <c r="J491" s="21">
        <v>250</v>
      </c>
      <c r="K491" s="16">
        <f>(68.25*2+12.5*2)*2</f>
        <v>323</v>
      </c>
      <c r="L491" s="22">
        <f>(K491/J491)-1</f>
        <v>0.29200000000000004</v>
      </c>
      <c r="M491" s="28">
        <v>1</v>
      </c>
      <c r="N491" s="7">
        <v>0</v>
      </c>
      <c r="O491" s="7"/>
      <c r="P491" s="24"/>
      <c r="Q491" s="7" t="s">
        <v>48</v>
      </c>
      <c r="R491" s="25"/>
      <c r="S491" s="24"/>
      <c r="T491" s="24" t="s">
        <v>42</v>
      </c>
      <c r="U491" s="24" t="s">
        <v>42</v>
      </c>
      <c r="V491" s="25"/>
      <c r="W491" s="24"/>
      <c r="X491" s="25">
        <v>10281653.92</v>
      </c>
      <c r="Y491" s="13">
        <v>11785</v>
      </c>
      <c r="Z491" s="13">
        <v>12.2</v>
      </c>
      <c r="AA491" s="13">
        <v>13</v>
      </c>
      <c r="AB491" s="13">
        <v>4</v>
      </c>
      <c r="AC491" s="13">
        <v>2</v>
      </c>
      <c r="AD491" s="13">
        <v>750.64</v>
      </c>
      <c r="AE491" s="13"/>
      <c r="AF491" s="26">
        <f t="shared" si="26"/>
        <v>0</v>
      </c>
      <c r="AG491" s="27" t="s">
        <v>1549</v>
      </c>
    </row>
    <row r="492" spans="1:33" ht="60.6" customHeight="1" x14ac:dyDescent="0.35">
      <c r="A492" s="15">
        <v>634</v>
      </c>
      <c r="B492" s="16">
        <v>634</v>
      </c>
      <c r="C492" s="17" t="s">
        <v>1075</v>
      </c>
      <c r="D492" s="18">
        <v>2016</v>
      </c>
      <c r="E492" s="19" t="s">
        <v>1080</v>
      </c>
      <c r="F492" s="16" t="s">
        <v>1081</v>
      </c>
      <c r="G492" s="7" t="s">
        <v>46</v>
      </c>
      <c r="H492" s="16" t="s">
        <v>47</v>
      </c>
      <c r="I492" s="20">
        <v>133000</v>
      </c>
      <c r="J492" s="21">
        <v>190</v>
      </c>
      <c r="K492" s="16">
        <v>143.36000000000001</v>
      </c>
      <c r="L492" s="28"/>
      <c r="M492" s="28"/>
      <c r="N492" s="7" t="s">
        <v>53</v>
      </c>
      <c r="O492" s="7" t="s">
        <v>54</v>
      </c>
      <c r="P492" s="24" t="s">
        <v>88</v>
      </c>
      <c r="Q492" s="7" t="s">
        <v>54</v>
      </c>
      <c r="R492" s="25">
        <v>9504316.0600000005</v>
      </c>
      <c r="S492" s="24"/>
      <c r="T492" s="24"/>
      <c r="U492" s="24"/>
      <c r="V492" s="25"/>
      <c r="W492" s="24"/>
      <c r="X492" s="25">
        <v>9499316.0600000005</v>
      </c>
      <c r="Y492" s="13"/>
      <c r="Z492" s="13"/>
      <c r="AA492" s="13"/>
      <c r="AB492" s="13"/>
      <c r="AC492" s="13">
        <v>2</v>
      </c>
      <c r="AD492" s="13"/>
      <c r="AE492" s="13"/>
      <c r="AF492" s="26">
        <f t="shared" si="26"/>
        <v>0</v>
      </c>
    </row>
    <row r="493" spans="1:33" ht="60.6" customHeight="1" x14ac:dyDescent="0.35">
      <c r="A493" s="15">
        <v>635</v>
      </c>
      <c r="B493" s="16">
        <v>635</v>
      </c>
      <c r="C493" s="17" t="s">
        <v>1075</v>
      </c>
      <c r="D493" s="18">
        <v>2016</v>
      </c>
      <c r="E493" s="19" t="s">
        <v>1082</v>
      </c>
      <c r="F493" s="16" t="s">
        <v>1083</v>
      </c>
      <c r="G493" s="7" t="s">
        <v>46</v>
      </c>
      <c r="H493" s="16" t="s">
        <v>47</v>
      </c>
      <c r="I493" s="20">
        <v>84000</v>
      </c>
      <c r="J493" s="21">
        <v>120</v>
      </c>
      <c r="K493" s="16"/>
      <c r="L493" s="28"/>
      <c r="M493" s="28"/>
      <c r="N493" s="7" t="s">
        <v>53</v>
      </c>
      <c r="O493" s="7" t="s">
        <v>40</v>
      </c>
      <c r="P493" s="24"/>
      <c r="Q493" s="7" t="s">
        <v>54</v>
      </c>
      <c r="R493" s="25">
        <v>1632056.63</v>
      </c>
      <c r="S493" s="24"/>
      <c r="T493" s="24" t="s">
        <v>42</v>
      </c>
      <c r="U493" s="24" t="s">
        <v>42</v>
      </c>
      <c r="V493" s="25">
        <v>5739104.4500000002</v>
      </c>
      <c r="W493" s="24" t="s">
        <v>344</v>
      </c>
      <c r="X493" s="25"/>
      <c r="Y493" s="13">
        <v>8414</v>
      </c>
      <c r="Z493" s="13">
        <v>12.5</v>
      </c>
      <c r="AA493" s="13">
        <v>13</v>
      </c>
      <c r="AB493" s="13">
        <v>5</v>
      </c>
      <c r="AC493" s="13">
        <v>2</v>
      </c>
      <c r="AD493" s="13">
        <v>581.04</v>
      </c>
      <c r="AE493" s="13">
        <v>581.04</v>
      </c>
      <c r="AF493" s="26">
        <f t="shared" si="26"/>
        <v>232.416</v>
      </c>
      <c r="AG493" s="27" t="s">
        <v>1550</v>
      </c>
    </row>
    <row r="494" spans="1:33" ht="58.2" customHeight="1" x14ac:dyDescent="0.35">
      <c r="A494" s="15">
        <v>636</v>
      </c>
      <c r="B494" s="16">
        <v>636</v>
      </c>
      <c r="C494" s="17" t="s">
        <v>1075</v>
      </c>
      <c r="D494" s="18">
        <v>2016</v>
      </c>
      <c r="E494" s="19" t="s">
        <v>1084</v>
      </c>
      <c r="F494" s="16" t="s">
        <v>1085</v>
      </c>
      <c r="G494" s="7" t="s">
        <v>46</v>
      </c>
      <c r="H494" s="16" t="s">
        <v>47</v>
      </c>
      <c r="I494" s="20">
        <v>47831</v>
      </c>
      <c r="J494" s="21">
        <v>68.33</v>
      </c>
      <c r="K494" s="16"/>
      <c r="L494" s="28"/>
      <c r="M494" s="28"/>
      <c r="N494" s="7" t="s">
        <v>53</v>
      </c>
      <c r="O494" s="7" t="s">
        <v>40</v>
      </c>
      <c r="P494" s="24"/>
      <c r="Q494" s="7" t="s">
        <v>41</v>
      </c>
      <c r="R494" s="25">
        <v>1356896.32</v>
      </c>
      <c r="S494" s="24"/>
      <c r="T494" s="24" t="s">
        <v>42</v>
      </c>
      <c r="U494" s="24" t="s">
        <v>42</v>
      </c>
      <c r="V494" s="25"/>
      <c r="W494" s="24" t="s">
        <v>43</v>
      </c>
      <c r="X494" s="25">
        <v>5363781.3099999996</v>
      </c>
      <c r="Y494" s="13">
        <v>9611</v>
      </c>
      <c r="Z494" s="13">
        <v>11.2</v>
      </c>
      <c r="AA494" s="13">
        <v>12</v>
      </c>
      <c r="AB494" s="13">
        <v>4</v>
      </c>
      <c r="AC494" s="13">
        <v>2</v>
      </c>
      <c r="AD494" s="13">
        <v>560.70000000000005</v>
      </c>
      <c r="AE494" s="13"/>
      <c r="AF494" s="26">
        <f t="shared" si="26"/>
        <v>0</v>
      </c>
      <c r="AG494" s="27" t="s">
        <v>1551</v>
      </c>
    </row>
    <row r="495" spans="1:33" ht="58.2" customHeight="1" x14ac:dyDescent="0.35">
      <c r="A495" s="15">
        <v>637</v>
      </c>
      <c r="B495" s="16">
        <v>637</v>
      </c>
      <c r="C495" s="17" t="s">
        <v>1075</v>
      </c>
      <c r="D495" s="18">
        <v>2016</v>
      </c>
      <c r="E495" s="19" t="s">
        <v>1086</v>
      </c>
      <c r="F495" s="16" t="s">
        <v>1087</v>
      </c>
      <c r="G495" s="7" t="s">
        <v>46</v>
      </c>
      <c r="H495" s="16" t="s">
        <v>47</v>
      </c>
      <c r="I495" s="20">
        <v>48370</v>
      </c>
      <c r="J495" s="21">
        <v>69.099999999999994</v>
      </c>
      <c r="K495" s="16"/>
      <c r="L495" s="28"/>
      <c r="M495" s="28"/>
      <c r="N495" s="7" t="s">
        <v>53</v>
      </c>
      <c r="O495" s="7" t="s">
        <v>40</v>
      </c>
      <c r="P495" s="24"/>
      <c r="Q495" s="7" t="s">
        <v>54</v>
      </c>
      <c r="R495" s="25">
        <v>1369237.74</v>
      </c>
      <c r="S495" s="24"/>
      <c r="T495" s="24" t="s">
        <v>42</v>
      </c>
      <c r="U495" s="24" t="s">
        <v>42</v>
      </c>
      <c r="V495" s="25">
        <v>5110252.4800000004</v>
      </c>
      <c r="W495" s="24" t="s">
        <v>344</v>
      </c>
      <c r="X495" s="25"/>
      <c r="Y495" s="13">
        <v>9633</v>
      </c>
      <c r="Z495" s="13">
        <v>11.2</v>
      </c>
      <c r="AA495" s="13">
        <v>12</v>
      </c>
      <c r="AB495" s="13">
        <v>4</v>
      </c>
      <c r="AC495" s="13">
        <v>2</v>
      </c>
      <c r="AD495" s="13">
        <v>561.51</v>
      </c>
      <c r="AE495" s="13">
        <v>561.51</v>
      </c>
      <c r="AF495" s="26">
        <f t="shared" si="26"/>
        <v>224.60400000000001</v>
      </c>
      <c r="AG495" s="27" t="s">
        <v>1552</v>
      </c>
    </row>
    <row r="496" spans="1:33" ht="58.2" customHeight="1" x14ac:dyDescent="0.35">
      <c r="A496" s="15">
        <v>638</v>
      </c>
      <c r="B496" s="16">
        <v>638</v>
      </c>
      <c r="C496" s="17" t="s">
        <v>1075</v>
      </c>
      <c r="D496" s="18">
        <v>2016</v>
      </c>
      <c r="E496" s="19" t="s">
        <v>1088</v>
      </c>
      <c r="F496" s="16" t="s">
        <v>1089</v>
      </c>
      <c r="G496" s="7" t="s">
        <v>46</v>
      </c>
      <c r="H496" s="16" t="s">
        <v>47</v>
      </c>
      <c r="I496" s="20">
        <v>45500</v>
      </c>
      <c r="J496" s="21">
        <v>65</v>
      </c>
      <c r="K496" s="16"/>
      <c r="L496" s="28"/>
      <c r="M496" s="28"/>
      <c r="N496" s="7" t="s">
        <v>87</v>
      </c>
      <c r="O496" s="7" t="s">
        <v>54</v>
      </c>
      <c r="P496" s="24" t="s">
        <v>88</v>
      </c>
      <c r="Q496" s="7" t="s">
        <v>54</v>
      </c>
      <c r="R496" s="25">
        <v>6236364.4800000004</v>
      </c>
      <c r="S496" s="24"/>
      <c r="T496" s="24" t="s">
        <v>42</v>
      </c>
      <c r="U496" s="24" t="s">
        <v>42</v>
      </c>
      <c r="V496" s="25"/>
      <c r="W496" s="24"/>
      <c r="X496" s="25">
        <v>6231364.4800000004</v>
      </c>
      <c r="Y496" s="13"/>
      <c r="Z496" s="13"/>
      <c r="AA496" s="13"/>
      <c r="AB496" s="13"/>
      <c r="AC496" s="13">
        <v>2</v>
      </c>
      <c r="AD496" s="13"/>
      <c r="AE496" s="13"/>
      <c r="AF496" s="26">
        <f t="shared" si="26"/>
        <v>0</v>
      </c>
    </row>
    <row r="497" spans="1:33" ht="63" customHeight="1" x14ac:dyDescent="0.35">
      <c r="A497" s="15">
        <v>639</v>
      </c>
      <c r="B497" s="16">
        <v>639</v>
      </c>
      <c r="C497" s="17" t="s">
        <v>1075</v>
      </c>
      <c r="D497" s="18">
        <v>2016</v>
      </c>
      <c r="E497" s="19" t="s">
        <v>1090</v>
      </c>
      <c r="F497" s="16" t="s">
        <v>1091</v>
      </c>
      <c r="G497" s="7" t="s">
        <v>46</v>
      </c>
      <c r="H497" s="16" t="s">
        <v>47</v>
      </c>
      <c r="I497" s="20">
        <v>48650</v>
      </c>
      <c r="J497" s="21">
        <v>69.5</v>
      </c>
      <c r="K497" s="16"/>
      <c r="L497" s="28"/>
      <c r="M497" s="28"/>
      <c r="N497" s="7" t="s">
        <v>87</v>
      </c>
      <c r="O497" s="7" t="s">
        <v>54</v>
      </c>
      <c r="P497" s="24" t="s">
        <v>88</v>
      </c>
      <c r="Q497" s="7" t="s">
        <v>54</v>
      </c>
      <c r="R497" s="25">
        <v>6199748.4800000004</v>
      </c>
      <c r="S497" s="24"/>
      <c r="T497" s="24" t="s">
        <v>42</v>
      </c>
      <c r="U497" s="24" t="s">
        <v>42</v>
      </c>
      <c r="V497" s="25"/>
      <c r="W497" s="24"/>
      <c r="X497" s="25">
        <v>6194748.4800000004</v>
      </c>
      <c r="Y497" s="13"/>
      <c r="Z497" s="13"/>
      <c r="AA497" s="13"/>
      <c r="AB497" s="13"/>
      <c r="AC497" s="13">
        <v>2</v>
      </c>
      <c r="AD497" s="13"/>
      <c r="AE497" s="13"/>
      <c r="AF497" s="26">
        <f t="shared" si="26"/>
        <v>0</v>
      </c>
    </row>
    <row r="498" spans="1:33" ht="54" x14ac:dyDescent="0.35">
      <c r="A498" s="15">
        <v>640</v>
      </c>
      <c r="B498" s="16">
        <v>640</v>
      </c>
      <c r="C498" s="17" t="s">
        <v>1075</v>
      </c>
      <c r="D498" s="18">
        <v>2016</v>
      </c>
      <c r="E498" s="19" t="s">
        <v>1092</v>
      </c>
      <c r="F498" s="16" t="s">
        <v>1093</v>
      </c>
      <c r="G498" s="7" t="s">
        <v>46</v>
      </c>
      <c r="H498" s="16" t="s">
        <v>47</v>
      </c>
      <c r="I498" s="20">
        <v>53760</v>
      </c>
      <c r="J498" s="21">
        <v>76.8</v>
      </c>
      <c r="K498" s="16">
        <f>2.3*0.66*8</f>
        <v>12.144</v>
      </c>
      <c r="L498" s="22">
        <f t="shared" ref="L498:L504" si="28">(K498/J498)-1</f>
        <v>-0.84187499999999993</v>
      </c>
      <c r="M498" s="28">
        <v>1</v>
      </c>
      <c r="N498" s="7">
        <v>0</v>
      </c>
      <c r="O498" s="7"/>
      <c r="P498" s="24"/>
      <c r="Q498" s="7" t="s">
        <v>48</v>
      </c>
      <c r="R498" s="25"/>
      <c r="S498" s="24"/>
      <c r="T498" s="24"/>
      <c r="U498" s="24"/>
      <c r="V498" s="25"/>
      <c r="W498" s="24"/>
      <c r="X498" s="25"/>
      <c r="Y498" s="13">
        <v>2399</v>
      </c>
      <c r="Z498" s="13">
        <v>5.6</v>
      </c>
      <c r="AA498" s="13">
        <v>6</v>
      </c>
      <c r="AB498" s="13">
        <v>2</v>
      </c>
      <c r="AC498" s="13">
        <v>2</v>
      </c>
      <c r="AD498" s="13">
        <v>201.3</v>
      </c>
      <c r="AE498" s="13">
        <v>201.3</v>
      </c>
      <c r="AF498" s="26">
        <f t="shared" si="26"/>
        <v>80.52000000000001</v>
      </c>
      <c r="AG498" s="27" t="s">
        <v>1553</v>
      </c>
    </row>
    <row r="499" spans="1:33" ht="54" x14ac:dyDescent="0.35">
      <c r="A499" s="15">
        <v>641</v>
      </c>
      <c r="B499" s="16">
        <v>641</v>
      </c>
      <c r="C499" s="17" t="s">
        <v>1075</v>
      </c>
      <c r="D499" s="18">
        <v>2016</v>
      </c>
      <c r="E499" s="19" t="s">
        <v>1094</v>
      </c>
      <c r="F499" s="16" t="s">
        <v>1095</v>
      </c>
      <c r="G499" s="7" t="s">
        <v>46</v>
      </c>
      <c r="H499" s="16" t="s">
        <v>47</v>
      </c>
      <c r="I499" s="20">
        <v>45500</v>
      </c>
      <c r="J499" s="21">
        <v>65</v>
      </c>
      <c r="K499" s="16">
        <f>2.3*0.66*8</f>
        <v>12.144</v>
      </c>
      <c r="L499" s="22">
        <f t="shared" si="28"/>
        <v>-0.81316923076923076</v>
      </c>
      <c r="M499" s="28">
        <v>1</v>
      </c>
      <c r="N499" s="7">
        <v>0</v>
      </c>
      <c r="O499" s="7"/>
      <c r="P499" s="24"/>
      <c r="Q499" s="7" t="s">
        <v>48</v>
      </c>
      <c r="R499" s="25"/>
      <c r="S499" s="24"/>
      <c r="T499" s="24"/>
      <c r="U499" s="24"/>
      <c r="V499" s="25"/>
      <c r="W499" s="24"/>
      <c r="X499" s="25"/>
      <c r="Y499" s="13">
        <v>2438</v>
      </c>
      <c r="Z499" s="13">
        <v>5.7</v>
      </c>
      <c r="AA499" s="13">
        <v>6</v>
      </c>
      <c r="AB499" s="13">
        <v>2</v>
      </c>
      <c r="AC499" s="13">
        <v>2</v>
      </c>
      <c r="AD499" s="13">
        <v>203.08</v>
      </c>
      <c r="AE499" s="13">
        <v>203.08</v>
      </c>
      <c r="AF499" s="26">
        <f t="shared" si="26"/>
        <v>81.232000000000014</v>
      </c>
      <c r="AG499" s="27" t="s">
        <v>1554</v>
      </c>
    </row>
    <row r="500" spans="1:33" ht="54" x14ac:dyDescent="0.35">
      <c r="A500" s="15">
        <v>642</v>
      </c>
      <c r="B500" s="16">
        <v>642</v>
      </c>
      <c r="C500" s="17" t="s">
        <v>1075</v>
      </c>
      <c r="D500" s="18">
        <v>2016</v>
      </c>
      <c r="E500" s="19" t="s">
        <v>1096</v>
      </c>
      <c r="F500" s="16" t="s">
        <v>1097</v>
      </c>
      <c r="G500" s="7" t="s">
        <v>46</v>
      </c>
      <c r="H500" s="16" t="s">
        <v>47</v>
      </c>
      <c r="I500" s="20">
        <v>50477</v>
      </c>
      <c r="J500" s="21">
        <v>72.11</v>
      </c>
      <c r="K500" s="16">
        <f>3.15*0.6*2+1.4*0.6*2</f>
        <v>5.46</v>
      </c>
      <c r="L500" s="22">
        <f t="shared" si="28"/>
        <v>-0.92428234641519902</v>
      </c>
      <c r="M500" s="28">
        <v>1</v>
      </c>
      <c r="N500" s="7">
        <v>0</v>
      </c>
      <c r="O500" s="7"/>
      <c r="P500" s="24"/>
      <c r="Q500" s="7" t="s">
        <v>48</v>
      </c>
      <c r="R500" s="25"/>
      <c r="S500" s="24"/>
      <c r="T500" s="24"/>
      <c r="U500" s="24"/>
      <c r="V500" s="25"/>
      <c r="W500" s="24"/>
      <c r="X500" s="25"/>
      <c r="Y500" s="13">
        <v>1732</v>
      </c>
      <c r="Z500" s="13">
        <v>6</v>
      </c>
      <c r="AA500" s="13">
        <v>6</v>
      </c>
      <c r="AB500" s="13">
        <v>2</v>
      </c>
      <c r="AC500" s="13">
        <v>2</v>
      </c>
      <c r="AD500" s="13">
        <v>170.86</v>
      </c>
      <c r="AE500" s="13">
        <v>170.86</v>
      </c>
      <c r="AF500" s="26">
        <f t="shared" si="26"/>
        <v>68.344000000000008</v>
      </c>
      <c r="AG500" s="27" t="s">
        <v>1555</v>
      </c>
    </row>
    <row r="501" spans="1:33" ht="54" x14ac:dyDescent="0.35">
      <c r="A501" s="15">
        <v>643</v>
      </c>
      <c r="B501" s="16">
        <v>643</v>
      </c>
      <c r="C501" s="17" t="s">
        <v>1075</v>
      </c>
      <c r="D501" s="18">
        <v>2016</v>
      </c>
      <c r="E501" s="19" t="s">
        <v>1098</v>
      </c>
      <c r="F501" s="16" t="s">
        <v>1099</v>
      </c>
      <c r="G501" s="7" t="s">
        <v>46</v>
      </c>
      <c r="H501" s="16" t="s">
        <v>47</v>
      </c>
      <c r="I501" s="20">
        <v>45500</v>
      </c>
      <c r="J501" s="21">
        <v>65</v>
      </c>
      <c r="K501" s="16">
        <f>3.15*0.6*2+1.4*0.6*2</f>
        <v>5.46</v>
      </c>
      <c r="L501" s="22">
        <f t="shared" si="28"/>
        <v>-0.91600000000000004</v>
      </c>
      <c r="M501" s="28">
        <v>1</v>
      </c>
      <c r="N501" s="7">
        <v>0</v>
      </c>
      <c r="O501" s="7"/>
      <c r="P501" s="24"/>
      <c r="Q501" s="7" t="s">
        <v>48</v>
      </c>
      <c r="R501" s="25"/>
      <c r="S501" s="24"/>
      <c r="T501" s="24"/>
      <c r="U501" s="24"/>
      <c r="V501" s="25"/>
      <c r="W501" s="24"/>
      <c r="X501" s="25"/>
      <c r="Y501" s="13">
        <v>1680</v>
      </c>
      <c r="Z501" s="13">
        <v>5.8</v>
      </c>
      <c r="AA501" s="13">
        <v>6</v>
      </c>
      <c r="AB501" s="13">
        <v>2</v>
      </c>
      <c r="AC501" s="13">
        <v>2</v>
      </c>
      <c r="AD501" s="13">
        <v>168.49</v>
      </c>
      <c r="AE501" s="13">
        <v>168.49</v>
      </c>
      <c r="AF501" s="26">
        <f t="shared" si="26"/>
        <v>67.396000000000001</v>
      </c>
      <c r="AG501" s="27" t="s">
        <v>1556</v>
      </c>
    </row>
    <row r="502" spans="1:33" ht="54" x14ac:dyDescent="0.35">
      <c r="A502" s="15">
        <v>644</v>
      </c>
      <c r="B502" s="16">
        <v>644</v>
      </c>
      <c r="C502" s="17" t="s">
        <v>1075</v>
      </c>
      <c r="D502" s="18">
        <v>2016</v>
      </c>
      <c r="E502" s="19" t="s">
        <v>1100</v>
      </c>
      <c r="F502" s="16" t="s">
        <v>1101</v>
      </c>
      <c r="G502" s="7" t="s">
        <v>46</v>
      </c>
      <c r="H502" s="16" t="s">
        <v>47</v>
      </c>
      <c r="I502" s="20">
        <v>47852</v>
      </c>
      <c r="J502" s="21">
        <v>68.36</v>
      </c>
      <c r="K502" s="16">
        <f>3.2*0.95*2+1.4*1*2</f>
        <v>8.879999999999999</v>
      </c>
      <c r="L502" s="22">
        <f t="shared" si="28"/>
        <v>-0.87009947337624349</v>
      </c>
      <c r="M502" s="28">
        <v>1</v>
      </c>
      <c r="N502" s="7">
        <v>0</v>
      </c>
      <c r="O502" s="7"/>
      <c r="P502" s="24"/>
      <c r="Q502" s="7" t="s">
        <v>48</v>
      </c>
      <c r="R502" s="25"/>
      <c r="S502" s="24"/>
      <c r="T502" s="24"/>
      <c r="U502" s="24"/>
      <c r="V502" s="25"/>
      <c r="W502" s="24"/>
      <c r="X502" s="25"/>
      <c r="Y502" s="13">
        <v>1677</v>
      </c>
      <c r="Z502" s="13">
        <v>5.8</v>
      </c>
      <c r="AA502" s="13">
        <v>6</v>
      </c>
      <c r="AB502" s="13">
        <v>2</v>
      </c>
      <c r="AC502" s="13">
        <v>2</v>
      </c>
      <c r="AD502" s="13">
        <v>168.35</v>
      </c>
      <c r="AE502" s="13">
        <v>168.35</v>
      </c>
      <c r="AF502" s="26">
        <f t="shared" si="26"/>
        <v>67.34</v>
      </c>
      <c r="AG502" s="27" t="s">
        <v>1557</v>
      </c>
    </row>
    <row r="503" spans="1:33" ht="36" x14ac:dyDescent="0.35">
      <c r="A503" s="15">
        <v>645</v>
      </c>
      <c r="B503" s="16">
        <v>645</v>
      </c>
      <c r="C503" s="17" t="s">
        <v>1075</v>
      </c>
      <c r="D503" s="18">
        <v>2016</v>
      </c>
      <c r="E503" s="19" t="s">
        <v>1102</v>
      </c>
      <c r="F503" s="16" t="s">
        <v>1103</v>
      </c>
      <c r="G503" s="7" t="s">
        <v>134</v>
      </c>
      <c r="H503" s="16" t="s">
        <v>80</v>
      </c>
      <c r="I503" s="20">
        <v>9721.2900000000009</v>
      </c>
      <c r="J503" s="21">
        <v>85</v>
      </c>
      <c r="K503" s="16"/>
      <c r="L503" s="22">
        <f t="shared" si="28"/>
        <v>-1</v>
      </c>
      <c r="M503" s="28"/>
      <c r="N503" s="7">
        <v>0</v>
      </c>
      <c r="O503" s="7"/>
      <c r="P503" s="24"/>
      <c r="Q503" s="7" t="s">
        <v>48</v>
      </c>
      <c r="R503" s="25"/>
      <c r="S503" s="24"/>
      <c r="T503" s="24"/>
      <c r="U503" s="24"/>
      <c r="V503" s="25"/>
      <c r="W503" s="24"/>
      <c r="X503" s="25"/>
      <c r="Y503" s="13">
        <v>2878</v>
      </c>
      <c r="Z503" s="13">
        <v>6.3</v>
      </c>
      <c r="AA503" s="13">
        <v>7</v>
      </c>
      <c r="AB503" s="13">
        <v>2</v>
      </c>
      <c r="AC503" s="13">
        <v>2</v>
      </c>
      <c r="AD503" s="13">
        <v>271.33999999999997</v>
      </c>
      <c r="AE503" s="13">
        <v>271.33999999999997</v>
      </c>
      <c r="AF503" s="26">
        <f t="shared" si="26"/>
        <v>108.536</v>
      </c>
      <c r="AG503" s="27" t="s">
        <v>1558</v>
      </c>
    </row>
    <row r="504" spans="1:33" ht="36" x14ac:dyDescent="0.35">
      <c r="A504" s="15">
        <v>646</v>
      </c>
      <c r="B504" s="16">
        <v>646</v>
      </c>
      <c r="C504" s="17" t="s">
        <v>1075</v>
      </c>
      <c r="D504" s="18">
        <v>2016</v>
      </c>
      <c r="E504" s="19" t="s">
        <v>1104</v>
      </c>
      <c r="F504" s="16" t="s">
        <v>1105</v>
      </c>
      <c r="G504" s="7" t="s">
        <v>134</v>
      </c>
      <c r="H504" s="16" t="s">
        <v>80</v>
      </c>
      <c r="I504" s="20">
        <v>11894.28</v>
      </c>
      <c r="J504" s="21">
        <v>104</v>
      </c>
      <c r="K504" s="16">
        <f>(47*2+15*2)*0.9</f>
        <v>111.60000000000001</v>
      </c>
      <c r="L504" s="22">
        <f t="shared" si="28"/>
        <v>7.3076923076923261E-2</v>
      </c>
      <c r="M504" s="28">
        <v>1</v>
      </c>
      <c r="N504" s="7">
        <v>0</v>
      </c>
      <c r="O504" s="7"/>
      <c r="P504" s="24"/>
      <c r="Q504" s="7" t="s">
        <v>48</v>
      </c>
      <c r="R504" s="25"/>
      <c r="S504" s="24"/>
      <c r="T504" s="24"/>
      <c r="U504" s="24"/>
      <c r="V504" s="25"/>
      <c r="W504" s="24"/>
      <c r="X504" s="25"/>
      <c r="Y504" s="13">
        <v>2960</v>
      </c>
      <c r="Z504" s="13">
        <v>6.3</v>
      </c>
      <c r="AA504" s="13">
        <v>7</v>
      </c>
      <c r="AB504" s="13">
        <v>2</v>
      </c>
      <c r="AC504" s="13">
        <v>2</v>
      </c>
      <c r="AD504" s="13">
        <v>274.92</v>
      </c>
      <c r="AE504" s="13">
        <v>274.92</v>
      </c>
      <c r="AF504" s="26">
        <f t="shared" si="26"/>
        <v>109.96800000000002</v>
      </c>
      <c r="AG504" s="27" t="s">
        <v>1559</v>
      </c>
    </row>
    <row r="505" spans="1:33" ht="52.2" customHeight="1" x14ac:dyDescent="0.35">
      <c r="A505" s="15">
        <v>647</v>
      </c>
      <c r="B505" s="16">
        <v>647</v>
      </c>
      <c r="C505" s="17" t="s">
        <v>1075</v>
      </c>
      <c r="D505" s="18">
        <v>2017</v>
      </c>
      <c r="E505" s="19" t="s">
        <v>1106</v>
      </c>
      <c r="F505" s="16" t="s">
        <v>1107</v>
      </c>
      <c r="G505" s="7" t="s">
        <v>46</v>
      </c>
      <c r="H505" s="16" t="s">
        <v>47</v>
      </c>
      <c r="I505" s="20">
        <v>89600</v>
      </c>
      <c r="J505" s="21">
        <v>128</v>
      </c>
      <c r="K505" s="16"/>
      <c r="L505" s="28"/>
      <c r="M505" s="28"/>
      <c r="N505" s="7" t="s">
        <v>87</v>
      </c>
      <c r="O505" s="7" t="s">
        <v>54</v>
      </c>
      <c r="P505" s="24" t="s">
        <v>88</v>
      </c>
      <c r="Q505" s="7" t="s">
        <v>54</v>
      </c>
      <c r="R505" s="25">
        <v>9510824.9800000004</v>
      </c>
      <c r="S505" s="24"/>
      <c r="T505" s="24"/>
      <c r="U505" s="24"/>
      <c r="V505" s="25"/>
      <c r="W505" s="24"/>
      <c r="X505" s="25">
        <v>9495824.9800000004</v>
      </c>
      <c r="Y505" s="13"/>
      <c r="Z505" s="13"/>
      <c r="AA505" s="13"/>
      <c r="AB505" s="13"/>
      <c r="AC505" s="13">
        <v>2</v>
      </c>
      <c r="AD505" s="13"/>
      <c r="AE505" s="13"/>
      <c r="AF505" s="26">
        <f t="shared" si="26"/>
        <v>0</v>
      </c>
    </row>
    <row r="506" spans="1:33" ht="52.2" customHeight="1" x14ac:dyDescent="0.35">
      <c r="A506" s="15">
        <v>648</v>
      </c>
      <c r="B506" s="16">
        <v>648</v>
      </c>
      <c r="C506" s="17" t="s">
        <v>1075</v>
      </c>
      <c r="D506" s="18">
        <v>2017</v>
      </c>
      <c r="E506" s="19" t="s">
        <v>1108</v>
      </c>
      <c r="F506" s="16" t="s">
        <v>1109</v>
      </c>
      <c r="G506" s="7" t="s">
        <v>46</v>
      </c>
      <c r="H506" s="16" t="s">
        <v>47</v>
      </c>
      <c r="I506" s="20">
        <v>53900</v>
      </c>
      <c r="J506" s="21">
        <v>77</v>
      </c>
      <c r="K506" s="16"/>
      <c r="L506" s="28"/>
      <c r="M506" s="28"/>
      <c r="N506" s="7" t="s">
        <v>87</v>
      </c>
      <c r="O506" s="7" t="s">
        <v>54</v>
      </c>
      <c r="P506" s="24" t="s">
        <v>88</v>
      </c>
      <c r="Q506" s="7" t="s">
        <v>54</v>
      </c>
      <c r="R506" s="25">
        <v>4280399.09</v>
      </c>
      <c r="S506" s="24"/>
      <c r="T506" s="24" t="s">
        <v>42</v>
      </c>
      <c r="U506" s="24" t="s">
        <v>42</v>
      </c>
      <c r="V506" s="25"/>
      <c r="W506" s="24"/>
      <c r="X506" s="25">
        <v>4275399.09</v>
      </c>
      <c r="Y506" s="13"/>
      <c r="Z506" s="13"/>
      <c r="AA506" s="13"/>
      <c r="AB506" s="13"/>
      <c r="AC506" s="13">
        <v>2</v>
      </c>
      <c r="AD506" s="13"/>
      <c r="AE506" s="13"/>
      <c r="AF506" s="26">
        <f t="shared" si="26"/>
        <v>0</v>
      </c>
    </row>
    <row r="507" spans="1:33" ht="52.2" customHeight="1" x14ac:dyDescent="0.35">
      <c r="A507" s="15">
        <v>649</v>
      </c>
      <c r="B507" s="16">
        <v>649</v>
      </c>
      <c r="C507" s="17" t="s">
        <v>1075</v>
      </c>
      <c r="D507" s="18">
        <v>2017</v>
      </c>
      <c r="E507" s="19" t="s">
        <v>1110</v>
      </c>
      <c r="F507" s="16" t="s">
        <v>1111</v>
      </c>
      <c r="G507" s="7" t="s">
        <v>46</v>
      </c>
      <c r="H507" s="16" t="s">
        <v>47</v>
      </c>
      <c r="I507" s="20">
        <v>89600</v>
      </c>
      <c r="J507" s="21">
        <v>128</v>
      </c>
      <c r="K507" s="16"/>
      <c r="L507" s="28"/>
      <c r="M507" s="28"/>
      <c r="N507" s="7" t="s">
        <v>87</v>
      </c>
      <c r="O507" s="7" t="s">
        <v>54</v>
      </c>
      <c r="P507" s="24" t="s">
        <v>88</v>
      </c>
      <c r="Q507" s="7" t="s">
        <v>54</v>
      </c>
      <c r="R507" s="25">
        <v>9573650.6199999992</v>
      </c>
      <c r="S507" s="24"/>
      <c r="T507" s="24" t="s">
        <v>42</v>
      </c>
      <c r="U507" s="24" t="s">
        <v>42</v>
      </c>
      <c r="V507" s="25"/>
      <c r="W507" s="24"/>
      <c r="X507" s="25">
        <v>9568650.6199999992</v>
      </c>
      <c r="Y507" s="13"/>
      <c r="Z507" s="13"/>
      <c r="AA507" s="13"/>
      <c r="AB507" s="13"/>
      <c r="AC507" s="13">
        <v>2</v>
      </c>
      <c r="AD507" s="13"/>
      <c r="AE507" s="13"/>
      <c r="AF507" s="26">
        <f t="shared" si="26"/>
        <v>0</v>
      </c>
    </row>
    <row r="508" spans="1:33" ht="37.799999999999997" customHeight="1" x14ac:dyDescent="0.35">
      <c r="A508" s="15">
        <v>650</v>
      </c>
      <c r="B508" s="16">
        <v>650</v>
      </c>
      <c r="C508" s="17" t="s">
        <v>1112</v>
      </c>
      <c r="D508" s="18">
        <v>2016</v>
      </c>
      <c r="E508" s="19" t="s">
        <v>1113</v>
      </c>
      <c r="F508" s="16" t="s">
        <v>1114</v>
      </c>
      <c r="G508" s="7" t="s">
        <v>38</v>
      </c>
      <c r="H508" s="16" t="s">
        <v>39</v>
      </c>
      <c r="I508" s="20">
        <v>77000</v>
      </c>
      <c r="J508" s="21">
        <v>110</v>
      </c>
      <c r="K508" s="16">
        <f>(20.25*2+11.25*2)*2.2</f>
        <v>138.60000000000002</v>
      </c>
      <c r="L508" s="22">
        <f>(K508/J508)-1</f>
        <v>0.26000000000000023</v>
      </c>
      <c r="M508" s="28"/>
      <c r="N508" s="7">
        <v>0</v>
      </c>
      <c r="O508" s="7"/>
      <c r="P508" s="24"/>
      <c r="Q508" s="7" t="s">
        <v>48</v>
      </c>
      <c r="R508" s="25"/>
      <c r="S508" s="24"/>
      <c r="T508" s="24"/>
      <c r="U508" s="24"/>
      <c r="V508" s="25"/>
      <c r="W508" s="24"/>
      <c r="X508" s="25"/>
      <c r="Y508" s="13">
        <v>10469</v>
      </c>
      <c r="Z508" s="13">
        <v>25.99</v>
      </c>
      <c r="AA508" s="13">
        <v>21</v>
      </c>
      <c r="AB508" s="13">
        <v>9</v>
      </c>
      <c r="AC508" s="13">
        <v>2</v>
      </c>
      <c r="AD508" s="13">
        <v>1003.47</v>
      </c>
      <c r="AE508" s="13">
        <v>1003.47</v>
      </c>
      <c r="AF508" s="26">
        <f t="shared" si="26"/>
        <v>401.38800000000003</v>
      </c>
      <c r="AG508" s="27" t="s">
        <v>1560</v>
      </c>
    </row>
    <row r="509" spans="1:33" ht="36" x14ac:dyDescent="0.35">
      <c r="A509" s="15">
        <v>651</v>
      </c>
      <c r="B509" s="16">
        <v>651</v>
      </c>
      <c r="C509" s="17" t="s">
        <v>1112</v>
      </c>
      <c r="D509" s="18">
        <v>2016</v>
      </c>
      <c r="E509" s="19" t="s">
        <v>1115</v>
      </c>
      <c r="F509" s="16" t="s">
        <v>1116</v>
      </c>
      <c r="G509" s="7" t="s">
        <v>38</v>
      </c>
      <c r="H509" s="16" t="s">
        <v>39</v>
      </c>
      <c r="I509" s="20">
        <v>196000</v>
      </c>
      <c r="J509" s="21">
        <v>280</v>
      </c>
      <c r="K509" s="16">
        <f>(37.3*2+14.2*2)*2.5</f>
        <v>257.5</v>
      </c>
      <c r="L509" s="22">
        <f>(K509/J509)-1</f>
        <v>-8.0357142857142905E-2</v>
      </c>
      <c r="M509" s="28">
        <v>1</v>
      </c>
      <c r="N509" s="7">
        <v>0</v>
      </c>
      <c r="O509" s="7"/>
      <c r="P509" s="24"/>
      <c r="Q509" s="7" t="s">
        <v>48</v>
      </c>
      <c r="R509" s="25"/>
      <c r="S509" s="24"/>
      <c r="T509" s="24"/>
      <c r="U509" s="24"/>
      <c r="V509" s="25"/>
      <c r="W509" s="24"/>
      <c r="X509" s="25"/>
      <c r="Y509" s="13">
        <v>2567</v>
      </c>
      <c r="Z509" s="13">
        <v>5.8</v>
      </c>
      <c r="AA509" s="13">
        <v>6</v>
      </c>
      <c r="AB509" s="13">
        <v>2</v>
      </c>
      <c r="AC509" s="13">
        <v>2</v>
      </c>
      <c r="AD509" s="13">
        <v>260.92</v>
      </c>
      <c r="AE509" s="13">
        <v>260.92</v>
      </c>
      <c r="AF509" s="26">
        <f t="shared" si="26"/>
        <v>104.36800000000001</v>
      </c>
      <c r="AG509" s="27" t="s">
        <v>1561</v>
      </c>
    </row>
    <row r="510" spans="1:33" ht="36" x14ac:dyDescent="0.35">
      <c r="A510" s="15">
        <v>652</v>
      </c>
      <c r="B510" s="16">
        <v>652</v>
      </c>
      <c r="C510" s="17" t="s">
        <v>1112</v>
      </c>
      <c r="D510" s="18">
        <v>2016</v>
      </c>
      <c r="E510" s="19" t="s">
        <v>1117</v>
      </c>
      <c r="F510" s="16" t="s">
        <v>1118</v>
      </c>
      <c r="G510" s="7" t="s">
        <v>38</v>
      </c>
      <c r="H510" s="16" t="s">
        <v>39</v>
      </c>
      <c r="I510" s="20">
        <v>49350</v>
      </c>
      <c r="J510" s="21">
        <v>70.5</v>
      </c>
      <c r="K510" s="16">
        <f>(20.25*2+11.2*2)*2</f>
        <v>125.8</v>
      </c>
      <c r="L510" s="22">
        <f>(K510/J510)-1</f>
        <v>0.78439716312056729</v>
      </c>
      <c r="M510" s="28"/>
      <c r="N510" s="7">
        <v>0</v>
      </c>
      <c r="O510" s="7"/>
      <c r="P510" s="24"/>
      <c r="Q510" s="7" t="s">
        <v>48</v>
      </c>
      <c r="R510" s="25"/>
      <c r="S510" s="24"/>
      <c r="T510" s="24"/>
      <c r="U510" s="24"/>
      <c r="V510" s="25"/>
      <c r="W510" s="24"/>
      <c r="X510" s="25"/>
      <c r="Y510" s="13">
        <v>1737</v>
      </c>
      <c r="Z510" s="13">
        <v>6.53</v>
      </c>
      <c r="AA510" s="13">
        <v>7</v>
      </c>
      <c r="AB510" s="13">
        <v>2</v>
      </c>
      <c r="AC510" s="13">
        <v>2</v>
      </c>
      <c r="AD510" s="13">
        <v>221.54</v>
      </c>
      <c r="AE510" s="13">
        <v>221.54</v>
      </c>
      <c r="AF510" s="26">
        <f t="shared" si="26"/>
        <v>88.616</v>
      </c>
      <c r="AG510" s="27" t="s">
        <v>1562</v>
      </c>
    </row>
    <row r="511" spans="1:33" ht="43.2" customHeight="1" x14ac:dyDescent="0.35">
      <c r="A511" s="15">
        <v>653</v>
      </c>
      <c r="B511" s="16">
        <v>653</v>
      </c>
      <c r="C511" s="17" t="s">
        <v>1119</v>
      </c>
      <c r="D511" s="18">
        <v>2016</v>
      </c>
      <c r="E511" s="19" t="s">
        <v>1120</v>
      </c>
      <c r="F511" s="16" t="s">
        <v>1121</v>
      </c>
      <c r="G511" s="7" t="s">
        <v>38</v>
      </c>
      <c r="H511" s="16" t="s">
        <v>39</v>
      </c>
      <c r="I511" s="20">
        <v>209300</v>
      </c>
      <c r="J511" s="21">
        <v>299</v>
      </c>
      <c r="K511" s="16">
        <f>(128*2+13.4*2)*2</f>
        <v>565.6</v>
      </c>
      <c r="L511" s="22">
        <f>(K511/J511)-1</f>
        <v>0.8916387959866221</v>
      </c>
      <c r="M511" s="28" t="s">
        <v>375</v>
      </c>
      <c r="N511" s="7">
        <v>0</v>
      </c>
      <c r="O511" s="7" t="s">
        <v>41</v>
      </c>
      <c r="P511" s="24"/>
      <c r="Q511" s="7" t="s">
        <v>41</v>
      </c>
      <c r="R511" s="25"/>
      <c r="S511" s="24"/>
      <c r="T511" s="24" t="s">
        <v>42</v>
      </c>
      <c r="U511" s="24" t="s">
        <v>42</v>
      </c>
      <c r="V511" s="25"/>
      <c r="W511" s="24"/>
      <c r="X511" s="25">
        <v>17082463.57</v>
      </c>
      <c r="Y511" s="13">
        <v>24182.598999999998</v>
      </c>
      <c r="Z511" s="13">
        <v>13.36</v>
      </c>
      <c r="AA511" s="13">
        <v>14</v>
      </c>
      <c r="AB511" s="13">
        <v>5</v>
      </c>
      <c r="AC511" s="13">
        <v>2</v>
      </c>
      <c r="AD511" s="13">
        <v>1290.99</v>
      </c>
      <c r="AE511" s="13"/>
      <c r="AF511" s="26">
        <f t="shared" si="26"/>
        <v>0</v>
      </c>
      <c r="AG511" s="27" t="s">
        <v>1563</v>
      </c>
    </row>
    <row r="512" spans="1:33" ht="58.8" customHeight="1" x14ac:dyDescent="0.35">
      <c r="A512" s="15">
        <v>654</v>
      </c>
      <c r="B512" s="16">
        <v>654</v>
      </c>
      <c r="C512" s="17" t="s">
        <v>1119</v>
      </c>
      <c r="D512" s="18">
        <v>2017</v>
      </c>
      <c r="E512" s="19" t="s">
        <v>1122</v>
      </c>
      <c r="F512" s="16" t="s">
        <v>1123</v>
      </c>
      <c r="G512" s="7" t="s">
        <v>46</v>
      </c>
      <c r="H512" s="16" t="s">
        <v>47</v>
      </c>
      <c r="I512" s="20">
        <v>14307.53</v>
      </c>
      <c r="J512" s="21">
        <v>30</v>
      </c>
      <c r="K512" s="16"/>
      <c r="L512" s="28"/>
      <c r="M512" s="28"/>
      <c r="N512" s="7" t="s">
        <v>53</v>
      </c>
      <c r="O512" s="7" t="s">
        <v>54</v>
      </c>
      <c r="P512" s="24" t="s">
        <v>88</v>
      </c>
      <c r="Q512" s="7" t="s">
        <v>54</v>
      </c>
      <c r="R512" s="25">
        <v>2448508.2799999998</v>
      </c>
      <c r="S512" s="24"/>
      <c r="T512" s="24"/>
      <c r="U512" s="24"/>
      <c r="V512" s="25"/>
      <c r="W512" s="24"/>
      <c r="X512" s="25">
        <v>2443508.2799999998</v>
      </c>
      <c r="Y512" s="13"/>
      <c r="Z512" s="13"/>
      <c r="AA512" s="13"/>
      <c r="AB512" s="13"/>
      <c r="AC512" s="13">
        <v>2</v>
      </c>
      <c r="AD512" s="13"/>
      <c r="AE512" s="13"/>
      <c r="AF512" s="26">
        <f t="shared" si="26"/>
        <v>0</v>
      </c>
    </row>
    <row r="513" spans="1:33" ht="55.2" customHeight="1" x14ac:dyDescent="0.35">
      <c r="A513" s="15">
        <v>655</v>
      </c>
      <c r="B513" s="16">
        <v>655</v>
      </c>
      <c r="C513" s="17" t="s">
        <v>1119</v>
      </c>
      <c r="D513" s="18">
        <v>2017</v>
      </c>
      <c r="E513" s="19" t="s">
        <v>1124</v>
      </c>
      <c r="F513" s="16" t="s">
        <v>1125</v>
      </c>
      <c r="G513" s="7" t="s">
        <v>46</v>
      </c>
      <c r="H513" s="16" t="s">
        <v>47</v>
      </c>
      <c r="I513" s="20">
        <v>9538.35</v>
      </c>
      <c r="J513" s="21">
        <v>20</v>
      </c>
      <c r="K513" s="16"/>
      <c r="L513" s="28"/>
      <c r="M513" s="28"/>
      <c r="N513" s="7" t="s">
        <v>87</v>
      </c>
      <c r="O513" s="7" t="s">
        <v>54</v>
      </c>
      <c r="P513" s="24" t="s">
        <v>88</v>
      </c>
      <c r="Q513" s="7" t="s">
        <v>54</v>
      </c>
      <c r="R513" s="25">
        <v>1746238.73</v>
      </c>
      <c r="S513" s="24"/>
      <c r="T513" s="24" t="s">
        <v>42</v>
      </c>
      <c r="U513" s="24" t="s">
        <v>42</v>
      </c>
      <c r="V513" s="25"/>
      <c r="W513" s="24"/>
      <c r="X513" s="25">
        <v>1741238.73</v>
      </c>
      <c r="Y513" s="13"/>
      <c r="Z513" s="13"/>
      <c r="AA513" s="13"/>
      <c r="AB513" s="13"/>
      <c r="AC513" s="13">
        <v>2</v>
      </c>
      <c r="AD513" s="13"/>
      <c r="AE513" s="13"/>
      <c r="AF513" s="26">
        <f t="shared" si="26"/>
        <v>0</v>
      </c>
    </row>
    <row r="514" spans="1:33" ht="58.8" customHeight="1" x14ac:dyDescent="0.35">
      <c r="A514" s="15">
        <v>656</v>
      </c>
      <c r="B514" s="16">
        <v>656</v>
      </c>
      <c r="C514" s="17" t="s">
        <v>1119</v>
      </c>
      <c r="D514" s="18">
        <v>2017</v>
      </c>
      <c r="E514" s="19" t="s">
        <v>1126</v>
      </c>
      <c r="F514" s="16" t="s">
        <v>1127</v>
      </c>
      <c r="G514" s="7" t="s">
        <v>46</v>
      </c>
      <c r="H514" s="16" t="s">
        <v>47</v>
      </c>
      <c r="I514" s="20">
        <v>4769.18</v>
      </c>
      <c r="J514" s="21">
        <v>10</v>
      </c>
      <c r="K514" s="16"/>
      <c r="L514" s="28"/>
      <c r="M514" s="28"/>
      <c r="N514" s="7" t="s">
        <v>53</v>
      </c>
      <c r="O514" s="7"/>
      <c r="P514" s="24"/>
      <c r="Q514" s="7" t="s">
        <v>54</v>
      </c>
      <c r="R514" s="25">
        <v>916908.1</v>
      </c>
      <c r="S514" s="24"/>
      <c r="T514" s="24" t="s">
        <v>42</v>
      </c>
      <c r="U514" s="24" t="s">
        <v>42</v>
      </c>
      <c r="V514" s="25"/>
      <c r="W514" s="24"/>
      <c r="X514" s="25">
        <v>866661.73</v>
      </c>
      <c r="Y514" s="13"/>
      <c r="Z514" s="13"/>
      <c r="AA514" s="13"/>
      <c r="AB514" s="13"/>
      <c r="AC514" s="13">
        <v>2</v>
      </c>
      <c r="AD514" s="13"/>
      <c r="AE514" s="13"/>
      <c r="AF514" s="26">
        <f t="shared" si="26"/>
        <v>0</v>
      </c>
    </row>
    <row r="515" spans="1:33" ht="36" x14ac:dyDescent="0.35">
      <c r="A515" s="15">
        <v>657</v>
      </c>
      <c r="B515" s="16">
        <v>657</v>
      </c>
      <c r="C515" s="17" t="s">
        <v>1128</v>
      </c>
      <c r="D515" s="18">
        <v>2017</v>
      </c>
      <c r="E515" s="19" t="s">
        <v>1129</v>
      </c>
      <c r="F515" s="16" t="s">
        <v>1130</v>
      </c>
      <c r="G515" s="7" t="s">
        <v>38</v>
      </c>
      <c r="H515" s="16" t="s">
        <v>39</v>
      </c>
      <c r="I515" s="20">
        <v>85400</v>
      </c>
      <c r="J515" s="21">
        <v>122</v>
      </c>
      <c r="K515" s="16">
        <f>(72.35*2+13.35*2)*2</f>
        <v>342.79999999999995</v>
      </c>
      <c r="L515" s="22">
        <f>(K515/J515)-1</f>
        <v>1.8098360655737702</v>
      </c>
      <c r="M515" s="28"/>
      <c r="N515" s="7">
        <v>0</v>
      </c>
      <c r="O515" s="7"/>
      <c r="P515" s="24"/>
      <c r="Q515" s="7" t="s">
        <v>48</v>
      </c>
      <c r="R515" s="25"/>
      <c r="S515" s="24"/>
      <c r="T515" s="24"/>
      <c r="U515" s="24"/>
      <c r="V515" s="25"/>
      <c r="W515" s="24"/>
      <c r="X515" s="25"/>
      <c r="Y515" s="13">
        <v>13707</v>
      </c>
      <c r="Z515" s="13">
        <v>17.3</v>
      </c>
      <c r="AA515" s="13">
        <v>18</v>
      </c>
      <c r="AB515" s="13">
        <v>5</v>
      </c>
      <c r="AC515" s="13">
        <v>2</v>
      </c>
      <c r="AD515" s="13">
        <v>855.98</v>
      </c>
      <c r="AE515" s="13">
        <v>855.98</v>
      </c>
      <c r="AF515" s="26">
        <f t="shared" si="26"/>
        <v>342.39200000000005</v>
      </c>
      <c r="AG515" s="27" t="s">
        <v>1564</v>
      </c>
    </row>
    <row r="516" spans="1:33" ht="54" x14ac:dyDescent="0.35">
      <c r="A516" s="15">
        <v>658</v>
      </c>
      <c r="B516" s="16">
        <v>658</v>
      </c>
      <c r="C516" s="17" t="s">
        <v>1128</v>
      </c>
      <c r="D516" s="18">
        <v>2017</v>
      </c>
      <c r="E516" s="19" t="s">
        <v>1131</v>
      </c>
      <c r="F516" s="16" t="s">
        <v>1132</v>
      </c>
      <c r="G516" s="7" t="s">
        <v>46</v>
      </c>
      <c r="H516" s="16" t="s">
        <v>47</v>
      </c>
      <c r="I516" s="20">
        <v>53200</v>
      </c>
      <c r="J516" s="21">
        <v>76</v>
      </c>
      <c r="K516" s="16">
        <f>129*2.4*1+0.3*1.8*68</f>
        <v>346.31999999999994</v>
      </c>
      <c r="L516" s="22">
        <f>(K516/J516)-1</f>
        <v>3.5568421052631569</v>
      </c>
      <c r="M516" s="28"/>
      <c r="N516" s="7">
        <v>0</v>
      </c>
      <c r="O516" s="7"/>
      <c r="P516" s="24"/>
      <c r="Q516" s="7" t="s">
        <v>48</v>
      </c>
      <c r="R516" s="25"/>
      <c r="S516" s="24"/>
      <c r="T516" s="24"/>
      <c r="U516" s="24"/>
      <c r="V516" s="25"/>
      <c r="W516" s="24"/>
      <c r="X516" s="25"/>
      <c r="Y516" s="13">
        <v>74127</v>
      </c>
      <c r="Z516" s="13">
        <v>17.8</v>
      </c>
      <c r="AA516" s="13">
        <v>18</v>
      </c>
      <c r="AB516" s="13">
        <v>5</v>
      </c>
      <c r="AC516" s="13">
        <v>2</v>
      </c>
      <c r="AD516" s="13">
        <v>2396.36</v>
      </c>
      <c r="AE516" s="13">
        <v>2396.36</v>
      </c>
      <c r="AF516" s="26">
        <f t="shared" ref="AF516:AF540" si="29">AE516*0.4</f>
        <v>958.5440000000001</v>
      </c>
      <c r="AG516" s="27" t="s">
        <v>1565</v>
      </c>
    </row>
    <row r="517" spans="1:33" ht="43.8" customHeight="1" x14ac:dyDescent="0.35">
      <c r="A517" s="15">
        <v>659</v>
      </c>
      <c r="B517" s="16">
        <v>659</v>
      </c>
      <c r="C517" s="17" t="s">
        <v>1133</v>
      </c>
      <c r="D517" s="18">
        <v>2017</v>
      </c>
      <c r="E517" s="19" t="s">
        <v>1134</v>
      </c>
      <c r="F517" s="16" t="s">
        <v>1135</v>
      </c>
      <c r="G517" s="7" t="s">
        <v>38</v>
      </c>
      <c r="H517" s="16" t="s">
        <v>39</v>
      </c>
      <c r="I517" s="20">
        <v>250810</v>
      </c>
      <c r="J517" s="21">
        <v>358.3</v>
      </c>
      <c r="K517" s="16"/>
      <c r="L517" s="28"/>
      <c r="M517" s="28"/>
      <c r="N517" s="7" t="s">
        <v>53</v>
      </c>
      <c r="O517" s="7" t="s">
        <v>54</v>
      </c>
      <c r="P517" s="24"/>
      <c r="Q517" s="7" t="s">
        <v>54</v>
      </c>
      <c r="R517" s="25">
        <v>7150053</v>
      </c>
      <c r="S517" s="24"/>
      <c r="T517" s="24"/>
      <c r="U517" s="24"/>
      <c r="V517" s="25"/>
      <c r="W517" s="24"/>
      <c r="X517" s="25">
        <v>7150053</v>
      </c>
      <c r="Y517" s="13"/>
      <c r="Z517" s="13"/>
      <c r="AA517" s="13"/>
      <c r="AB517" s="13"/>
      <c r="AC517" s="13">
        <v>2</v>
      </c>
      <c r="AD517" s="13"/>
      <c r="AE517" s="13"/>
      <c r="AF517" s="26">
        <f t="shared" si="29"/>
        <v>0</v>
      </c>
    </row>
    <row r="518" spans="1:33" ht="54" x14ac:dyDescent="0.35">
      <c r="A518" s="15">
        <v>661</v>
      </c>
      <c r="B518" s="16">
        <v>661</v>
      </c>
      <c r="C518" s="17" t="s">
        <v>1136</v>
      </c>
      <c r="D518" s="18">
        <v>2017</v>
      </c>
      <c r="E518" s="19" t="s">
        <v>1137</v>
      </c>
      <c r="F518" s="16" t="s">
        <v>1138</v>
      </c>
      <c r="G518" s="7" t="s">
        <v>46</v>
      </c>
      <c r="H518" s="16" t="s">
        <v>47</v>
      </c>
      <c r="I518" s="20">
        <v>36260</v>
      </c>
      <c r="J518" s="21">
        <v>51.8</v>
      </c>
      <c r="K518" s="16"/>
      <c r="L518" s="22">
        <f>(K518/J518)-1</f>
        <v>-1</v>
      </c>
      <c r="M518" s="28">
        <v>1</v>
      </c>
      <c r="N518" s="7">
        <v>0</v>
      </c>
      <c r="O518" s="7"/>
      <c r="P518" s="24"/>
      <c r="Q518" s="7" t="s">
        <v>48</v>
      </c>
      <c r="R518" s="25"/>
      <c r="S518" s="24"/>
      <c r="T518" s="24"/>
      <c r="U518" s="24"/>
      <c r="V518" s="25"/>
      <c r="W518" s="24"/>
      <c r="X518" s="25"/>
      <c r="Y518" s="13">
        <v>4977</v>
      </c>
      <c r="Z518" s="13">
        <v>8.33</v>
      </c>
      <c r="AA518" s="13">
        <v>9</v>
      </c>
      <c r="AB518" s="13">
        <v>3</v>
      </c>
      <c r="AC518" s="13">
        <v>2</v>
      </c>
      <c r="AD518" s="13">
        <v>343.8</v>
      </c>
      <c r="AE518" s="13">
        <v>343.8</v>
      </c>
      <c r="AF518" s="26">
        <f t="shared" si="29"/>
        <v>137.52000000000001</v>
      </c>
      <c r="AG518" s="27" t="s">
        <v>1566</v>
      </c>
    </row>
    <row r="519" spans="1:33" ht="62.4" customHeight="1" x14ac:dyDescent="0.35">
      <c r="A519" s="15">
        <v>662</v>
      </c>
      <c r="B519" s="16">
        <v>662</v>
      </c>
      <c r="C519" s="17" t="s">
        <v>1139</v>
      </c>
      <c r="D519" s="18">
        <v>2017</v>
      </c>
      <c r="E519" s="19" t="s">
        <v>1140</v>
      </c>
      <c r="F519" s="16" t="s">
        <v>1141</v>
      </c>
      <c r="G519" s="7" t="s">
        <v>46</v>
      </c>
      <c r="H519" s="16" t="s">
        <v>47</v>
      </c>
      <c r="I519" s="20">
        <v>113400</v>
      </c>
      <c r="J519" s="21">
        <v>162</v>
      </c>
      <c r="K519" s="16">
        <f>3.2*0.8*52</f>
        <v>133.12000000000003</v>
      </c>
      <c r="L519" s="22">
        <f>(K519/J519)-1</f>
        <v>-0.17827160493827143</v>
      </c>
      <c r="M519" s="28">
        <v>1</v>
      </c>
      <c r="N519" s="7">
        <v>0</v>
      </c>
      <c r="O519" s="7" t="s">
        <v>54</v>
      </c>
      <c r="P519" s="24"/>
      <c r="Q519" s="7" t="s">
        <v>41</v>
      </c>
      <c r="R519" s="25"/>
      <c r="S519" s="24"/>
      <c r="T519" s="24" t="s">
        <v>42</v>
      </c>
      <c r="U519" s="24" t="s">
        <v>42</v>
      </c>
      <c r="V519" s="25"/>
      <c r="W519" s="24"/>
      <c r="X519" s="25">
        <v>8513859.9800000004</v>
      </c>
      <c r="Y519" s="13"/>
      <c r="Z519" s="13"/>
      <c r="AA519" s="13"/>
      <c r="AB519" s="13"/>
      <c r="AC519" s="13">
        <v>2</v>
      </c>
      <c r="AD519" s="13"/>
      <c r="AE519" s="13"/>
      <c r="AF519" s="26">
        <f t="shared" si="29"/>
        <v>0</v>
      </c>
    </row>
    <row r="520" spans="1:33" ht="63" customHeight="1" x14ac:dyDescent="0.35">
      <c r="A520" s="15">
        <v>663</v>
      </c>
      <c r="B520" s="16">
        <v>663</v>
      </c>
      <c r="C520" s="17" t="s">
        <v>1139</v>
      </c>
      <c r="D520" s="18">
        <v>2017</v>
      </c>
      <c r="E520" s="19" t="s">
        <v>1142</v>
      </c>
      <c r="F520" s="16" t="s">
        <v>1143</v>
      </c>
      <c r="G520" s="7" t="s">
        <v>46</v>
      </c>
      <c r="H520" s="16" t="s">
        <v>47</v>
      </c>
      <c r="I520" s="20">
        <v>79800</v>
      </c>
      <c r="J520" s="21">
        <v>114</v>
      </c>
      <c r="K520" s="16"/>
      <c r="L520" s="28"/>
      <c r="M520" s="28"/>
      <c r="N520" s="7" t="s">
        <v>53</v>
      </c>
      <c r="O520" s="7" t="s">
        <v>54</v>
      </c>
      <c r="P520" s="24"/>
      <c r="Q520" s="7" t="s">
        <v>54</v>
      </c>
      <c r="R520" s="25"/>
      <c r="S520" s="24"/>
      <c r="T520" s="24" t="s">
        <v>42</v>
      </c>
      <c r="U520" s="24" t="s">
        <v>42</v>
      </c>
      <c r="V520" s="25"/>
      <c r="W520" s="24"/>
      <c r="X520" s="25">
        <v>5986254.4400000004</v>
      </c>
      <c r="Y520" s="13"/>
      <c r="Z520" s="13"/>
      <c r="AA520" s="13"/>
      <c r="AB520" s="13"/>
      <c r="AC520" s="13">
        <v>2</v>
      </c>
      <c r="AD520" s="13"/>
      <c r="AE520" s="13"/>
      <c r="AF520" s="26">
        <f t="shared" si="29"/>
        <v>0</v>
      </c>
    </row>
    <row r="521" spans="1:33" ht="54" x14ac:dyDescent="0.35">
      <c r="A521" s="15">
        <v>664</v>
      </c>
      <c r="B521" s="16">
        <v>664</v>
      </c>
      <c r="C521" s="17" t="s">
        <v>1139</v>
      </c>
      <c r="D521" s="18">
        <v>2017</v>
      </c>
      <c r="E521" s="19" t="s">
        <v>1144</v>
      </c>
      <c r="F521" s="16" t="s">
        <v>1145</v>
      </c>
      <c r="G521" s="7" t="s">
        <v>46</v>
      </c>
      <c r="H521" s="16" t="s">
        <v>47</v>
      </c>
      <c r="I521" s="20">
        <v>63000</v>
      </c>
      <c r="J521" s="21">
        <v>90</v>
      </c>
      <c r="K521" s="16"/>
      <c r="L521" s="28"/>
      <c r="M521" s="28"/>
      <c r="N521" s="7" t="s">
        <v>561</v>
      </c>
      <c r="O521" s="7"/>
      <c r="P521" s="24"/>
      <c r="Q521" s="7"/>
      <c r="R521" s="25"/>
      <c r="S521" s="24"/>
      <c r="T521" s="24" t="s">
        <v>42</v>
      </c>
      <c r="U521" s="24" t="s">
        <v>42</v>
      </c>
      <c r="V521" s="25">
        <v>4353789.13</v>
      </c>
      <c r="W521" s="24" t="s">
        <v>755</v>
      </c>
      <c r="X521" s="25"/>
      <c r="Y521" s="13">
        <v>7765.7</v>
      </c>
      <c r="Z521" s="13">
        <v>11.4</v>
      </c>
      <c r="AA521" s="13">
        <v>12</v>
      </c>
      <c r="AB521" s="13">
        <v>4</v>
      </c>
      <c r="AC521" s="13">
        <v>2</v>
      </c>
      <c r="AD521" s="13">
        <v>492.22</v>
      </c>
      <c r="AE521" s="13">
        <v>492.22</v>
      </c>
      <c r="AF521" s="26">
        <f t="shared" si="29"/>
        <v>196.88800000000003</v>
      </c>
      <c r="AG521" s="27" t="s">
        <v>1567</v>
      </c>
    </row>
    <row r="522" spans="1:33" ht="63.6" customHeight="1" x14ac:dyDescent="0.35">
      <c r="A522" s="15">
        <v>665</v>
      </c>
      <c r="B522" s="16">
        <v>665</v>
      </c>
      <c r="C522" s="17" t="s">
        <v>1139</v>
      </c>
      <c r="D522" s="18">
        <v>2017</v>
      </c>
      <c r="E522" s="19" t="s">
        <v>1146</v>
      </c>
      <c r="F522" s="16" t="s">
        <v>1147</v>
      </c>
      <c r="G522" s="7" t="s">
        <v>46</v>
      </c>
      <c r="H522" s="16" t="s">
        <v>47</v>
      </c>
      <c r="I522" s="20">
        <v>50400</v>
      </c>
      <c r="J522" s="21">
        <v>72</v>
      </c>
      <c r="K522" s="16"/>
      <c r="L522" s="28"/>
      <c r="M522" s="28"/>
      <c r="N522" s="7" t="s">
        <v>561</v>
      </c>
      <c r="O522" s="7" t="s">
        <v>54</v>
      </c>
      <c r="P522" s="24"/>
      <c r="Q522" s="7" t="s">
        <v>41</v>
      </c>
      <c r="R522" s="25"/>
      <c r="S522" s="24"/>
      <c r="T522" s="24" t="s">
        <v>42</v>
      </c>
      <c r="U522" s="24" t="s">
        <v>42</v>
      </c>
      <c r="V522" s="25"/>
      <c r="W522" s="24"/>
      <c r="X522" s="25">
        <v>4715264.28</v>
      </c>
      <c r="Y522" s="13"/>
      <c r="Z522" s="13"/>
      <c r="AA522" s="13"/>
      <c r="AB522" s="13"/>
      <c r="AC522" s="13">
        <v>2</v>
      </c>
      <c r="AD522" s="13"/>
      <c r="AE522" s="13"/>
      <c r="AF522" s="26">
        <f t="shared" si="29"/>
        <v>0</v>
      </c>
    </row>
    <row r="523" spans="1:33" ht="65.400000000000006" customHeight="1" x14ac:dyDescent="0.35">
      <c r="A523" s="15">
        <v>666</v>
      </c>
      <c r="B523" s="16">
        <v>666</v>
      </c>
      <c r="C523" s="17" t="s">
        <v>1139</v>
      </c>
      <c r="D523" s="18">
        <v>2017</v>
      </c>
      <c r="E523" s="19" t="s">
        <v>1148</v>
      </c>
      <c r="F523" s="16" t="s">
        <v>1149</v>
      </c>
      <c r="G523" s="7" t="s">
        <v>46</v>
      </c>
      <c r="H523" s="16" t="s">
        <v>47</v>
      </c>
      <c r="I523" s="20">
        <v>100800</v>
      </c>
      <c r="J523" s="21">
        <v>144</v>
      </c>
      <c r="K523" s="16">
        <f>3.2*0.8*52</f>
        <v>133.12000000000003</v>
      </c>
      <c r="L523" s="22">
        <f>(K523/J523)-1</f>
        <v>-7.5555555555555376E-2</v>
      </c>
      <c r="M523" s="28">
        <v>1</v>
      </c>
      <c r="N523" s="7">
        <v>0</v>
      </c>
      <c r="O523" s="7" t="s">
        <v>54</v>
      </c>
      <c r="P523" s="24"/>
      <c r="Q523" s="7" t="s">
        <v>41</v>
      </c>
      <c r="R523" s="25"/>
      <c r="S523" s="24"/>
      <c r="T523" s="24" t="s">
        <v>42</v>
      </c>
      <c r="U523" s="24" t="s">
        <v>42</v>
      </c>
      <c r="V523" s="25"/>
      <c r="W523" s="24"/>
      <c r="X523" s="25">
        <v>8521902.7100000009</v>
      </c>
      <c r="Y523" s="13"/>
      <c r="Z523" s="13"/>
      <c r="AA523" s="13"/>
      <c r="AB523" s="13"/>
      <c r="AC523" s="13">
        <v>2</v>
      </c>
      <c r="AD523" s="13"/>
      <c r="AE523" s="13"/>
      <c r="AF523" s="26">
        <f t="shared" si="29"/>
        <v>0</v>
      </c>
    </row>
    <row r="524" spans="1:33" ht="53.4" customHeight="1" x14ac:dyDescent="0.35">
      <c r="A524" s="15">
        <v>667</v>
      </c>
      <c r="B524" s="16">
        <v>667</v>
      </c>
      <c r="C524" s="17" t="s">
        <v>1139</v>
      </c>
      <c r="D524" s="18">
        <v>2017</v>
      </c>
      <c r="E524" s="19" t="s">
        <v>1150</v>
      </c>
      <c r="F524" s="16" t="s">
        <v>1151</v>
      </c>
      <c r="G524" s="7" t="s">
        <v>46</v>
      </c>
      <c r="H524" s="16" t="s">
        <v>47</v>
      </c>
      <c r="I524" s="20">
        <v>37800</v>
      </c>
      <c r="J524" s="21">
        <v>54</v>
      </c>
      <c r="K524" s="16">
        <f>18*6*1.2</f>
        <v>129.6</v>
      </c>
      <c r="L524" s="22">
        <f>(K524/J524)-1</f>
        <v>1.4</v>
      </c>
      <c r="M524" s="28"/>
      <c r="N524" s="7">
        <v>0</v>
      </c>
      <c r="O524" s="7" t="s">
        <v>41</v>
      </c>
      <c r="P524" s="24"/>
      <c r="Q524" s="7" t="s">
        <v>41</v>
      </c>
      <c r="R524" s="25"/>
      <c r="S524" s="24"/>
      <c r="T524" s="24" t="s">
        <v>42</v>
      </c>
      <c r="U524" s="24" t="s">
        <v>42</v>
      </c>
      <c r="V524" s="25">
        <v>2991515.75</v>
      </c>
      <c r="W524" s="24"/>
      <c r="X524" s="25"/>
      <c r="Y524" s="13">
        <v>5457</v>
      </c>
      <c r="Z524" s="13">
        <v>5.54</v>
      </c>
      <c r="AA524" s="13">
        <v>6</v>
      </c>
      <c r="AB524" s="13">
        <v>2</v>
      </c>
      <c r="AC524" s="13">
        <v>2</v>
      </c>
      <c r="AD524" s="13">
        <v>340.84</v>
      </c>
      <c r="AE524" s="13"/>
      <c r="AF524" s="26">
        <f t="shared" si="29"/>
        <v>0</v>
      </c>
      <c r="AG524" s="27" t="s">
        <v>1568</v>
      </c>
    </row>
    <row r="525" spans="1:33" ht="36" x14ac:dyDescent="0.35">
      <c r="A525" s="15">
        <v>668</v>
      </c>
      <c r="B525" s="16">
        <v>668</v>
      </c>
      <c r="C525" s="17" t="s">
        <v>1139</v>
      </c>
      <c r="D525" s="18">
        <v>2018</v>
      </c>
      <c r="E525" s="19" t="s">
        <v>1152</v>
      </c>
      <c r="F525" s="16" t="s">
        <v>1153</v>
      </c>
      <c r="G525" s="7" t="s">
        <v>38</v>
      </c>
      <c r="H525" s="16" t="s">
        <v>39</v>
      </c>
      <c r="I525" s="20">
        <v>57750</v>
      </c>
      <c r="J525" s="21">
        <v>75</v>
      </c>
      <c r="K525" s="16">
        <f>(24*2+10*2)*1.8</f>
        <v>122.4</v>
      </c>
      <c r="L525" s="22">
        <f>(K525/J525)-1</f>
        <v>0.63200000000000012</v>
      </c>
      <c r="M525" s="28"/>
      <c r="N525" s="7">
        <v>0</v>
      </c>
      <c r="O525" s="7"/>
      <c r="P525" s="24"/>
      <c r="Q525" s="7" t="s">
        <v>48</v>
      </c>
      <c r="R525" s="25"/>
      <c r="S525" s="24"/>
      <c r="T525" s="24"/>
      <c r="U525" s="24"/>
      <c r="V525" s="25"/>
      <c r="W525" s="24"/>
      <c r="X525" s="25"/>
      <c r="Y525" s="13">
        <v>559</v>
      </c>
      <c r="Z525" s="13">
        <v>2.8</v>
      </c>
      <c r="AA525" s="13">
        <v>4</v>
      </c>
      <c r="AB525" s="13">
        <v>1</v>
      </c>
      <c r="AC525" s="13">
        <v>2</v>
      </c>
      <c r="AD525" s="13">
        <v>121.1</v>
      </c>
      <c r="AE525" s="13">
        <v>121.1</v>
      </c>
      <c r="AF525" s="26">
        <f t="shared" si="29"/>
        <v>48.44</v>
      </c>
      <c r="AG525" s="27" t="s">
        <v>1569</v>
      </c>
    </row>
    <row r="526" spans="1:33" ht="54" customHeight="1" x14ac:dyDescent="0.35">
      <c r="A526" s="15">
        <v>670</v>
      </c>
      <c r="B526" s="16">
        <v>670</v>
      </c>
      <c r="C526" s="17" t="s">
        <v>1154</v>
      </c>
      <c r="D526" s="18">
        <v>2017</v>
      </c>
      <c r="E526" s="19" t="s">
        <v>1155</v>
      </c>
      <c r="F526" s="16" t="s">
        <v>1156</v>
      </c>
      <c r="G526" s="7" t="s">
        <v>46</v>
      </c>
      <c r="H526" s="16" t="s">
        <v>47</v>
      </c>
      <c r="I526" s="20">
        <v>50400</v>
      </c>
      <c r="J526" s="21">
        <v>72</v>
      </c>
      <c r="K526" s="16"/>
      <c r="L526" s="28"/>
      <c r="M526" s="28"/>
      <c r="N526" s="7" t="s">
        <v>87</v>
      </c>
      <c r="O526" s="7" t="s">
        <v>54</v>
      </c>
      <c r="P526" s="24" t="s">
        <v>88</v>
      </c>
      <c r="Q526" s="7" t="s">
        <v>54</v>
      </c>
      <c r="R526" s="25">
        <v>3873476.37</v>
      </c>
      <c r="S526" s="24"/>
      <c r="T526" s="24"/>
      <c r="U526" s="24"/>
      <c r="V526" s="25"/>
      <c r="W526" s="24"/>
      <c r="X526" s="25">
        <v>3868476.37</v>
      </c>
      <c r="Y526" s="13"/>
      <c r="Z526" s="13"/>
      <c r="AA526" s="13"/>
      <c r="AB526" s="13"/>
      <c r="AC526" s="13">
        <v>2</v>
      </c>
      <c r="AD526" s="13"/>
      <c r="AE526" s="13"/>
      <c r="AF526" s="26">
        <f t="shared" si="29"/>
        <v>0</v>
      </c>
    </row>
    <row r="527" spans="1:33" ht="42" customHeight="1" x14ac:dyDescent="0.35">
      <c r="A527" s="15">
        <v>671</v>
      </c>
      <c r="B527" s="16">
        <v>671</v>
      </c>
      <c r="C527" s="17" t="s">
        <v>1154</v>
      </c>
      <c r="D527" s="18">
        <v>2016</v>
      </c>
      <c r="E527" s="19" t="s">
        <v>1157</v>
      </c>
      <c r="F527" s="16" t="s">
        <v>1158</v>
      </c>
      <c r="G527" s="7" t="s">
        <v>38</v>
      </c>
      <c r="H527" s="16" t="s">
        <v>39</v>
      </c>
      <c r="I527" s="20">
        <v>123984</v>
      </c>
      <c r="J527" s="21">
        <v>177.12</v>
      </c>
      <c r="K527" s="16"/>
      <c r="L527" s="28"/>
      <c r="M527" s="28"/>
      <c r="N527" s="7" t="s">
        <v>87</v>
      </c>
      <c r="O527" s="7" t="s">
        <v>54</v>
      </c>
      <c r="P527" s="24" t="s">
        <v>88</v>
      </c>
      <c r="Q527" s="7" t="s">
        <v>54</v>
      </c>
      <c r="R527" s="25">
        <v>2113666.61</v>
      </c>
      <c r="S527" s="24"/>
      <c r="T527" s="24" t="s">
        <v>42</v>
      </c>
      <c r="U527" s="24" t="s">
        <v>42</v>
      </c>
      <c r="V527" s="25"/>
      <c r="W527" s="24"/>
      <c r="X527" s="25">
        <v>2113666.61</v>
      </c>
      <c r="Y527" s="13"/>
      <c r="Z527" s="13"/>
      <c r="AA527" s="13"/>
      <c r="AB527" s="13"/>
      <c r="AC527" s="13">
        <v>2</v>
      </c>
      <c r="AD527" s="13"/>
      <c r="AE527" s="13"/>
      <c r="AF527" s="26">
        <f t="shared" si="29"/>
        <v>0</v>
      </c>
    </row>
    <row r="528" spans="1:33" ht="36" x14ac:dyDescent="0.35">
      <c r="A528" s="15">
        <v>672</v>
      </c>
      <c r="B528" s="16">
        <v>672</v>
      </c>
      <c r="C528" s="17" t="s">
        <v>1159</v>
      </c>
      <c r="D528" s="18">
        <v>2017</v>
      </c>
      <c r="E528" s="19" t="s">
        <v>1160</v>
      </c>
      <c r="F528" s="16" t="s">
        <v>1161</v>
      </c>
      <c r="G528" s="7" t="s">
        <v>79</v>
      </c>
      <c r="H528" s="16" t="s">
        <v>80</v>
      </c>
      <c r="I528" s="20">
        <v>28000.74</v>
      </c>
      <c r="J528" s="21">
        <v>244.83</v>
      </c>
      <c r="K528" s="16">
        <f>(68*2+16.2*2)*1+4</f>
        <v>172.4</v>
      </c>
      <c r="L528" s="22">
        <f t="shared" ref="L528:L540" si="30">(K528/J528)-1</f>
        <v>-0.2958379283584528</v>
      </c>
      <c r="M528" s="28"/>
      <c r="N528" s="7">
        <v>0</v>
      </c>
      <c r="O528" s="7"/>
      <c r="P528" s="24"/>
      <c r="Q528" s="7" t="s">
        <v>48</v>
      </c>
      <c r="R528" s="25"/>
      <c r="S528" s="24"/>
      <c r="T528" s="24"/>
      <c r="U528" s="24"/>
      <c r="V528" s="25"/>
      <c r="W528" s="24"/>
      <c r="X528" s="25"/>
      <c r="Y528" s="13">
        <v>11693</v>
      </c>
      <c r="Z528" s="13">
        <v>11.85</v>
      </c>
      <c r="AA528" s="13">
        <v>12</v>
      </c>
      <c r="AB528" s="13">
        <v>4</v>
      </c>
      <c r="AC528" s="13">
        <v>2</v>
      </c>
      <c r="AD528" s="13"/>
      <c r="AE528" s="13">
        <v>58.7</v>
      </c>
      <c r="AF528" s="26">
        <v>23.48</v>
      </c>
      <c r="AG528" s="27" t="s">
        <v>1570</v>
      </c>
    </row>
    <row r="529" spans="1:33" ht="54" x14ac:dyDescent="0.35">
      <c r="A529" s="15">
        <v>673</v>
      </c>
      <c r="B529" s="16">
        <v>673</v>
      </c>
      <c r="C529" s="17" t="s">
        <v>1159</v>
      </c>
      <c r="D529" s="18">
        <v>2017</v>
      </c>
      <c r="E529" s="19" t="s">
        <v>1162</v>
      </c>
      <c r="F529" s="16" t="s">
        <v>1163</v>
      </c>
      <c r="G529" s="7" t="s">
        <v>46</v>
      </c>
      <c r="H529" s="16" t="s">
        <v>47</v>
      </c>
      <c r="I529" s="20">
        <v>47040</v>
      </c>
      <c r="J529" s="21">
        <v>67.2</v>
      </c>
      <c r="K529" s="16">
        <f>3*1*12</f>
        <v>36</v>
      </c>
      <c r="L529" s="22">
        <f t="shared" si="30"/>
        <v>-0.4642857142857143</v>
      </c>
      <c r="M529" s="28" t="s">
        <v>99</v>
      </c>
      <c r="N529" s="7">
        <v>0</v>
      </c>
      <c r="O529" s="7"/>
      <c r="P529" s="24"/>
      <c r="Q529" s="7" t="s">
        <v>48</v>
      </c>
      <c r="R529" s="25"/>
      <c r="S529" s="24"/>
      <c r="T529" s="24"/>
      <c r="U529" s="24"/>
      <c r="V529" s="25"/>
      <c r="W529" s="24"/>
      <c r="X529" s="25"/>
      <c r="Y529" s="13">
        <v>11711</v>
      </c>
      <c r="Z529" s="13">
        <v>11.85</v>
      </c>
      <c r="AA529" s="13">
        <v>12</v>
      </c>
      <c r="AB529" s="13">
        <v>4</v>
      </c>
      <c r="AC529" s="13">
        <v>2</v>
      </c>
      <c r="AD529" s="13">
        <v>638.62</v>
      </c>
      <c r="AE529" s="13">
        <v>638.62</v>
      </c>
      <c r="AF529" s="26">
        <f t="shared" si="29"/>
        <v>255.44800000000001</v>
      </c>
      <c r="AG529" s="27" t="s">
        <v>1571</v>
      </c>
    </row>
    <row r="530" spans="1:33" ht="36" x14ac:dyDescent="0.35">
      <c r="A530" s="15">
        <v>674</v>
      </c>
      <c r="B530" s="16">
        <v>674</v>
      </c>
      <c r="C530" s="17" t="s">
        <v>1159</v>
      </c>
      <c r="D530" s="18">
        <v>2017</v>
      </c>
      <c r="E530" s="19" t="s">
        <v>1162</v>
      </c>
      <c r="F530" s="16" t="s">
        <v>1164</v>
      </c>
      <c r="G530" s="7" t="s">
        <v>79</v>
      </c>
      <c r="H530" s="16" t="s">
        <v>80</v>
      </c>
      <c r="I530" s="20">
        <v>28000.74</v>
      </c>
      <c r="J530" s="21">
        <v>244.83</v>
      </c>
      <c r="K530" s="16">
        <f>(68*2+16.2*2)*1+4</f>
        <v>172.4</v>
      </c>
      <c r="L530" s="22">
        <f t="shared" si="30"/>
        <v>-0.2958379283584528</v>
      </c>
      <c r="M530" s="28">
        <v>1</v>
      </c>
      <c r="N530" s="7">
        <v>0</v>
      </c>
      <c r="O530" s="7"/>
      <c r="P530" s="24"/>
      <c r="Q530" s="7" t="s">
        <v>48</v>
      </c>
      <c r="R530" s="25"/>
      <c r="S530" s="24"/>
      <c r="T530" s="24"/>
      <c r="U530" s="24"/>
      <c r="V530" s="25"/>
      <c r="W530" s="24"/>
      <c r="X530" s="25"/>
      <c r="Y530" s="13">
        <v>11711</v>
      </c>
      <c r="Z530" s="13">
        <v>11.85</v>
      </c>
      <c r="AA530" s="13">
        <v>12</v>
      </c>
      <c r="AB530" s="13">
        <v>4</v>
      </c>
      <c r="AC530" s="13">
        <v>2</v>
      </c>
      <c r="AD530" s="13"/>
      <c r="AE530" s="13">
        <v>58.774999999999999</v>
      </c>
      <c r="AF530" s="26">
        <v>23.51</v>
      </c>
      <c r="AG530" s="27" t="s">
        <v>1571</v>
      </c>
    </row>
    <row r="531" spans="1:33" ht="36" x14ac:dyDescent="0.35">
      <c r="A531" s="15">
        <v>675</v>
      </c>
      <c r="B531" s="16">
        <v>675</v>
      </c>
      <c r="C531" s="17" t="s">
        <v>1159</v>
      </c>
      <c r="D531" s="18">
        <v>2017</v>
      </c>
      <c r="E531" s="19" t="s">
        <v>1165</v>
      </c>
      <c r="F531" s="16" t="s">
        <v>1166</v>
      </c>
      <c r="G531" s="7" t="s">
        <v>38</v>
      </c>
      <c r="H531" s="16" t="s">
        <v>39</v>
      </c>
      <c r="I531" s="20">
        <v>106050</v>
      </c>
      <c r="J531" s="21">
        <v>151.5</v>
      </c>
      <c r="K531" s="16">
        <f>102*2</f>
        <v>204</v>
      </c>
      <c r="L531" s="22">
        <f t="shared" si="30"/>
        <v>0.34653465346534662</v>
      </c>
      <c r="M531" s="28"/>
      <c r="N531" s="7">
        <v>0</v>
      </c>
      <c r="O531" s="7"/>
      <c r="P531" s="24"/>
      <c r="Q531" s="7" t="s">
        <v>48</v>
      </c>
      <c r="R531" s="25"/>
      <c r="S531" s="24"/>
      <c r="T531" s="24"/>
      <c r="U531" s="24"/>
      <c r="V531" s="25"/>
      <c r="W531" s="24"/>
      <c r="X531" s="25"/>
      <c r="Y531" s="13">
        <v>6210</v>
      </c>
      <c r="Z531" s="13">
        <v>9.7200000000000006</v>
      </c>
      <c r="AA531" s="13">
        <v>10</v>
      </c>
      <c r="AB531" s="13">
        <v>3</v>
      </c>
      <c r="AC531" s="13">
        <v>2</v>
      </c>
      <c r="AD531" s="13">
        <v>468.21</v>
      </c>
      <c r="AE531" s="13">
        <v>468.21</v>
      </c>
      <c r="AF531" s="26">
        <f t="shared" si="29"/>
        <v>187.28399999999999</v>
      </c>
      <c r="AG531" s="27" t="s">
        <v>1572</v>
      </c>
    </row>
    <row r="532" spans="1:33" ht="36" x14ac:dyDescent="0.35">
      <c r="A532" s="15">
        <v>676</v>
      </c>
      <c r="B532" s="16">
        <v>676</v>
      </c>
      <c r="C532" s="17" t="s">
        <v>1159</v>
      </c>
      <c r="D532" s="18">
        <v>2017</v>
      </c>
      <c r="E532" s="19" t="s">
        <v>1167</v>
      </c>
      <c r="F532" s="16" t="s">
        <v>1168</v>
      </c>
      <c r="G532" s="7" t="s">
        <v>38</v>
      </c>
      <c r="H532" s="16" t="s">
        <v>39</v>
      </c>
      <c r="I532" s="20">
        <v>81200</v>
      </c>
      <c r="J532" s="21">
        <v>116</v>
      </c>
      <c r="K532" s="16">
        <f>(34.85*2+12.83*2)*2</f>
        <v>190.72</v>
      </c>
      <c r="L532" s="22">
        <f t="shared" si="30"/>
        <v>0.6441379310344828</v>
      </c>
      <c r="M532" s="28"/>
      <c r="N532" s="7">
        <v>0</v>
      </c>
      <c r="O532" s="7"/>
      <c r="P532" s="24"/>
      <c r="Q532" s="7" t="s">
        <v>48</v>
      </c>
      <c r="R532" s="25"/>
      <c r="S532" s="24"/>
      <c r="T532" s="24"/>
      <c r="U532" s="24"/>
      <c r="V532" s="25"/>
      <c r="W532" s="24"/>
      <c r="X532" s="25"/>
      <c r="Y532" s="13">
        <v>3037</v>
      </c>
      <c r="Z532" s="13">
        <v>8</v>
      </c>
      <c r="AA532" s="13">
        <v>8</v>
      </c>
      <c r="AB532" s="13">
        <v>2</v>
      </c>
      <c r="AC532" s="13">
        <v>2</v>
      </c>
      <c r="AD532" s="13">
        <v>274.55</v>
      </c>
      <c r="AE532" s="13">
        <v>274.55</v>
      </c>
      <c r="AF532" s="26">
        <f t="shared" si="29"/>
        <v>109.82000000000001</v>
      </c>
      <c r="AG532" s="27" t="s">
        <v>1573</v>
      </c>
    </row>
    <row r="533" spans="1:33" ht="36" x14ac:dyDescent="0.35">
      <c r="A533" s="15">
        <v>677</v>
      </c>
      <c r="B533" s="16">
        <v>677</v>
      </c>
      <c r="C533" s="17" t="s">
        <v>1159</v>
      </c>
      <c r="D533" s="18">
        <v>2017</v>
      </c>
      <c r="E533" s="19" t="s">
        <v>1169</v>
      </c>
      <c r="F533" s="16" t="s">
        <v>1170</v>
      </c>
      <c r="G533" s="7" t="s">
        <v>38</v>
      </c>
      <c r="H533" s="16" t="s">
        <v>39</v>
      </c>
      <c r="I533" s="20">
        <v>80640</v>
      </c>
      <c r="J533" s="21">
        <v>115.2</v>
      </c>
      <c r="K533" s="16">
        <f>(34.85*2+12.83*2)*2</f>
        <v>190.72</v>
      </c>
      <c r="L533" s="22">
        <f t="shared" si="30"/>
        <v>0.65555555555555545</v>
      </c>
      <c r="M533" s="28"/>
      <c r="N533" s="7">
        <v>0</v>
      </c>
      <c r="O533" s="7"/>
      <c r="P533" s="24"/>
      <c r="Q533" s="7" t="s">
        <v>48</v>
      </c>
      <c r="R533" s="25"/>
      <c r="S533" s="24"/>
      <c r="T533" s="24"/>
      <c r="U533" s="24"/>
      <c r="V533" s="25"/>
      <c r="W533" s="24"/>
      <c r="X533" s="25"/>
      <c r="Y533" s="13">
        <v>5656</v>
      </c>
      <c r="Z533" s="13">
        <v>12.75</v>
      </c>
      <c r="AA533" s="13">
        <v>13</v>
      </c>
      <c r="AB533" s="13">
        <v>4</v>
      </c>
      <c r="AC533" s="13">
        <v>2</v>
      </c>
      <c r="AD533" s="13">
        <v>528.67999999999995</v>
      </c>
      <c r="AE533" s="13">
        <v>528.67999999999995</v>
      </c>
      <c r="AF533" s="26">
        <f t="shared" si="29"/>
        <v>211.47199999999998</v>
      </c>
      <c r="AG533" s="27" t="s">
        <v>1574</v>
      </c>
    </row>
    <row r="534" spans="1:33" ht="54" x14ac:dyDescent="0.35">
      <c r="A534" s="15">
        <v>678</v>
      </c>
      <c r="B534" s="16">
        <v>678</v>
      </c>
      <c r="C534" s="17" t="s">
        <v>1159</v>
      </c>
      <c r="D534" s="18">
        <v>2016</v>
      </c>
      <c r="E534" s="19" t="s">
        <v>1171</v>
      </c>
      <c r="F534" s="16" t="s">
        <v>1172</v>
      </c>
      <c r="G534" s="7" t="s">
        <v>46</v>
      </c>
      <c r="H534" s="16" t="s">
        <v>47</v>
      </c>
      <c r="I534" s="20">
        <v>50400</v>
      </c>
      <c r="J534" s="21">
        <v>72</v>
      </c>
      <c r="K534" s="16">
        <f>99*3.2*0.8</f>
        <v>253.44000000000003</v>
      </c>
      <c r="L534" s="22">
        <f t="shared" si="30"/>
        <v>2.5200000000000005</v>
      </c>
      <c r="M534" s="28"/>
      <c r="N534" s="7">
        <v>0</v>
      </c>
      <c r="O534" s="7"/>
      <c r="P534" s="24"/>
      <c r="Q534" s="7" t="s">
        <v>48</v>
      </c>
      <c r="R534" s="25"/>
      <c r="S534" s="24"/>
      <c r="T534" s="24"/>
      <c r="U534" s="24"/>
      <c r="V534" s="25"/>
      <c r="W534" s="24"/>
      <c r="X534" s="25"/>
      <c r="Y534" s="13">
        <v>14157</v>
      </c>
      <c r="Z534" s="13">
        <v>33.380000000000003</v>
      </c>
      <c r="AA534" s="13">
        <v>21</v>
      </c>
      <c r="AB534" s="13">
        <v>12</v>
      </c>
      <c r="AC534" s="13">
        <v>2</v>
      </c>
      <c r="AD534" s="13">
        <v>853.92</v>
      </c>
      <c r="AE534" s="13">
        <v>853.92</v>
      </c>
      <c r="AF534" s="26">
        <f t="shared" si="29"/>
        <v>341.56799999999998</v>
      </c>
      <c r="AG534" s="27" t="s">
        <v>1575</v>
      </c>
    </row>
    <row r="535" spans="1:33" ht="54" x14ac:dyDescent="0.35">
      <c r="A535" s="15">
        <v>679</v>
      </c>
      <c r="B535" s="16">
        <v>679</v>
      </c>
      <c r="C535" s="17" t="s">
        <v>1159</v>
      </c>
      <c r="D535" s="18">
        <v>2016</v>
      </c>
      <c r="E535" s="19" t="s">
        <v>1173</v>
      </c>
      <c r="F535" s="16" t="s">
        <v>1174</v>
      </c>
      <c r="G535" s="7" t="s">
        <v>46</v>
      </c>
      <c r="H535" s="16" t="s">
        <v>47</v>
      </c>
      <c r="I535" s="20">
        <v>45500</v>
      </c>
      <c r="J535" s="21">
        <v>65</v>
      </c>
      <c r="K535" s="16">
        <f>99*3.2*0.8</f>
        <v>253.44000000000003</v>
      </c>
      <c r="L535" s="22">
        <f t="shared" si="30"/>
        <v>2.8990769230769233</v>
      </c>
      <c r="M535" s="28"/>
      <c r="N535" s="7">
        <v>0</v>
      </c>
      <c r="O535" s="7"/>
      <c r="P535" s="24"/>
      <c r="Q535" s="7" t="s">
        <v>48</v>
      </c>
      <c r="R535" s="25"/>
      <c r="S535" s="24"/>
      <c r="T535" s="24"/>
      <c r="U535" s="24"/>
      <c r="V535" s="25"/>
      <c r="W535" s="24"/>
      <c r="X535" s="25"/>
      <c r="Y535" s="13">
        <v>14157</v>
      </c>
      <c r="Z535" s="13">
        <v>36.799999999999997</v>
      </c>
      <c r="AA535" s="13">
        <v>21</v>
      </c>
      <c r="AB535" s="13">
        <v>12</v>
      </c>
      <c r="AC535" s="13">
        <v>2</v>
      </c>
      <c r="AD535" s="13">
        <v>853.92</v>
      </c>
      <c r="AE535" s="13">
        <v>853.92</v>
      </c>
      <c r="AF535" s="26">
        <f t="shared" si="29"/>
        <v>341.56799999999998</v>
      </c>
      <c r="AG535" s="27" t="s">
        <v>1576</v>
      </c>
    </row>
    <row r="536" spans="1:33" ht="54" x14ac:dyDescent="0.35">
      <c r="A536" s="15">
        <v>680</v>
      </c>
      <c r="B536" s="16">
        <v>680</v>
      </c>
      <c r="C536" s="17" t="s">
        <v>1159</v>
      </c>
      <c r="D536" s="18">
        <v>2016</v>
      </c>
      <c r="E536" s="19" t="s">
        <v>1175</v>
      </c>
      <c r="F536" s="16" t="s">
        <v>1176</v>
      </c>
      <c r="G536" s="7" t="s">
        <v>46</v>
      </c>
      <c r="H536" s="16" t="s">
        <v>47</v>
      </c>
      <c r="I536" s="20">
        <v>45500</v>
      </c>
      <c r="J536" s="21">
        <v>65</v>
      </c>
      <c r="K536" s="16">
        <f>99*3.2*0.8</f>
        <v>253.44000000000003</v>
      </c>
      <c r="L536" s="22">
        <f t="shared" si="30"/>
        <v>2.8990769230769233</v>
      </c>
      <c r="M536" s="28"/>
      <c r="N536" s="7">
        <v>0</v>
      </c>
      <c r="O536" s="7"/>
      <c r="P536" s="24"/>
      <c r="Q536" s="7" t="s">
        <v>48</v>
      </c>
      <c r="R536" s="25"/>
      <c r="S536" s="24"/>
      <c r="T536" s="24"/>
      <c r="U536" s="24"/>
      <c r="V536" s="25"/>
      <c r="W536" s="24"/>
      <c r="X536" s="25"/>
      <c r="Y536" s="13">
        <v>17757</v>
      </c>
      <c r="Z536" s="13">
        <v>36.799999999999997</v>
      </c>
      <c r="AA536" s="13">
        <v>21</v>
      </c>
      <c r="AB536" s="13">
        <v>12</v>
      </c>
      <c r="AC536" s="13">
        <v>2</v>
      </c>
      <c r="AD536" s="13">
        <v>941.34</v>
      </c>
      <c r="AE536" s="13">
        <v>941.34</v>
      </c>
      <c r="AF536" s="26">
        <f t="shared" si="29"/>
        <v>376.53600000000006</v>
      </c>
      <c r="AG536" s="27" t="s">
        <v>1577</v>
      </c>
    </row>
    <row r="537" spans="1:33" ht="54" x14ac:dyDescent="0.35">
      <c r="A537" s="15">
        <v>681</v>
      </c>
      <c r="B537" s="16">
        <v>681</v>
      </c>
      <c r="C537" s="17" t="s">
        <v>1159</v>
      </c>
      <c r="D537" s="18">
        <v>2016</v>
      </c>
      <c r="E537" s="19" t="s">
        <v>1177</v>
      </c>
      <c r="F537" s="16" t="s">
        <v>1178</v>
      </c>
      <c r="G537" s="7" t="s">
        <v>46</v>
      </c>
      <c r="H537" s="16" t="s">
        <v>47</v>
      </c>
      <c r="I537" s="20">
        <v>45500</v>
      </c>
      <c r="J537" s="21">
        <v>65</v>
      </c>
      <c r="K537" s="16">
        <f>12*2.4*1.2+10+4*4.8*1.2+12*0.5*2</f>
        <v>79.599999999999994</v>
      </c>
      <c r="L537" s="22">
        <f t="shared" si="30"/>
        <v>0.22461538461538444</v>
      </c>
      <c r="M537" s="28"/>
      <c r="N537" s="7">
        <v>0</v>
      </c>
      <c r="O537" s="7"/>
      <c r="P537" s="24"/>
      <c r="Q537" s="7" t="s">
        <v>48</v>
      </c>
      <c r="R537" s="25"/>
      <c r="S537" s="24"/>
      <c r="T537" s="24"/>
      <c r="U537" s="24"/>
      <c r="V537" s="25"/>
      <c r="W537" s="24"/>
      <c r="X537" s="25"/>
      <c r="Y537" s="13">
        <v>23895</v>
      </c>
      <c r="Z537" s="13">
        <v>13.64</v>
      </c>
      <c r="AA537" s="13">
        <v>14</v>
      </c>
      <c r="AB537" s="13">
        <v>4</v>
      </c>
      <c r="AC537" s="13">
        <v>2</v>
      </c>
      <c r="AD537" s="13">
        <v>1023.35</v>
      </c>
      <c r="AE537" s="13">
        <v>1023.35</v>
      </c>
      <c r="AF537" s="26">
        <f t="shared" si="29"/>
        <v>409.34000000000003</v>
      </c>
      <c r="AG537" s="27" t="s">
        <v>1578</v>
      </c>
    </row>
    <row r="538" spans="1:33" ht="54" x14ac:dyDescent="0.35">
      <c r="A538" s="15">
        <v>682</v>
      </c>
      <c r="B538" s="16">
        <v>682</v>
      </c>
      <c r="C538" s="17" t="s">
        <v>1159</v>
      </c>
      <c r="D538" s="18">
        <v>2016</v>
      </c>
      <c r="E538" s="19" t="s">
        <v>1179</v>
      </c>
      <c r="F538" s="16" t="s">
        <v>1180</v>
      </c>
      <c r="G538" s="7" t="s">
        <v>46</v>
      </c>
      <c r="H538" s="16" t="s">
        <v>47</v>
      </c>
      <c r="I538" s="20">
        <v>44450</v>
      </c>
      <c r="J538" s="21">
        <v>63.5</v>
      </c>
      <c r="K538" s="16">
        <f>18*2.4*1.2</f>
        <v>51.839999999999996</v>
      </c>
      <c r="L538" s="22">
        <f t="shared" si="30"/>
        <v>-0.18362204724409459</v>
      </c>
      <c r="M538" s="28" t="s">
        <v>99</v>
      </c>
      <c r="N538" s="7">
        <v>0</v>
      </c>
      <c r="O538" s="7"/>
      <c r="P538" s="24"/>
      <c r="Q538" s="7" t="s">
        <v>48</v>
      </c>
      <c r="R538" s="25"/>
      <c r="S538" s="24"/>
      <c r="T538" s="24"/>
      <c r="U538" s="24"/>
      <c r="V538" s="25"/>
      <c r="W538" s="24"/>
      <c r="X538" s="25"/>
      <c r="Y538" s="13">
        <v>15144</v>
      </c>
      <c r="Z538" s="13">
        <v>15.5</v>
      </c>
      <c r="AA538" s="13">
        <v>16</v>
      </c>
      <c r="AB538" s="13">
        <v>4</v>
      </c>
      <c r="AC538" s="13">
        <v>2</v>
      </c>
      <c r="AD538" s="13">
        <v>679.5</v>
      </c>
      <c r="AE538" s="13">
        <v>679.5</v>
      </c>
      <c r="AF538" s="26">
        <f t="shared" si="29"/>
        <v>271.8</v>
      </c>
      <c r="AG538" s="27" t="s">
        <v>1579</v>
      </c>
    </row>
    <row r="539" spans="1:33" ht="54" x14ac:dyDescent="0.35">
      <c r="A539" s="15">
        <v>683</v>
      </c>
      <c r="B539" s="16">
        <v>683</v>
      </c>
      <c r="C539" s="17" t="s">
        <v>1159</v>
      </c>
      <c r="D539" s="18">
        <v>2017</v>
      </c>
      <c r="E539" s="19" t="s">
        <v>1181</v>
      </c>
      <c r="F539" s="16" t="s">
        <v>1182</v>
      </c>
      <c r="G539" s="7" t="s">
        <v>38</v>
      </c>
      <c r="H539" s="16" t="s">
        <v>39</v>
      </c>
      <c r="I539" s="20">
        <v>364840</v>
      </c>
      <c r="J539" s="21">
        <v>521.20000000000005</v>
      </c>
      <c r="K539" s="16">
        <f>(72*2+12.15*2)*2.5</f>
        <v>420.75</v>
      </c>
      <c r="L539" s="22">
        <f t="shared" si="30"/>
        <v>-0.19272831926323875</v>
      </c>
      <c r="M539" s="28" t="s">
        <v>375</v>
      </c>
      <c r="N539" s="7">
        <v>0</v>
      </c>
      <c r="O539" s="7"/>
      <c r="P539" s="24"/>
      <c r="Q539" s="7" t="s">
        <v>48</v>
      </c>
      <c r="R539" s="25"/>
      <c r="S539" s="24"/>
      <c r="T539" s="24" t="s">
        <v>42</v>
      </c>
      <c r="U539" s="24" t="s">
        <v>42</v>
      </c>
      <c r="V539" s="25">
        <v>3624485.39</v>
      </c>
      <c r="W539" s="24"/>
      <c r="X539" s="25"/>
      <c r="Y539" s="13">
        <v>3084</v>
      </c>
      <c r="Z539" s="13">
        <v>6.07</v>
      </c>
      <c r="AA539" s="13">
        <v>6</v>
      </c>
      <c r="AB539" s="13">
        <v>2</v>
      </c>
      <c r="AC539" s="13">
        <v>2</v>
      </c>
      <c r="AD539" s="13">
        <v>284.12</v>
      </c>
      <c r="AE539" s="13"/>
      <c r="AF539" s="26">
        <f t="shared" si="29"/>
        <v>0</v>
      </c>
      <c r="AG539" s="27" t="s">
        <v>1580</v>
      </c>
    </row>
    <row r="540" spans="1:33" ht="36" x14ac:dyDescent="0.35">
      <c r="A540" s="15">
        <v>684</v>
      </c>
      <c r="B540" s="16">
        <v>684</v>
      </c>
      <c r="C540" s="17" t="s">
        <v>1159</v>
      </c>
      <c r="D540" s="18">
        <v>2018</v>
      </c>
      <c r="E540" s="19" t="s">
        <v>1183</v>
      </c>
      <c r="F540" s="16" t="s">
        <v>1184</v>
      </c>
      <c r="G540" s="7" t="s">
        <v>38</v>
      </c>
      <c r="H540" s="16" t="s">
        <v>39</v>
      </c>
      <c r="I540" s="20">
        <v>43890</v>
      </c>
      <c r="J540" s="21">
        <v>62.7</v>
      </c>
      <c r="K540" s="16">
        <f>132*2.5</f>
        <v>330</v>
      </c>
      <c r="L540" s="22">
        <f t="shared" si="30"/>
        <v>4.2631578947368416</v>
      </c>
      <c r="M540" s="28"/>
      <c r="N540" s="7">
        <v>0</v>
      </c>
      <c r="O540" s="7"/>
      <c r="P540" s="24"/>
      <c r="Q540" s="7" t="s">
        <v>48</v>
      </c>
      <c r="R540" s="25"/>
      <c r="S540" s="24"/>
      <c r="T540" s="24"/>
      <c r="U540" s="24"/>
      <c r="V540" s="25"/>
      <c r="W540" s="24"/>
      <c r="X540" s="25"/>
      <c r="Y540" s="13">
        <v>9719</v>
      </c>
      <c r="Z540" s="13">
        <v>12.1</v>
      </c>
      <c r="AA540" s="13">
        <v>13</v>
      </c>
      <c r="AB540" s="13">
        <v>3</v>
      </c>
      <c r="AC540" s="13">
        <v>2</v>
      </c>
      <c r="AD540" s="13">
        <v>570.57000000000005</v>
      </c>
      <c r="AE540" s="13">
        <v>570.57000000000005</v>
      </c>
      <c r="AF540" s="26">
        <f t="shared" si="29"/>
        <v>228.22800000000004</v>
      </c>
      <c r="AG540" s="27" t="s">
        <v>1581</v>
      </c>
    </row>
    <row r="541" spans="1:33" x14ac:dyDescent="0.35">
      <c r="A541" s="60"/>
      <c r="R541" s="65">
        <f>SUBTOTAL(9,R19:R526)</f>
        <v>442291921.85000008</v>
      </c>
      <c r="S541" s="66"/>
      <c r="T541" s="66"/>
      <c r="U541" s="66"/>
      <c r="V541" s="67"/>
      <c r="W541" s="66"/>
      <c r="X541" s="67"/>
    </row>
    <row r="542" spans="1:33" x14ac:dyDescent="0.35">
      <c r="A542" s="60"/>
      <c r="R542" s="65">
        <f>R541*0.07</f>
        <v>30960434.529500008</v>
      </c>
      <c r="AE542" s="65">
        <f>SUM(AE2:AE541)</f>
        <v>175369.64500000005</v>
      </c>
      <c r="AF542" s="65">
        <f>SUM(AF3:AF540)</f>
        <v>70135.058000000034</v>
      </c>
    </row>
    <row r="543" spans="1:33" x14ac:dyDescent="0.35">
      <c r="A543" s="60"/>
      <c r="R543" s="65">
        <f>SUBTOTAL(9,R6:R526)</f>
        <v>459404288.70000011</v>
      </c>
      <c r="V543" s="65">
        <f>SUM(V3:V542)-V433-V390-V176-V483-V352-V248-V239-V232-V203</f>
        <v>139096039.81999996</v>
      </c>
      <c r="X543" s="65">
        <f>SUM(X3:X542)</f>
        <v>645341742.2900002</v>
      </c>
    </row>
    <row r="544" spans="1:33" x14ac:dyDescent="0.35">
      <c r="A544" s="60"/>
      <c r="R544" s="65">
        <f>R543*0.07</f>
        <v>32158300.20900001</v>
      </c>
      <c r="AE544" s="68" t="s">
        <v>1185</v>
      </c>
    </row>
    <row r="545" spans="1:31" x14ac:dyDescent="0.35">
      <c r="A545" s="60"/>
      <c r="R545" s="65">
        <f>SUBTOTAL(9,R6:R526)</f>
        <v>459404288.70000011</v>
      </c>
      <c r="U545" s="64" t="s">
        <v>34</v>
      </c>
      <c r="V545" s="65">
        <f>V152+V198+V200+V238+V244+V288+V302+V327+V326+V325+V328+V334+V336+V339+V340+V359+V470+V481+V524+V521+V495+V493</f>
        <v>86233297.24000001</v>
      </c>
      <c r="X545" s="65">
        <f>X543+V545</f>
        <v>731575039.53000021</v>
      </c>
      <c r="AE545" s="68">
        <v>364</v>
      </c>
    </row>
    <row r="546" spans="1:31" x14ac:dyDescent="0.35">
      <c r="A546" s="69"/>
      <c r="D546" s="70"/>
      <c r="E546" s="70"/>
      <c r="F546" s="71"/>
      <c r="W546" s="72">
        <f>V543+X543</f>
        <v>784437782.11000013</v>
      </c>
    </row>
    <row r="547" spans="1:31" x14ac:dyDescent="0.35">
      <c r="A547" s="69"/>
      <c r="D547" s="70" t="s">
        <v>1186</v>
      </c>
      <c r="E547" s="70" t="s">
        <v>1187</v>
      </c>
      <c r="F547" s="71" t="e">
        <f>SUMIF(#REF!,D547,R9:R524)</f>
        <v>#REF!</v>
      </c>
    </row>
    <row r="548" spans="1:31" x14ac:dyDescent="0.35">
      <c r="A548" s="69"/>
      <c r="D548" s="70"/>
      <c r="E548" s="70"/>
      <c r="F548" s="71"/>
    </row>
    <row r="549" spans="1:31" x14ac:dyDescent="0.35">
      <c r="X549" s="72">
        <f>X543+14330000+31300000</f>
        <v>690971742.2900002</v>
      </c>
      <c r="Y549" s="73" t="s">
        <v>1188</v>
      </c>
    </row>
  </sheetData>
  <autoFilter ref="A2:AD547" xr:uid="{00000000-0009-0000-0000-000000000000}"/>
  <mergeCells count="1">
    <mergeCell ref="A1:A2"/>
  </mergeCells>
  <hyperlinks>
    <hyperlink ref="AG4" r:id="rId1" display="http://mkd.gzhi.oviont.com/dom/common.php?id_dom=168610" xr:uid="{00000000-0004-0000-0000-000000000000}"/>
    <hyperlink ref="AG5" r:id="rId2" display="http://mkd.gzhi.oviont.com/dom/common.php?id_dom=169406" xr:uid="{00000000-0004-0000-0000-000001000000}"/>
    <hyperlink ref="AG7" r:id="rId3" display="http://mkd.gzhi.oviont.com/dom/common.php?id_dom=169075" xr:uid="{00000000-0004-0000-0000-000002000000}"/>
    <hyperlink ref="AG8" r:id="rId4" display="http://mkd.gzhi.oviont.com/dom/common.php?id_dom=168647" xr:uid="{00000000-0004-0000-0000-000003000000}"/>
    <hyperlink ref="AG9" r:id="rId5" display="http://mkd.gzhi.oviont.com/dom/common.php?id_dom=168648" xr:uid="{00000000-0004-0000-0000-000004000000}"/>
    <hyperlink ref="AG10" r:id="rId6" display="http://mkd.gzhi.oviont.com/dom/common.php?id_dom=175240" xr:uid="{00000000-0004-0000-0000-000005000000}"/>
    <hyperlink ref="AG12" r:id="rId7" display="http://mkd.gzhi.oviont.com/dom/common.php?id_dom=175078" xr:uid="{00000000-0004-0000-0000-000006000000}"/>
    <hyperlink ref="AG13" r:id="rId8" display="http://mkd.gzhi.oviont.com/dom/common.php?id_dom=175091" xr:uid="{00000000-0004-0000-0000-000007000000}"/>
    <hyperlink ref="AG15" r:id="rId9" display="http://mkd.gzhi.oviont.com/dom/common.php?id_dom=168368" xr:uid="{00000000-0004-0000-0000-000008000000}"/>
    <hyperlink ref="AG16" r:id="rId10" display="http://mkd.gzhi.oviont.com/dom/common.php?id_dom=168550" xr:uid="{00000000-0004-0000-0000-000009000000}"/>
    <hyperlink ref="AG17" r:id="rId11" display="http://mkd.gzhi.oviont.com/dom/common.php?id_dom=123225" xr:uid="{00000000-0004-0000-0000-00000A000000}"/>
    <hyperlink ref="AG18" r:id="rId12" display="http://mkd.gzhi.oviont.com/dom/common.php?id_dom=169388" xr:uid="{00000000-0004-0000-0000-00000B000000}"/>
    <hyperlink ref="AG22" r:id="rId13" display="http://mkd.gzhi.oviont.com/dom/common.php?id_dom=150602" xr:uid="{00000000-0004-0000-0000-00000C000000}"/>
    <hyperlink ref="AG23" r:id="rId14" display="http://mkd.gzhi.oviont.com/dom/common.php?id_dom=122665" xr:uid="{00000000-0004-0000-0000-00000D000000}"/>
    <hyperlink ref="AG24" r:id="rId15" display="http://mkd.gzhi.oviont.com/dom/common.php?id_dom=123486" xr:uid="{00000000-0004-0000-0000-00000E000000}"/>
    <hyperlink ref="AG25" r:id="rId16" display="http://mkd.gzhi.oviont.com/dom/common.php?id_dom=123224" xr:uid="{00000000-0004-0000-0000-00000F000000}"/>
    <hyperlink ref="AG26" r:id="rId17" display="http://mkd.gzhi.oviont.com/dom/common.php?id_dom=150906" xr:uid="{00000000-0004-0000-0000-000010000000}"/>
    <hyperlink ref="AG35" r:id="rId18" display="http://mkd.gzhi.oviont.com/dom/common.php?id_dom=152632" xr:uid="{00000000-0004-0000-0000-000011000000}"/>
    <hyperlink ref="AG36" r:id="rId19" display="http://mkd.gzhi.oviont.com/dom/common.php?id_dom=152680" xr:uid="{00000000-0004-0000-0000-000012000000}"/>
    <hyperlink ref="AG37" r:id="rId20" display="http://mkd.gzhi.oviont.com/dom/common.php?id_dom=152636" xr:uid="{00000000-0004-0000-0000-000013000000}"/>
    <hyperlink ref="AG38" r:id="rId21" display="http://mkd.gzhi.oviont.com/dom/common.php?id_dom=152642" xr:uid="{00000000-0004-0000-0000-000014000000}"/>
    <hyperlink ref="AG39" r:id="rId22" display="http://mkd.gzhi.oviont.com/dom/common.php?id_dom=152646" xr:uid="{00000000-0004-0000-0000-000015000000}"/>
    <hyperlink ref="AG40" r:id="rId23" display="http://mkd.gzhi.oviont.com/dom/common.php?id_dom=152761" xr:uid="{00000000-0004-0000-0000-000016000000}"/>
    <hyperlink ref="AG41" r:id="rId24" display="http://mkd.gzhi.oviont.com/dom/common.php?id_dom=152678" xr:uid="{00000000-0004-0000-0000-000017000000}"/>
    <hyperlink ref="AG42" r:id="rId25" display="http://mkd.gzhi.oviont.com/dom/common.php?id_dom=152682" xr:uid="{00000000-0004-0000-0000-000018000000}"/>
    <hyperlink ref="AG43" r:id="rId26" display="http://mkd.gzhi.oviont.com/dom/common.php?id_dom=152684" xr:uid="{00000000-0004-0000-0000-000019000000}"/>
    <hyperlink ref="AG44" r:id="rId27" display="http://mkd.gzhi.oviont.com/dom/common.php?id_dom=153035" xr:uid="{00000000-0004-0000-0000-00001A000000}"/>
    <hyperlink ref="AG45" r:id="rId28" display="http://mkd.gzhi.oviont.com/dom/common.php?id_dom=153056" xr:uid="{00000000-0004-0000-0000-00001B000000}"/>
    <hyperlink ref="AG46" r:id="rId29" display="http://mkd.gzhi.oviont.com/dom/common.php?id_dom=153058" xr:uid="{00000000-0004-0000-0000-00001C000000}"/>
    <hyperlink ref="AG47" r:id="rId30" display="http://mkd.gzhi.oviont.com/dom/common.php?id_dom=153060" xr:uid="{00000000-0004-0000-0000-00001D000000}"/>
    <hyperlink ref="AG48" r:id="rId31" display="http://mkd.gzhi.oviont.com/dom/common.php?id_dom=152877" xr:uid="{00000000-0004-0000-0000-00001E000000}"/>
    <hyperlink ref="AG49" r:id="rId32" display="http://mkd.gzhi.oviont.com/dom/common.php?id_dom=152870" xr:uid="{00000000-0004-0000-0000-00001F000000}"/>
    <hyperlink ref="AG50" r:id="rId33" display="http://mkd.gzhi.oviont.com/dom/common.php?id_dom=152875" xr:uid="{00000000-0004-0000-0000-000020000000}"/>
    <hyperlink ref="AG51" r:id="rId34" display="http://mkd.gzhi.oviont.com/dom/common.php?id_dom=152872" xr:uid="{00000000-0004-0000-0000-000021000000}"/>
    <hyperlink ref="AG52" r:id="rId35" display="http://mkd.gzhi.oviont.com/dom/common.php?id_dom=153022" xr:uid="{00000000-0004-0000-0000-000022000000}"/>
    <hyperlink ref="AG53" r:id="rId36" display="http://mkd.gzhi.oviont.com/dom/common.php?id_dom=153024" xr:uid="{00000000-0004-0000-0000-000023000000}"/>
    <hyperlink ref="AG54" r:id="rId37" display="http://mkd.gzhi.oviont.com/dom/common.php?id_dom=153016" xr:uid="{00000000-0004-0000-0000-000024000000}"/>
    <hyperlink ref="AG55" r:id="rId38" display="http://mkd.gzhi.oviont.com/dom/common.php?id_dom=153039" xr:uid="{00000000-0004-0000-0000-000025000000}"/>
    <hyperlink ref="AG56" r:id="rId39" display="http://mkd.gzhi.oviont.com/dom/common.php?id_dom=153353" xr:uid="{00000000-0004-0000-0000-000026000000}"/>
    <hyperlink ref="AG57" r:id="rId40" display="http://mkd.gzhi.oviont.com/dom/common.php?id_dom=153382" xr:uid="{00000000-0004-0000-0000-000027000000}"/>
    <hyperlink ref="AG58" r:id="rId41" display="http://mkd.gzhi.oviont.com/dom/common.php?id_dom=153661" xr:uid="{00000000-0004-0000-0000-000028000000}"/>
    <hyperlink ref="AG59" r:id="rId42" display="http://mkd.gzhi.oviont.com/dom/common.php?id_dom=152883" xr:uid="{00000000-0004-0000-0000-000029000000}"/>
    <hyperlink ref="AG60" r:id="rId43" display="http://mkd.gzhi.oviont.com/dom/common.php?id_dom=152883" xr:uid="{00000000-0004-0000-0000-00002A000000}"/>
    <hyperlink ref="AG61" r:id="rId44" display="http://mkd.gzhi.oviont.com/dom/common.php?id_dom=152885" xr:uid="{00000000-0004-0000-0000-00002B000000}"/>
    <hyperlink ref="AG62" r:id="rId45" display="http://mkd.gzhi.oviont.com/dom/common.php?id_dom=152885" xr:uid="{00000000-0004-0000-0000-00002C000000}"/>
    <hyperlink ref="AG63" r:id="rId46" display="http://mkd.gzhi.oviont.com/dom/common.php?id_dom=153012" xr:uid="{00000000-0004-0000-0000-00002D000000}"/>
    <hyperlink ref="AG64" r:id="rId47" display="http://mkd.gzhi.oviont.com/dom/common.php?id_dom=153016" xr:uid="{00000000-0004-0000-0000-00002E000000}"/>
    <hyperlink ref="AG65" r:id="rId48" display="http://mkd.gzhi.oviont.com/dom/common.php?id_dom=153018" xr:uid="{00000000-0004-0000-0000-00002F000000}"/>
    <hyperlink ref="AG66" r:id="rId49" display="http://mkd.gzhi.oviont.com/dom/common.php?id_dom=153174" xr:uid="{00000000-0004-0000-0000-000030000000}"/>
    <hyperlink ref="AG67" r:id="rId50" display="http://mkd.gzhi.oviont.com/dom/common.php?id_dom=153176" xr:uid="{00000000-0004-0000-0000-000031000000}"/>
    <hyperlink ref="AG68" r:id="rId51" display="http://mkd.gzhi.oviont.com/dom/common.php?id_dom=153178" xr:uid="{00000000-0004-0000-0000-000032000000}"/>
    <hyperlink ref="AG69" r:id="rId52" display="http://mkd.gzhi.oviont.com/dom/common.php?id_dom=153178" xr:uid="{00000000-0004-0000-0000-000033000000}"/>
    <hyperlink ref="AG70" r:id="rId53" display="http://mkd.gzhi.oviont.com/dom/common.php?id_dom=153180" xr:uid="{00000000-0004-0000-0000-000034000000}"/>
    <hyperlink ref="AG71" r:id="rId54" display="http://mkd.gzhi.oviont.com/dom/common.php?id_dom=153182" xr:uid="{00000000-0004-0000-0000-000035000000}"/>
    <hyperlink ref="AG72" r:id="rId55" display="http://mkd.gzhi.oviont.com/dom/common.php?id_dom=153184" xr:uid="{00000000-0004-0000-0000-000036000000}"/>
    <hyperlink ref="AG73" r:id="rId56" display="http://mkd.gzhi.oviont.com/dom/common.php?id_dom=153341" xr:uid="{00000000-0004-0000-0000-000037000000}"/>
    <hyperlink ref="AG74" r:id="rId57" display="http://mkd.gzhi.oviont.com/dom/common.php?id_dom=153341" xr:uid="{00000000-0004-0000-0000-000038000000}"/>
    <hyperlink ref="AG75" r:id="rId58" display="http://mkd.gzhi.oviont.com/dom/common.php?id_dom=153351" xr:uid="{00000000-0004-0000-0000-000039000000}"/>
    <hyperlink ref="AG76" r:id="rId59" display="http://mkd.gzhi.oviont.com/dom/common.php?id_dom=153351" xr:uid="{00000000-0004-0000-0000-00003A000000}"/>
    <hyperlink ref="AG77" r:id="rId60" display="http://mkd.gzhi.oviont.com/dom/common.php?id_dom=153384" xr:uid="{00000000-0004-0000-0000-00003B000000}"/>
    <hyperlink ref="AG78" r:id="rId61" display="http://mkd.gzhi.oviont.com/dom/common.php?id_dom=153463" xr:uid="{00000000-0004-0000-0000-00003C000000}"/>
    <hyperlink ref="AG79" r:id="rId62" display="http://mkd.gzhi.oviont.com/dom/common.php?id_dom=153467" xr:uid="{00000000-0004-0000-0000-00003D000000}"/>
    <hyperlink ref="AG80" r:id="rId63" display="http://mkd.gzhi.oviont.com/dom/common.php?id_dom=153467" xr:uid="{00000000-0004-0000-0000-00003E000000}"/>
    <hyperlink ref="AG81" r:id="rId64" display="http://mkd.gzhi.oviont.com/dom/common.php?id_dom=153471" xr:uid="{00000000-0004-0000-0000-00003F000000}"/>
    <hyperlink ref="AG82" r:id="rId65" display="http://mkd.gzhi.oviont.com/dom/common.php?id_dom=153471" xr:uid="{00000000-0004-0000-0000-000040000000}"/>
    <hyperlink ref="AG83" r:id="rId66" display="http://mkd.gzhi.oviont.com/dom/common.php?id_dom=153473" xr:uid="{00000000-0004-0000-0000-000041000000}"/>
    <hyperlink ref="AG84" r:id="rId67" display="http://mkd.gzhi.oviont.com/dom/common.php?id_dom=153475" xr:uid="{00000000-0004-0000-0000-000042000000}"/>
    <hyperlink ref="AG85" r:id="rId68" display="http://mkd.gzhi.oviont.com/dom/common.php?id_dom=153477" xr:uid="{00000000-0004-0000-0000-000043000000}"/>
    <hyperlink ref="AG86" r:id="rId69" display="http://mkd.gzhi.oviont.com/dom/common.php?id_dom=153511" xr:uid="{00000000-0004-0000-0000-000044000000}"/>
    <hyperlink ref="AG87" r:id="rId70" display="http://mkd.gzhi.oviont.com/dom/common.php?id_dom=153543" xr:uid="{00000000-0004-0000-0000-000045000000}"/>
    <hyperlink ref="AG88" r:id="rId71" display="http://mkd.gzhi.oviont.com/dom/common.php?id_dom=153541" xr:uid="{00000000-0004-0000-0000-000046000000}"/>
    <hyperlink ref="AG89" r:id="rId72" display="http://mkd.gzhi.oviont.com/dom/common.php?id_dom=153547" xr:uid="{00000000-0004-0000-0000-000047000000}"/>
    <hyperlink ref="AG90" r:id="rId73" display="http://mkd.gzhi.oviont.com/dom/common.php?id_dom=153657" xr:uid="{00000000-0004-0000-0000-000048000000}"/>
    <hyperlink ref="AG91" r:id="rId74" display="http://mkd.gzhi.oviont.com/dom/common.php?id_dom=153098" xr:uid="{00000000-0004-0000-0000-000049000000}"/>
    <hyperlink ref="AG92" r:id="rId75" display="http://mkd.gzhi.oviont.com/dom/common.php?id_dom=153215" xr:uid="{00000000-0004-0000-0000-00004A000000}"/>
    <hyperlink ref="AG93" r:id="rId76" display="http://mkd.gzhi.oviont.com/dom/common.php?id_dom=153215" xr:uid="{00000000-0004-0000-0000-00004B000000}"/>
    <hyperlink ref="AG94" r:id="rId77" display="http://mkd.gzhi.oviont.com/dom/common.php?id_dom=153217" xr:uid="{00000000-0004-0000-0000-00004C000000}"/>
    <hyperlink ref="AG98" r:id="rId78" display="http://mkd.gzhi.oviont.com/dom/common.php?id_dom=125978" xr:uid="{00000000-0004-0000-0000-00004D000000}"/>
    <hyperlink ref="AG99" r:id="rId79" display="http://mkd.gzhi.oviont.com/dom/common.php?id_dom=125987" xr:uid="{00000000-0004-0000-0000-00004E000000}"/>
    <hyperlink ref="AG100" r:id="rId80" display="http://mkd.gzhi.oviont.com/dom/common.php?id_dom=125995" xr:uid="{00000000-0004-0000-0000-00004F000000}"/>
    <hyperlink ref="AG101" r:id="rId81" display="http://mkd.gzhi.oviont.com/dom/common.php?id_dom=125988" xr:uid="{00000000-0004-0000-0000-000050000000}"/>
    <hyperlink ref="AG102" r:id="rId82" display="http://mkd.gzhi.oviont.com/dom/common.php?id_dom=125989" xr:uid="{00000000-0004-0000-0000-000051000000}"/>
    <hyperlink ref="AG103" r:id="rId83" display="http://mkd.gzhi.oviont.com/dom/common.php?id_dom=125979" xr:uid="{00000000-0004-0000-0000-000052000000}"/>
    <hyperlink ref="AG108" r:id="rId84" display="http://mkd.gzhi.oviont.com/dom/common.php?id_dom=125991" xr:uid="{00000000-0004-0000-0000-000053000000}"/>
    <hyperlink ref="AG111" r:id="rId85" display="http://mkd.gzhi.oviont.com/dom/common.php?id_dom=125986" xr:uid="{00000000-0004-0000-0000-000054000000}"/>
    <hyperlink ref="AG112" r:id="rId86" display="http://mkd.gzhi.oviont.com/dom/common.php?id_dom=125992" xr:uid="{00000000-0004-0000-0000-000055000000}"/>
    <hyperlink ref="AG113" r:id="rId87" display="http://mkd.gzhi.oviont.com/dom/common.php?id_dom=125994" xr:uid="{00000000-0004-0000-0000-000056000000}"/>
    <hyperlink ref="AG114" r:id="rId88" display="http://mkd.gzhi.oviont.com/dom/common.php?id_dom=126431" xr:uid="{00000000-0004-0000-0000-000057000000}"/>
    <hyperlink ref="AG115" r:id="rId89" display="http://mkd.gzhi.oviont.com/dom/common.php?id_dom=126137" xr:uid="{00000000-0004-0000-0000-000058000000}"/>
    <hyperlink ref="AG116" r:id="rId90" display="http://mkd.gzhi.oviont.com/dom/common.php?id_dom=182739" xr:uid="{00000000-0004-0000-0000-000059000000}"/>
    <hyperlink ref="AG117" r:id="rId91" display="http://mkd.gzhi.oviont.com/dom/common.php?id_dom=127748" xr:uid="{00000000-0004-0000-0000-00005A000000}"/>
    <hyperlink ref="AG118" r:id="rId92" display="http://mkd.gzhi.oviont.com/dom/common.php?id_dom=127749" xr:uid="{00000000-0004-0000-0000-00005B000000}"/>
    <hyperlink ref="AG119" r:id="rId93" display="http://mkd.gzhi.oviont.com/dom/common.php?id_dom=128501" xr:uid="{00000000-0004-0000-0000-00005C000000}"/>
    <hyperlink ref="AG120" r:id="rId94" display="http://mkd.gzhi.oviont.com/dom/common.php?id_dom=127611" xr:uid="{00000000-0004-0000-0000-00005D000000}"/>
    <hyperlink ref="AG121" r:id="rId95" display="http://mkd.gzhi.oviont.com/dom/common.php?id_dom=127840" xr:uid="{00000000-0004-0000-0000-00005E000000}"/>
    <hyperlink ref="AG122" r:id="rId96" display="http://mkd.gzhi.oviont.com/dom/common.php?id_dom=127840" xr:uid="{00000000-0004-0000-0000-00005F000000}"/>
    <hyperlink ref="AG123" r:id="rId97" display="http://mkd.gzhi.oviont.com/dom/common.php?id_dom=170857" xr:uid="{00000000-0004-0000-0000-000060000000}"/>
    <hyperlink ref="AG124" r:id="rId98" display="http://mkd.gzhi.oviont.com/dom/common.php?id_dom=170765" xr:uid="{00000000-0004-0000-0000-000061000000}"/>
    <hyperlink ref="AG125" r:id="rId99" display="http://mkd.gzhi.oviont.com/dom/common.php?id_dom=170767" xr:uid="{00000000-0004-0000-0000-000062000000}"/>
    <hyperlink ref="AG126" r:id="rId100" display="http://mkd.gzhi.oviont.com/dom/common.php?id_dom=170762" xr:uid="{00000000-0004-0000-0000-000063000000}"/>
    <hyperlink ref="AG127" r:id="rId101" display="http://mkd.gzhi.oviont.com/dom/common.php?id_dom=170763" xr:uid="{00000000-0004-0000-0000-000064000000}"/>
    <hyperlink ref="AG128" r:id="rId102" display="http://mkd.gzhi.oviont.com/dom/common.php?id_dom=117289" xr:uid="{00000000-0004-0000-0000-000065000000}"/>
    <hyperlink ref="AG129" r:id="rId103" display="http://mkd.gzhi.oviont.com/dom/common.php?id_dom=117281" xr:uid="{00000000-0004-0000-0000-000066000000}"/>
    <hyperlink ref="AG130" r:id="rId104" display="http://mkd.gzhi.oviont.com/dom/common.php?id_dom=150913" xr:uid="{00000000-0004-0000-0000-000067000000}"/>
    <hyperlink ref="AG131" r:id="rId105" display="http://mkd.gzhi.oviont.com/dom/common.php?id_dom=150966" xr:uid="{00000000-0004-0000-0000-000068000000}"/>
    <hyperlink ref="AG132" r:id="rId106" display="http://mkd.gzhi.oviont.com/dom/common.php?id_dom=150978" xr:uid="{00000000-0004-0000-0000-000069000000}"/>
    <hyperlink ref="AG134" r:id="rId107" display="http://mkd.gzhi.oviont.com/dom/common.php?id_dom=156708" xr:uid="{00000000-0004-0000-0000-00006A000000}"/>
    <hyperlink ref="AG135" r:id="rId108" display="http://mkd.gzhi.oviont.com/dom/common.php?id_dom=156830" xr:uid="{00000000-0004-0000-0000-00006B000000}"/>
    <hyperlink ref="AG136" r:id="rId109" display="http://mkd.gzhi.oviont.com/dom/common.php?id_dom=156688" xr:uid="{00000000-0004-0000-0000-00006C000000}"/>
    <hyperlink ref="AG137" r:id="rId110" display="http://mkd.gzhi.oviont.com/dom/common.php?id_dom=151213" xr:uid="{00000000-0004-0000-0000-00006D000000}"/>
    <hyperlink ref="AG138" r:id="rId111" display="http://mkd.gzhi.oviont.com/dom/common.php?id_dom=151214" xr:uid="{00000000-0004-0000-0000-00006E000000}"/>
    <hyperlink ref="AG140" r:id="rId112" display="http://mkd.gzhi.oviont.com/dom/common.php?id_dom=151235" xr:uid="{00000000-0004-0000-0000-00006F000000}"/>
    <hyperlink ref="AG143" r:id="rId113" display="http://mkd.gzhi.oviont.com/dom/common.php?id_dom=151654" xr:uid="{00000000-0004-0000-0000-000070000000}"/>
    <hyperlink ref="AG144" r:id="rId114" display="http://mkd.gzhi.oviont.com/dom/common.php?id_dom=151678" xr:uid="{00000000-0004-0000-0000-000071000000}"/>
    <hyperlink ref="AG146" r:id="rId115" display="http://mkd.gzhi.oviont.com/dom/common.php?id_dom=151475" xr:uid="{00000000-0004-0000-0000-000072000000}"/>
    <hyperlink ref="AG152" r:id="rId116" display="http://mkd.gzhi.oviont.com/dom/common.php?id_dom=130403" xr:uid="{00000000-0004-0000-0000-000073000000}"/>
    <hyperlink ref="AG153" r:id="rId117" display="http://mkd.gzhi.oviont.com/dom/common.php?id_dom=129674" xr:uid="{00000000-0004-0000-0000-000074000000}"/>
    <hyperlink ref="AG154" r:id="rId118" display="http://mkd.gzhi.oviont.com/dom/common.php?id_dom=130426" xr:uid="{00000000-0004-0000-0000-000075000000}"/>
    <hyperlink ref="AG155" r:id="rId119" display="http://mkd.gzhi.oviont.com/dom/common.php?id_dom=130429" xr:uid="{00000000-0004-0000-0000-000076000000}"/>
    <hyperlink ref="AG156" r:id="rId120" display="http://mkd.gzhi.oviont.com/dom/common.php?id_dom=130413" xr:uid="{00000000-0004-0000-0000-000077000000}"/>
    <hyperlink ref="AG157" r:id="rId121" display="http://mkd.gzhi.oviont.com/dom/common.php?id_dom=130446" xr:uid="{00000000-0004-0000-0000-000078000000}"/>
    <hyperlink ref="AG158" r:id="rId122" display="http://mkd.gzhi.oviont.com/dom/common.php?id_dom=157876" xr:uid="{00000000-0004-0000-0000-000079000000}"/>
    <hyperlink ref="AG161" r:id="rId123" display="http://mkd.gzhi.oviont.com/dom/common.php?id_dom=157816" xr:uid="{00000000-0004-0000-0000-00007A000000}"/>
    <hyperlink ref="AG162" r:id="rId124" display="http://mkd.gzhi.oviont.com/dom/common.php?id_dom=157297" xr:uid="{00000000-0004-0000-0000-00007B000000}"/>
    <hyperlink ref="AG163" r:id="rId125" display="http://mkd.gzhi.oviont.com/dom/common.php?id_dom=158864" xr:uid="{00000000-0004-0000-0000-00007C000000}"/>
    <hyperlink ref="AG164" r:id="rId126" display="http://mkd.gzhi.oviont.com/dom/common.php?id_dom=158108" xr:uid="{00000000-0004-0000-0000-00007D000000}"/>
    <hyperlink ref="AG165" r:id="rId127" display="http://mkd.gzhi.oviont.com/dom/common.php?id_dom=157382" xr:uid="{00000000-0004-0000-0000-00007E000000}"/>
    <hyperlink ref="AG166" r:id="rId128" display="http://mkd.gzhi.oviont.com/dom/common.php?id_dom=132758" xr:uid="{00000000-0004-0000-0000-00007F000000}"/>
    <hyperlink ref="AG167" r:id="rId129" display="http://mkd.gzhi.oviont.com/dom/common.php?id_dom=133013" xr:uid="{00000000-0004-0000-0000-000080000000}"/>
    <hyperlink ref="AG168" r:id="rId130" display="http://mkd.gzhi.oviont.com/dom/common.php?id_dom=133161" xr:uid="{00000000-0004-0000-0000-000081000000}"/>
    <hyperlink ref="AG169" r:id="rId131" display="http://mkd.gzhi.oviont.com/dom/common.php?id_dom=133364" xr:uid="{00000000-0004-0000-0000-000082000000}"/>
    <hyperlink ref="AG170" r:id="rId132" display="http://mkd.gzhi.oviont.com/dom/common.php?id_dom=132360" xr:uid="{00000000-0004-0000-0000-000083000000}"/>
    <hyperlink ref="AG171" r:id="rId133" display="http://mkd.gzhi.oviont.com/dom/common.php?id_dom=161000" xr:uid="{00000000-0004-0000-0000-000084000000}"/>
    <hyperlink ref="AG172" r:id="rId134" display="http://mkd.gzhi.oviont.com/dom/common.php?id_dom=161002" xr:uid="{00000000-0004-0000-0000-000085000000}"/>
    <hyperlink ref="AG173" r:id="rId135" display="http://mkd.gzhi.oviont.com/dom/common.php?id_dom=161098" xr:uid="{00000000-0004-0000-0000-000086000000}"/>
    <hyperlink ref="AG174" r:id="rId136" display="http://mkd.gzhi.oviont.com/dom/common.php?id_dom=160972" xr:uid="{00000000-0004-0000-0000-000087000000}"/>
    <hyperlink ref="AG175" r:id="rId137" display="http://mkd.gzhi.oviont.com/dom/common.php?id_dom=160974" xr:uid="{00000000-0004-0000-0000-000088000000}"/>
    <hyperlink ref="AG176" r:id="rId138" display="http://mkd.gzhi.oviont.com/dom/common.php?id_dom=161046" xr:uid="{00000000-0004-0000-0000-000089000000}"/>
    <hyperlink ref="AG183" r:id="rId139" display="http://mkd.gzhi.oviont.com/dom/common.php?id_dom=171214" xr:uid="{00000000-0004-0000-0000-00008A000000}"/>
    <hyperlink ref="AG184" r:id="rId140" display="http://mkd.gzhi.oviont.com/dom/common.php?id_dom=162573" xr:uid="{00000000-0004-0000-0000-00008B000000}"/>
    <hyperlink ref="AG185" r:id="rId141" display="http://mkd.gzhi.oviont.com/dom/common.php?id_dom=153173" xr:uid="{00000000-0004-0000-0000-00008C000000}"/>
    <hyperlink ref="AG186" r:id="rId142" display="http://mkd.gzhi.oviont.com/dom/common.php?id_dom=153173" xr:uid="{00000000-0004-0000-0000-00008D000000}"/>
    <hyperlink ref="AG187" r:id="rId143" display="http://mkd.gzhi.oviont.com/dom/common.php?id_dom=153260" xr:uid="{00000000-0004-0000-0000-00008E000000}"/>
    <hyperlink ref="AG189" r:id="rId144" display="http://mkd.gzhi.oviont.com/dom/common.php?id_dom=152802" xr:uid="{00000000-0004-0000-0000-00008F000000}"/>
    <hyperlink ref="AG192" r:id="rId145" display="http://mkd.gzhi.oviont.com/dom/common.php?id_dom=152806" xr:uid="{00000000-0004-0000-0000-000090000000}"/>
    <hyperlink ref="AG193" r:id="rId146" display="http://mkd.gzhi.oviont.com/dom/common.php?id_dom=152808" xr:uid="{00000000-0004-0000-0000-000091000000}"/>
    <hyperlink ref="AG195" r:id="rId147" display="http://mkd.gzhi.oviont.com/dom/common.php?id_dom=152839" xr:uid="{00000000-0004-0000-0000-000092000000}"/>
    <hyperlink ref="AG198" r:id="rId148" display="http://mkd.gzhi.oviont.com/dom/common.php?id_dom=152845" xr:uid="{00000000-0004-0000-0000-000093000000}"/>
    <hyperlink ref="AG200" r:id="rId149" display="http://mkd.gzhi.oviont.com/dom/common.php?id_dom=152853" xr:uid="{00000000-0004-0000-0000-000094000000}"/>
    <hyperlink ref="AG203" r:id="rId150" display="http://mkd.gzhi.oviont.com/dom/common.php?id_dom=153540" xr:uid="{00000000-0004-0000-0000-000095000000}"/>
    <hyperlink ref="AG208" r:id="rId151" display="http://mkd.gzhi.oviont.com/dom/common.php?id_dom=153322" xr:uid="{00000000-0004-0000-0000-000096000000}"/>
    <hyperlink ref="AG209" r:id="rId152" display="http://mkd.gzhi.oviont.com/dom/common.php?id_dom=152804" xr:uid="{00000000-0004-0000-0000-000097000000}"/>
    <hyperlink ref="AG210" r:id="rId153" display="http://mkd.gzhi.oviont.com/dom/common.php?id_dom=152762" xr:uid="{00000000-0004-0000-0000-000098000000}"/>
    <hyperlink ref="AG211" r:id="rId154" display="http://mkd.gzhi.oviont.com/dom/common.php?id_dom=152857" xr:uid="{00000000-0004-0000-0000-000099000000}"/>
    <hyperlink ref="AG212" r:id="rId155" display="http://mkd.gzhi.oviont.com/dom/common.php?id_dom=152841" xr:uid="{00000000-0004-0000-0000-00009A000000}"/>
    <hyperlink ref="AG213" r:id="rId156" display="http://mkd.gzhi.oviont.com/dom/common.php?id_dom=152845" xr:uid="{00000000-0004-0000-0000-00009B000000}"/>
    <hyperlink ref="AG214" r:id="rId157" display="http://mkd.gzhi.oviont.com/dom/common.php?id_dom=152849" xr:uid="{00000000-0004-0000-0000-00009C000000}"/>
    <hyperlink ref="AG215" r:id="rId158" display="http://mkd.gzhi.oviont.com/dom/common.php?id_dom=152867" xr:uid="{00000000-0004-0000-0000-00009D000000}"/>
    <hyperlink ref="AG216" r:id="rId159" display="http://mkd.gzhi.oviont.com/dom/common.php?id_dom=152869" xr:uid="{00000000-0004-0000-0000-00009E000000}"/>
    <hyperlink ref="AG218" r:id="rId160" display="http://mkd.gzhi.oviont.com/dom/common.php?id_dom=152783" xr:uid="{00000000-0004-0000-0000-00009F000000}"/>
    <hyperlink ref="AG220" r:id="rId161" display="http://mkd.gzhi.oviont.com/dom/common.php?id_dom=168134" xr:uid="{00000000-0004-0000-0000-0000A0000000}"/>
    <hyperlink ref="AG221" r:id="rId162" display="http://mkd.gzhi.oviont.com/dom/common.php?id_dom=168135" xr:uid="{00000000-0004-0000-0000-0000A1000000}"/>
    <hyperlink ref="AG222" r:id="rId163" display="http://mkd.gzhi.oviont.com/dom/common.php?id_dom=168136" xr:uid="{00000000-0004-0000-0000-0000A2000000}"/>
    <hyperlink ref="AG223" r:id="rId164" display="http://mkd.gzhi.oviont.com/dom/common.php?id_dom=168137" xr:uid="{00000000-0004-0000-0000-0000A3000000}"/>
    <hyperlink ref="AG224" r:id="rId165" display="http://mkd.gzhi.oviont.com/dom/common.php?id_dom=168130" xr:uid="{00000000-0004-0000-0000-0000A4000000}"/>
    <hyperlink ref="AG227" r:id="rId166" display="http://mkd.gzhi.oviont.com/dom/common.php?id_dom=162858" xr:uid="{00000000-0004-0000-0000-0000A5000000}"/>
    <hyperlink ref="AG228" r:id="rId167" display="http://mkd.gzhi.oviont.com/dom/common.php?id_dom=163010" xr:uid="{00000000-0004-0000-0000-0000A6000000}"/>
    <hyperlink ref="AG229" r:id="rId168" display="http://mkd.gzhi.oviont.com/dom/common.php?id_dom=163076" xr:uid="{00000000-0004-0000-0000-0000A7000000}"/>
    <hyperlink ref="AG230" r:id="rId169" display="http://mkd.gzhi.oviont.com/dom/common.php?id_dom=163077" xr:uid="{00000000-0004-0000-0000-0000A8000000}"/>
    <hyperlink ref="AG231" r:id="rId170" display="http://mkd.gzhi.oviont.com/dom/common.php?id_dom=163078" xr:uid="{00000000-0004-0000-0000-0000A9000000}"/>
    <hyperlink ref="AG232" r:id="rId171" display="http://mkd.gzhi.oviont.com/dom/common.php?id_dom=163090" xr:uid="{00000000-0004-0000-0000-0000AA000000}"/>
    <hyperlink ref="AG233" r:id="rId172" display="http://mkd.gzhi.oviont.com/dom/common.php?id_dom=163126" xr:uid="{00000000-0004-0000-0000-0000AB000000}"/>
    <hyperlink ref="AG234" r:id="rId173" display="http://mkd.gzhi.oviont.com/dom/common.php?id_dom=163127" xr:uid="{00000000-0004-0000-0000-0000AC000000}"/>
    <hyperlink ref="AG235" r:id="rId174" display="http://mkd.gzhi.oviont.com/dom/common.php?id_dom=163123" xr:uid="{00000000-0004-0000-0000-0000AD000000}"/>
    <hyperlink ref="AG236" r:id="rId175" display="http://mkd.gzhi.oviont.com/dom/common.php?id_dom=163124" xr:uid="{00000000-0004-0000-0000-0000AE000000}"/>
    <hyperlink ref="AG237" r:id="rId176" display="http://mkd.gzhi.oviont.com/dom/common.php?id_dom=163125" xr:uid="{00000000-0004-0000-0000-0000AF000000}"/>
    <hyperlink ref="AG238" r:id="rId177" display="http://mkd.gzhi.oviont.com/dom/common.php?id_dom=162776" xr:uid="{00000000-0004-0000-0000-0000B0000000}"/>
    <hyperlink ref="AG239" r:id="rId178" display="http://mkd.gzhi.oviont.com/dom/common.php?id_dom=171425" xr:uid="{00000000-0004-0000-0000-0000B1000000}"/>
    <hyperlink ref="AG241" r:id="rId179" display="http://mkd.gzhi.oviont.com/dom/common.php?id_dom=154625" xr:uid="{00000000-0004-0000-0000-0000B2000000}"/>
    <hyperlink ref="AG242" r:id="rId180" display="http://mkd.gzhi.oviont.com/dom/common.php?id_dom=137156" xr:uid="{00000000-0004-0000-0000-0000B3000000}"/>
    <hyperlink ref="AG243" r:id="rId181" display="http://mkd.gzhi.oviont.com/dom/common.php?id_dom=137094" xr:uid="{00000000-0004-0000-0000-0000B4000000}"/>
    <hyperlink ref="AG244" r:id="rId182" display="http://mkd.gzhi.oviont.com/dom/common.php?id_dom=121075" xr:uid="{00000000-0004-0000-0000-0000B5000000}"/>
    <hyperlink ref="AG248" r:id="rId183" display="http://mkd.gzhi.oviont.com/dom/common.php?id_dom=122224" xr:uid="{00000000-0004-0000-0000-0000B6000000}"/>
    <hyperlink ref="AG252" r:id="rId184" display="http://mkd.gzhi.oviont.com/dom/common.php?id_dom=125200" xr:uid="{00000000-0004-0000-0000-0000B7000000}"/>
    <hyperlink ref="AG253" r:id="rId185" display="http://mkd.gzhi.oviont.com/dom/common.php?id_dom=131431" xr:uid="{00000000-0004-0000-0000-0000B8000000}"/>
    <hyperlink ref="AG254" r:id="rId186" display="http://mkd.gzhi.oviont.com/dom/common.php?id_dom=131351" xr:uid="{00000000-0004-0000-0000-0000B9000000}"/>
    <hyperlink ref="AG255" r:id="rId187" display="http://mkd.gzhi.oviont.com/dom/common.php?id_dom=131352" xr:uid="{00000000-0004-0000-0000-0000BA000000}"/>
    <hyperlink ref="AG256" r:id="rId188" display="http://mkd.gzhi.oviont.com/dom/common.php?id_dom=131404" xr:uid="{00000000-0004-0000-0000-0000BB000000}"/>
    <hyperlink ref="AG257" r:id="rId189" display="http://mkd.gzhi.oviont.com/dom/common.php?id_dom=131403" xr:uid="{00000000-0004-0000-0000-0000BC000000}"/>
    <hyperlink ref="AG258" r:id="rId190" display="http://mkd.gzhi.oviont.com/dom/common.php?id_dom=131413" xr:uid="{00000000-0004-0000-0000-0000BD000000}"/>
    <hyperlink ref="AG259" r:id="rId191" display="http://mkd.gzhi.oviont.com/dom/common.php?id_dom=131414" xr:uid="{00000000-0004-0000-0000-0000BE000000}"/>
    <hyperlink ref="AG260" r:id="rId192" display="http://mkd.gzhi.oviont.com/dom/common.php?id_dom=131415" xr:uid="{00000000-0004-0000-0000-0000BF000000}"/>
    <hyperlink ref="AG261" r:id="rId193" display="http://mkd.gzhi.oviont.com/dom/common.php?id_dom=131416" xr:uid="{00000000-0004-0000-0000-0000C0000000}"/>
    <hyperlink ref="AG262" r:id="rId194" display="http://mkd.gzhi.oviont.com/dom/common.php?id_dom=130801" xr:uid="{00000000-0004-0000-0000-0000C1000000}"/>
    <hyperlink ref="AG263" r:id="rId195" display="http://mkd.gzhi.oviont.com/dom/common.php?id_dom=131479" xr:uid="{00000000-0004-0000-0000-0000C2000000}"/>
    <hyperlink ref="AG264" r:id="rId196" display="http://mkd.gzhi.oviont.com/dom/common.php?id_dom=130717" xr:uid="{00000000-0004-0000-0000-0000C3000000}"/>
    <hyperlink ref="AG265" r:id="rId197" display="http://mkd.gzhi.oviont.com/dom/common.php?id_dom=130721" xr:uid="{00000000-0004-0000-0000-0000C4000000}"/>
    <hyperlink ref="AG266" r:id="rId198" display="http://mkd.gzhi.oviont.com/dom/common.php?id_dom=130722" xr:uid="{00000000-0004-0000-0000-0000C5000000}"/>
    <hyperlink ref="AG267" r:id="rId199" display="http://mkd.gzhi.oviont.com/dom/common.php?id_dom=130718" xr:uid="{00000000-0004-0000-0000-0000C6000000}"/>
    <hyperlink ref="AG268" r:id="rId200" display="http://mkd.gzhi.oviont.com/dom/common.php?id_dom=130724" xr:uid="{00000000-0004-0000-0000-0000C7000000}"/>
    <hyperlink ref="AG269" r:id="rId201" display="http://mkd.gzhi.oviont.com/dom/common.php?id_dom=130726" xr:uid="{00000000-0004-0000-0000-0000C8000000}"/>
    <hyperlink ref="AG270" r:id="rId202" display="http://mkd.gzhi.oviont.com/dom/common.php?id_dom=130719" xr:uid="{00000000-0004-0000-0000-0000C9000000}"/>
    <hyperlink ref="AG271" r:id="rId203" display="http://mkd.gzhi.oviont.com/dom/common.php?id_dom=130727" xr:uid="{00000000-0004-0000-0000-0000CA000000}"/>
    <hyperlink ref="AG272" r:id="rId204" display="http://mkd.gzhi.oviont.com/dom/common.php?id_dom=130728" xr:uid="{00000000-0004-0000-0000-0000CB000000}"/>
    <hyperlink ref="AG273" r:id="rId205" display="http://mkd.gzhi.oviont.com/dom/common.php?id_dom=130720" xr:uid="{00000000-0004-0000-0000-0000CC000000}"/>
    <hyperlink ref="AG274" r:id="rId206" display="http://mkd.gzhi.oviont.com/dom/common.php?id_dom=165272" xr:uid="{00000000-0004-0000-0000-0000CD000000}"/>
    <hyperlink ref="AG275" r:id="rId207" display="http://mkd.gzhi.oviont.com/dom/common.php?id_dom=165301" xr:uid="{00000000-0004-0000-0000-0000CE000000}"/>
    <hyperlink ref="AG276" r:id="rId208" display="http://mkd.gzhi.oviont.com/dom/common.php?id_dom=165299" xr:uid="{00000000-0004-0000-0000-0000CF000000}"/>
    <hyperlink ref="AG277" r:id="rId209" display="http://mkd.gzhi.oviont.com/dom/common.php?id_dom=133892" xr:uid="{00000000-0004-0000-0000-0000D0000000}"/>
    <hyperlink ref="AG278" r:id="rId210" display="http://mkd.gzhi.oviont.com/dom/common.php?id_dom=133893" xr:uid="{00000000-0004-0000-0000-0000D1000000}"/>
    <hyperlink ref="AG279" r:id="rId211" display="http://mkd.gzhi.oviont.com/dom/common.php?id_dom=133894" xr:uid="{00000000-0004-0000-0000-0000D2000000}"/>
    <hyperlink ref="AG280" r:id="rId212" display="http://mkd.gzhi.oviont.com/dom/common.php?id_dom=133895" xr:uid="{00000000-0004-0000-0000-0000D3000000}"/>
    <hyperlink ref="AG281" r:id="rId213" display="http://mkd.gzhi.oviont.com/dom/common.php?id_dom=133914" xr:uid="{00000000-0004-0000-0000-0000D4000000}"/>
    <hyperlink ref="AG283" r:id="rId214" display="http://mkd.gzhi.oviont.com/dom/common.php?id_dom=133914" xr:uid="{00000000-0004-0000-0000-0000D5000000}"/>
    <hyperlink ref="AG282" r:id="rId215" display="http://mkd.gzhi.oviont.com/dom/common.php?id_dom=133912" xr:uid="{00000000-0004-0000-0000-0000D6000000}"/>
    <hyperlink ref="AG284" r:id="rId216" display="http://mkd.gzhi.oviont.com/dom/common.php?id_dom=133912" xr:uid="{00000000-0004-0000-0000-0000D7000000}"/>
    <hyperlink ref="AG285" r:id="rId217" display="http://mkd.gzhi.oviont.com/dom/common.php?id_dom=134769" xr:uid="{00000000-0004-0000-0000-0000D8000000}"/>
    <hyperlink ref="AG286" r:id="rId218" display="http://mkd.gzhi.oviont.com/dom/common.php?id_dom=172767" xr:uid="{00000000-0004-0000-0000-0000D9000000}"/>
    <hyperlink ref="AG288" r:id="rId219" display="http://mkd.gzhi.oviont.com/dom/common.php?id_dom=173096" xr:uid="{00000000-0004-0000-0000-0000DA000000}"/>
    <hyperlink ref="AG291" r:id="rId220" display="http://mkd.gzhi.oviont.com/dom/common.php?id_dom=174354" xr:uid="{00000000-0004-0000-0000-0000DB000000}"/>
    <hyperlink ref="AG293" r:id="rId221" display="http://mkd.gzhi.oviont.com/dom/common.php?id_dom=173968" xr:uid="{00000000-0004-0000-0000-0000DC000000}"/>
    <hyperlink ref="AG294" r:id="rId222" display="http://mkd.gzhi.oviont.com/dom/common.php?id_dom=172577" xr:uid="{00000000-0004-0000-0000-0000DD000000}"/>
    <hyperlink ref="AG295" r:id="rId223" display="http://mkd.gzhi.oviont.com/dom/common.php?id_dom=174041" xr:uid="{00000000-0004-0000-0000-0000DE000000}"/>
    <hyperlink ref="AG296" r:id="rId224" display="http://mkd.gzhi.oviont.com/dom/common.php?id_dom=166889" xr:uid="{00000000-0004-0000-0000-0000DF000000}"/>
    <hyperlink ref="AG297" r:id="rId225" display="http://mkd.gzhi.oviont.com/dom/common.php?id_dom=166889" xr:uid="{00000000-0004-0000-0000-0000E0000000}"/>
    <hyperlink ref="AG298" r:id="rId226" display="http://mkd.gzhi.oviont.com/dom/common.php?id_dom=166164" xr:uid="{00000000-0004-0000-0000-0000E1000000}"/>
    <hyperlink ref="AG299" r:id="rId227" display="http://mkd.gzhi.oviont.com/dom/common.php?id_dom=166161" xr:uid="{00000000-0004-0000-0000-0000E2000000}"/>
    <hyperlink ref="AG300" r:id="rId228" display="http://mkd.gzhi.oviont.com/dom/common.php?id_dom=166164" xr:uid="{00000000-0004-0000-0000-0000E3000000}"/>
    <hyperlink ref="AG301" r:id="rId229" display="http://mkd.gzhi.oviont.com/dom/common.php?id_dom=166251" xr:uid="{00000000-0004-0000-0000-0000E4000000}"/>
    <hyperlink ref="AG302" r:id="rId230" display="http://mkd.gzhi.oviont.com/dom/common.php?id_dom=166253" xr:uid="{00000000-0004-0000-0000-0000E5000000}"/>
    <hyperlink ref="AG303" r:id="rId231" display="http://mkd.gzhi.oviont.com/dom/common.php?id_dom=167040" xr:uid="{00000000-0004-0000-0000-0000E6000000}"/>
    <hyperlink ref="AG304" r:id="rId232" display="http://mkd.gzhi.oviont.com/dom/common.php?id_dom=167041" xr:uid="{00000000-0004-0000-0000-0000E7000000}"/>
    <hyperlink ref="AG305" r:id="rId233" display="http://mkd.gzhi.oviont.com/dom/common.php?id_dom=167042" xr:uid="{00000000-0004-0000-0000-0000E8000000}"/>
    <hyperlink ref="AG306" r:id="rId234" display="http://mkd.gzhi.oviont.com/dom/common.php?id_dom=167042" xr:uid="{00000000-0004-0000-0000-0000E9000000}"/>
    <hyperlink ref="AG307" r:id="rId235" display="http://mkd.gzhi.oviont.com/dom/common.php?id_dom=167053" xr:uid="{00000000-0004-0000-0000-0000EA000000}"/>
    <hyperlink ref="AG308" r:id="rId236" display="http://mkd.gzhi.oviont.com/dom/common.php?id_dom=167058" xr:uid="{00000000-0004-0000-0000-0000EB000000}"/>
    <hyperlink ref="AG309" r:id="rId237" display="http://mkd.gzhi.oviont.com/dom/common.php?id_dom=167059" xr:uid="{00000000-0004-0000-0000-0000EC000000}"/>
    <hyperlink ref="AG310" r:id="rId238" display="http://mkd.gzhi.oviont.com/dom/common.php?id_dom=167054" xr:uid="{00000000-0004-0000-0000-0000ED000000}"/>
    <hyperlink ref="AG311" r:id="rId239" display="http://mkd.gzhi.oviont.com/dom/common.php?id_dom=167055" xr:uid="{00000000-0004-0000-0000-0000EE000000}"/>
    <hyperlink ref="AG312" r:id="rId240" display="http://mkd.gzhi.oviont.com/dom/common.php?id_dom=167056" xr:uid="{00000000-0004-0000-0000-0000EF000000}"/>
    <hyperlink ref="AG313" r:id="rId241" display="http://mkd.gzhi.oviont.com/dom/common.php?id_dom=167057" xr:uid="{00000000-0004-0000-0000-0000F0000000}"/>
    <hyperlink ref="AG314" r:id="rId242" display="http://mkd.gzhi.oviont.com/dom/common.php?id_dom=166796" xr:uid="{00000000-0004-0000-0000-0000F1000000}"/>
    <hyperlink ref="AG315" r:id="rId243" display="http://mkd.gzhi.oviont.com/dom/common.php?id_dom=166802" xr:uid="{00000000-0004-0000-0000-0000F2000000}"/>
    <hyperlink ref="AG316" r:id="rId244" display="http://mkd.gzhi.oviont.com/dom/common.php?id_dom=166796" xr:uid="{00000000-0004-0000-0000-0000F3000000}"/>
    <hyperlink ref="AG317" r:id="rId245" display="http://mkd.gzhi.oviont.com/dom/common.php?id_dom=167597" xr:uid="{00000000-0004-0000-0000-0000F4000000}"/>
    <hyperlink ref="AG318" r:id="rId246" display="http://mkd.gzhi.oviont.com/dom/common.php?id_dom=167626" xr:uid="{00000000-0004-0000-0000-0000F5000000}"/>
    <hyperlink ref="AG319" r:id="rId247" display="http://mkd.gzhi.oviont.com/dom/common.php?id_dom=167598" xr:uid="{00000000-0004-0000-0000-0000F6000000}"/>
    <hyperlink ref="AG320" r:id="rId248" display="http://mkd.gzhi.oviont.com/dom/common.php?id_dom=167602" xr:uid="{00000000-0004-0000-0000-0000F7000000}"/>
    <hyperlink ref="AG321" r:id="rId249" display="http://mkd.gzhi.oviont.com/dom/common.php?id_dom=167612" xr:uid="{00000000-0004-0000-0000-0000F8000000}"/>
    <hyperlink ref="AG322" r:id="rId250" display="http://mkd.gzhi.oviont.com/dom/common.php?id_dom=167619" xr:uid="{00000000-0004-0000-0000-0000F9000000}"/>
    <hyperlink ref="AG324" r:id="rId251" display="http://mkd.gzhi.oviont.com/dom/common.php?id_dom=167619" xr:uid="{00000000-0004-0000-0000-0000FA000000}"/>
    <hyperlink ref="AG323" r:id="rId252" display="http://mkd.gzhi.oviont.com/dom/common.php?id_dom=167621" xr:uid="{00000000-0004-0000-0000-0000FB000000}"/>
    <hyperlink ref="AG325" r:id="rId253" display="http://mkd.gzhi.oviont.com/dom/common.php?id_dom=166770" xr:uid="{00000000-0004-0000-0000-0000FC000000}"/>
    <hyperlink ref="AG326" r:id="rId254" display="http://mkd.gzhi.oviont.com/dom/common.php?id_dom=166772" xr:uid="{00000000-0004-0000-0000-0000FD000000}"/>
    <hyperlink ref="AG327" r:id="rId255" display="http://mkd.gzhi.oviont.com/dom/common.php?id_dom=171509" xr:uid="{00000000-0004-0000-0000-0000FE000000}"/>
    <hyperlink ref="AG328" r:id="rId256" display="http://mkd.gzhi.oviont.com/dom/common.php?id_dom=171517" xr:uid="{00000000-0004-0000-0000-0000FF000000}"/>
    <hyperlink ref="AG329" r:id="rId257" display="http://mkd.gzhi.oviont.com/dom/common.php?id_dom=171502" xr:uid="{00000000-0004-0000-0000-000000010000}"/>
    <hyperlink ref="AG330" r:id="rId258" display="http://mkd.gzhi.oviont.com/dom/common.php?id_dom=171657" xr:uid="{00000000-0004-0000-0000-000001010000}"/>
    <hyperlink ref="AG333" r:id="rId259" display="http://mkd.gzhi.oviont.com/dom/common.php?id_dom=171697" xr:uid="{00000000-0004-0000-0000-000002010000}"/>
    <hyperlink ref="AG334" r:id="rId260" display="http://mkd.gzhi.oviont.com/dom/common.php?id_dom=171714" xr:uid="{00000000-0004-0000-0000-000003010000}"/>
    <hyperlink ref="AG335" r:id="rId261" display="http://mkd.gzhi.oviont.com/dom/common.php?id_dom=171781" xr:uid="{00000000-0004-0000-0000-000004010000}"/>
    <hyperlink ref="AG336" r:id="rId262" display="http://mkd.gzhi.oviont.com/dom/common.php?id_dom=171795" xr:uid="{00000000-0004-0000-0000-000005010000}"/>
    <hyperlink ref="AG338" r:id="rId263" display="http://mkd.gzhi.oviont.com/dom/common.php?id_dom=171894" xr:uid="{00000000-0004-0000-0000-000006010000}"/>
    <hyperlink ref="AG339" r:id="rId264" display="http://mkd.gzhi.oviont.com/dom/common.php?id_dom=171887" xr:uid="{00000000-0004-0000-0000-000007010000}"/>
    <hyperlink ref="AG340" r:id="rId265" display="http://mkd.gzhi.oviont.com/dom/common.php?id_dom=171993" xr:uid="{00000000-0004-0000-0000-000008010000}"/>
    <hyperlink ref="AG343" r:id="rId266" display="http://mkd.gzhi.oviont.com/dom/common.php?id_dom=115420" xr:uid="{00000000-0004-0000-0000-000009010000}"/>
    <hyperlink ref="AG345" r:id="rId267" display="http://mkd.gzhi.oviont.com/dom/common.php?id_dom=176754" xr:uid="{00000000-0004-0000-0000-00000A010000}"/>
    <hyperlink ref="AG346" r:id="rId268" display="http://mkd.gzhi.oviont.com/dom/common.php?id_dom=118222" xr:uid="{00000000-0004-0000-0000-00000B010000}"/>
    <hyperlink ref="AG347" r:id="rId269" display="http://mkd.gzhi.oviont.com/dom/common.php?id_dom=115294" xr:uid="{00000000-0004-0000-0000-00000C010000}"/>
    <hyperlink ref="AG350" r:id="rId270" display="http://mkd.gzhi.oviont.com/dom/common.php?id_dom=115003" xr:uid="{00000000-0004-0000-0000-00000D010000}"/>
    <hyperlink ref="AG352" r:id="rId271" display="http://mkd.gzhi.oviont.com/dom/common.php?id_dom=114519" xr:uid="{00000000-0004-0000-0000-00000E010000}"/>
    <hyperlink ref="AG353" r:id="rId272" display="http://mkd.gzhi.oviont.com/dom/common.php?id_dom=115222" xr:uid="{00000000-0004-0000-0000-00000F010000}"/>
    <hyperlink ref="AG354" r:id="rId273" display="http://mkd.gzhi.oviont.com/dom/common.php?id_dom=115223" xr:uid="{00000000-0004-0000-0000-000010010000}"/>
    <hyperlink ref="AG355" r:id="rId274" display="http://mkd.gzhi.oviont.com/dom/common.php?id_dom=115225" xr:uid="{00000000-0004-0000-0000-000011010000}"/>
    <hyperlink ref="AG356" r:id="rId275" display="http://mkd.gzhi.oviont.com/dom/common.php?id_dom=115207" xr:uid="{00000000-0004-0000-0000-000012010000}"/>
    <hyperlink ref="AG357" r:id="rId276" display="http://mkd.gzhi.oviont.com/dom/common.php?id_dom=114206" xr:uid="{00000000-0004-0000-0000-000013010000}"/>
    <hyperlink ref="AG358" r:id="rId277" display="http://mkd.gzhi.oviont.com/dom/common.php?id_dom=114357" xr:uid="{00000000-0004-0000-0000-000014010000}"/>
    <hyperlink ref="AG359" r:id="rId278" display="http://mkd.gzhi.oviont.com/dom/common.php?id_dom=114241" xr:uid="{00000000-0004-0000-0000-000015010000}"/>
    <hyperlink ref="AG360" r:id="rId279" display="http://mkd.gzhi.oviont.com/dom/common.php?id_dom=114045" xr:uid="{00000000-0004-0000-0000-000016010000}"/>
    <hyperlink ref="AG361" r:id="rId280" display="http://mkd.gzhi.oviont.com/dom/common.php?id_dom=114049" xr:uid="{00000000-0004-0000-0000-000017010000}"/>
    <hyperlink ref="AG362" r:id="rId281" display="http://mkd.gzhi.oviont.com/dom/common.php?id_dom=114193" xr:uid="{00000000-0004-0000-0000-000018010000}"/>
    <hyperlink ref="AG363" r:id="rId282" display="http://mkd.gzhi.oviont.com/dom/common.php?id_dom=114182" xr:uid="{00000000-0004-0000-0000-000019010000}"/>
    <hyperlink ref="AG365" r:id="rId283" display="http://mkd.gzhi.oviont.com/dom/common.php?id_dom=114069" xr:uid="{00000000-0004-0000-0000-00001A010000}"/>
    <hyperlink ref="AG366" r:id="rId284" display="http://mkd.gzhi.oviont.com/dom/common.php?id_dom=114156" xr:uid="{00000000-0004-0000-0000-00001B010000}"/>
    <hyperlink ref="AG372" r:id="rId285" display="http://mkd.gzhi.oviont.com/dom/common.php?id_dom=139797" xr:uid="{00000000-0004-0000-0000-00001C010000}"/>
    <hyperlink ref="AG373" r:id="rId286" display="http://mkd.gzhi.oviont.com/dom/common.php?id_dom=174599" xr:uid="{00000000-0004-0000-0000-00001D010000}"/>
    <hyperlink ref="AG374" r:id="rId287" display="http://mkd.gzhi.oviont.com/dom/common.php?id_dom=131972" xr:uid="{00000000-0004-0000-0000-00001E010000}"/>
    <hyperlink ref="AG375" r:id="rId288" display="http://mkd.gzhi.oviont.com/dom/common.php?id_dom=131854" xr:uid="{00000000-0004-0000-0000-00001F010000}"/>
    <hyperlink ref="AG376" r:id="rId289" display="http://mkd.gzhi.oviont.com/dom/common.php?id_dom=131857" xr:uid="{00000000-0004-0000-0000-000020010000}"/>
    <hyperlink ref="AG377" r:id="rId290" display="http://mkd.gzhi.oviont.com/dom/common.php?id_dom=131883" xr:uid="{00000000-0004-0000-0000-000021010000}"/>
    <hyperlink ref="AG380" r:id="rId291" display="http://mkd.gzhi.oviont.com/dom/common.php?id_dom=143177" xr:uid="{00000000-0004-0000-0000-000022010000}"/>
    <hyperlink ref="AG379" r:id="rId292" display="http://mkd.gzhi.oviont.com/dom/common.php?id_dom=143176" xr:uid="{00000000-0004-0000-0000-000023010000}"/>
    <hyperlink ref="AG382" r:id="rId293" display="http://mkd.gzhi.oviont.com/dom/common.php?id_dom=160628" xr:uid="{00000000-0004-0000-0000-000024010000}"/>
    <hyperlink ref="AG383" r:id="rId294" display="http://mkd.gzhi.oviont.com/dom/common.php?id_dom=160630" xr:uid="{00000000-0004-0000-0000-000025010000}"/>
    <hyperlink ref="AG384" r:id="rId295" display="http://mkd.gzhi.oviont.com/dom/common.php?id_dom=160633" xr:uid="{00000000-0004-0000-0000-000026010000}"/>
    <hyperlink ref="AG385" r:id="rId296" display="http://mkd.gzhi.oviont.com/dom/common.php?id_dom=160635" xr:uid="{00000000-0004-0000-0000-000027010000}"/>
    <hyperlink ref="AG386" r:id="rId297" display="http://mkd.gzhi.oviont.com/dom/common.php?id_dom=160637" xr:uid="{00000000-0004-0000-0000-000028010000}"/>
    <hyperlink ref="AG387" r:id="rId298" display="http://mkd.gzhi.oviont.com/dom/common.php?id_dom=160641" xr:uid="{00000000-0004-0000-0000-000029010000}"/>
    <hyperlink ref="AG388" r:id="rId299" display="http://mkd.gzhi.oviont.com/dom/common.php?id_dom=160644" xr:uid="{00000000-0004-0000-0000-00002A010000}"/>
    <hyperlink ref="AG389" r:id="rId300" display="http://mkd.gzhi.oviont.com/dom/common.php?id_dom=160646" xr:uid="{00000000-0004-0000-0000-00002B010000}"/>
    <hyperlink ref="AG390" r:id="rId301" display="http://mkd.gzhi.oviont.com/dom/common.php?id_dom=160678" xr:uid="{00000000-0004-0000-0000-00002C010000}"/>
    <hyperlink ref="AG391" r:id="rId302" display="http://mkd.gzhi.oviont.com/dom/common.php?id_dom=160698" xr:uid="{00000000-0004-0000-0000-00002D010000}"/>
    <hyperlink ref="AG392" r:id="rId303" display="http://mkd.gzhi.oviont.com/dom/common.php?id_dom=160700" xr:uid="{00000000-0004-0000-0000-00002E010000}"/>
    <hyperlink ref="AG394" r:id="rId304" display="http://mkd.gzhi.oviont.com/dom/common.php?id_dom=161121" xr:uid="{00000000-0004-0000-0000-00002F010000}"/>
    <hyperlink ref="AG395" r:id="rId305" display="http://mkd.gzhi.oviont.com/dom/common.php?id_dom=160438" xr:uid="{00000000-0004-0000-0000-000030010000}"/>
    <hyperlink ref="AG396" r:id="rId306" display="http://mkd.gzhi.oviont.com/dom/common.php?id_dom=160439" xr:uid="{00000000-0004-0000-0000-000031010000}"/>
    <hyperlink ref="AG397" r:id="rId307" display="http://mkd.gzhi.oviont.com/dom/common.php?id_dom=160377" xr:uid="{00000000-0004-0000-0000-000032010000}"/>
    <hyperlink ref="AG398" r:id="rId308" display="http://mkd.gzhi.oviont.com/dom/common.php?id_dom=160400" xr:uid="{00000000-0004-0000-0000-000033010000}"/>
    <hyperlink ref="AG399" r:id="rId309" display="http://mkd.gzhi.oviont.com/dom/common.php?id_dom=162479" xr:uid="{00000000-0004-0000-0000-000034010000}"/>
    <hyperlink ref="AG400" r:id="rId310" display="http://mkd.gzhi.oviont.com/dom/common.php?id_dom=176307" xr:uid="{00000000-0004-0000-0000-000035010000}"/>
    <hyperlink ref="AG401" r:id="rId311" display="http://mkd.gzhi.oviont.com/dom/common.php?id_dom=176309" xr:uid="{00000000-0004-0000-0000-000036010000}"/>
    <hyperlink ref="AG402" r:id="rId312" display="http://mkd.gzhi.oviont.com/dom/common.php?id_dom=143970" xr:uid="{00000000-0004-0000-0000-000037010000}"/>
    <hyperlink ref="AG403" r:id="rId313" display="http://mkd.gzhi.oviont.com/dom/common.php?id_dom=143971" xr:uid="{00000000-0004-0000-0000-000038010000}"/>
    <hyperlink ref="AG404" r:id="rId314" display="http://mkd.gzhi.oviont.com/dom/common.php?id_dom=165765" xr:uid="{00000000-0004-0000-0000-000039010000}"/>
    <hyperlink ref="AG405" r:id="rId315" display="http://mkd.gzhi.oviont.com/dom/common.php?id_dom=165766" xr:uid="{00000000-0004-0000-0000-00003A010000}"/>
    <hyperlink ref="AG406" r:id="rId316" display="http://mkd.gzhi.oviont.com/dom/common.php?id_dom=165940" xr:uid="{00000000-0004-0000-0000-00003B010000}"/>
    <hyperlink ref="AG407" r:id="rId317" display="http://mkd.gzhi.oviont.com/dom/common.php?id_dom=145117" xr:uid="{00000000-0004-0000-0000-00003C010000}"/>
    <hyperlink ref="AG408" r:id="rId318" display="http://mkd.gzhi.oviont.com/dom/common.php?id_dom=145118" xr:uid="{00000000-0004-0000-0000-00003D010000}"/>
    <hyperlink ref="AG409" r:id="rId319" display="http://mkd.gzhi.oviont.com/dom/common.php?id_dom=144165" xr:uid="{00000000-0004-0000-0000-00003E010000}"/>
    <hyperlink ref="AG410" r:id="rId320" display="http://mkd.gzhi.oviont.com/dom/common.php?id_dom=144102" xr:uid="{00000000-0004-0000-0000-00003F010000}"/>
    <hyperlink ref="AG411" r:id="rId321" display="http://mkd.gzhi.oviont.com/dom/common.php?id_dom=144120" xr:uid="{00000000-0004-0000-0000-000040010000}"/>
    <hyperlink ref="AG412" r:id="rId322" display="http://mkd.gzhi.oviont.com/dom/common.php?id_dom=143777" xr:uid="{00000000-0004-0000-0000-000041010000}"/>
    <hyperlink ref="AG413" r:id="rId323" display="http://mkd.gzhi.oviont.com/dom/common.php?id_dom=144157" xr:uid="{00000000-0004-0000-0000-000042010000}"/>
    <hyperlink ref="AG414" r:id="rId324" display="http://mkd.gzhi.oviont.com/dom/common.php?id_dom=144138" xr:uid="{00000000-0004-0000-0000-000043010000}"/>
    <hyperlink ref="AG417" r:id="rId325" display="http://mkd.gzhi.oviont.com/dom/common.php?id_dom=143661" xr:uid="{00000000-0004-0000-0000-000044010000}"/>
    <hyperlink ref="AG418" r:id="rId326" display="http://mkd.gzhi.oviont.com/dom/common.php?id_dom=143650" xr:uid="{00000000-0004-0000-0000-000045010000}"/>
    <hyperlink ref="AG416" r:id="rId327" display="http://mkd.gzhi.oviont.com/dom/common.php?id_dom=143826" xr:uid="{00000000-0004-0000-0000-000046010000}"/>
    <hyperlink ref="AG419" r:id="rId328" display="http://mkd.gzhi.oviont.com/dom/common.php?id_dom=143612" xr:uid="{00000000-0004-0000-0000-000047010000}"/>
    <hyperlink ref="AG420" r:id="rId329" display="http://mkd.gzhi.oviont.com/dom/common.php?id_dom=120255" xr:uid="{00000000-0004-0000-0000-000048010000}"/>
    <hyperlink ref="AG421" r:id="rId330" display="http://mkd.gzhi.oviont.com/dom/common.php?id_dom=120273" xr:uid="{00000000-0004-0000-0000-000049010000}"/>
    <hyperlink ref="AG422" r:id="rId331" display="http://mkd.gzhi.oviont.com/dom/common.php?id_dom=120257" xr:uid="{00000000-0004-0000-0000-00004A010000}"/>
    <hyperlink ref="AG423" r:id="rId332" display="http://mkd.gzhi.oviont.com/dom/common.php?id_dom=120243" xr:uid="{00000000-0004-0000-0000-00004B010000}"/>
    <hyperlink ref="AG424" r:id="rId333" display="http://mkd.gzhi.oviont.com/dom/common.php?id_dom=120308" xr:uid="{00000000-0004-0000-0000-00004C010000}"/>
    <hyperlink ref="AG425" r:id="rId334" display="http://mkd.gzhi.oviont.com/dom/common.php?id_dom=142703" xr:uid="{00000000-0004-0000-0000-00004D010000}"/>
    <hyperlink ref="AG426" r:id="rId335" display="http://mkd.gzhi.oviont.com/dom/common.php?id_dom=142767" xr:uid="{00000000-0004-0000-0000-00004E010000}"/>
    <hyperlink ref="AG427" r:id="rId336" display="http://mkd.gzhi.oviont.com/dom/common.php?id_dom=142804" xr:uid="{00000000-0004-0000-0000-00004F010000}"/>
    <hyperlink ref="AG428" r:id="rId337" display="http://mkd.gzhi.oviont.com/dom/common.php?id_dom=142892" xr:uid="{00000000-0004-0000-0000-000050010000}"/>
    <hyperlink ref="AG429" r:id="rId338" display="http://mkd.gzhi.oviont.com/dom/common.php?id_dom=142890" xr:uid="{00000000-0004-0000-0000-000051010000}"/>
    <hyperlink ref="AG430" r:id="rId339" display="http://mkd.gzhi.oviont.com/dom/common.php?id_dom=142573" xr:uid="{00000000-0004-0000-0000-000052010000}"/>
    <hyperlink ref="AG431" r:id="rId340" display="http://mkd.gzhi.oviont.com/dom/common.php?id_dom=142520" xr:uid="{00000000-0004-0000-0000-000053010000}"/>
    <hyperlink ref="AG432" r:id="rId341" display="http://mkd.gzhi.oviont.com/dom/common.php?id_dom=142462" xr:uid="{00000000-0004-0000-0000-000054010000}"/>
    <hyperlink ref="AG433" r:id="rId342" display="http://mkd.gzhi.oviont.com/dom/common.php?id_dom=157729" xr:uid="{00000000-0004-0000-0000-000055010000}"/>
    <hyperlink ref="AG434" r:id="rId343" display="http://mkd.gzhi.oviont.com/dom/common.php?id_dom=158503" xr:uid="{00000000-0004-0000-0000-000056010000}"/>
    <hyperlink ref="AG435" r:id="rId344" display="http://mkd.gzhi.oviont.com/dom/common.php?id_dom=177400" xr:uid="{00000000-0004-0000-0000-000057010000}"/>
    <hyperlink ref="AG436" r:id="rId345" display="http://mkd.gzhi.oviont.com/dom/common.php?id_dom=157967" xr:uid="{00000000-0004-0000-0000-000058010000}"/>
    <hyperlink ref="AG437" r:id="rId346" display="http://mkd.gzhi.oviont.com/dom/common.php?id_dom=159359" xr:uid="{00000000-0004-0000-0000-000059010000}"/>
    <hyperlink ref="AG440" r:id="rId347" display="http://mkd.gzhi.oviont.com/dom/common.php?id_dom=146309" xr:uid="{00000000-0004-0000-0000-00005A010000}"/>
    <hyperlink ref="AG441" r:id="rId348" display="http://mkd.gzhi.oviont.com/dom/common.php?id_dom=146314" xr:uid="{00000000-0004-0000-0000-00005B010000}"/>
    <hyperlink ref="AG442" r:id="rId349" display="http://mkd.gzhi.oviont.com/dom/common.php?id_dom=146310" xr:uid="{00000000-0004-0000-0000-00005C010000}"/>
    <hyperlink ref="AG443" r:id="rId350" display="http://mkd.gzhi.oviont.com/dom/common.php?id_dom=146312" xr:uid="{00000000-0004-0000-0000-00005D010000}"/>
    <hyperlink ref="AG444" r:id="rId351" display="http://mkd.gzhi.oviont.com/dom/common.php?id_dom=146313" xr:uid="{00000000-0004-0000-0000-00005E010000}"/>
    <hyperlink ref="AG445" r:id="rId352" display="http://mkd.gzhi.oviont.com/dom/common.php?id_dom=146718" xr:uid="{00000000-0004-0000-0000-00005F010000}"/>
    <hyperlink ref="AG446" r:id="rId353" display="http://mkd.gzhi.oviont.com/dom/common.php?id_dom=146719" xr:uid="{00000000-0004-0000-0000-000060010000}"/>
    <hyperlink ref="AG448" r:id="rId354" display="http://mkd.gzhi.oviont.com/dom/common.php?id_dom=146165" xr:uid="{00000000-0004-0000-0000-000061010000}"/>
    <hyperlink ref="AG449" r:id="rId355" display="http://mkd.gzhi.oviont.com/dom/common.php?id_dom=146303" xr:uid="{00000000-0004-0000-0000-000062010000}"/>
    <hyperlink ref="AG450" r:id="rId356" display="http://mkd.gzhi.oviont.com/dom/common.php?id_dom=146304" xr:uid="{00000000-0004-0000-0000-000063010000}"/>
    <hyperlink ref="AG451" r:id="rId357" display="http://mkd.gzhi.oviont.com/dom/common.php?id_dom=146305" xr:uid="{00000000-0004-0000-0000-000064010000}"/>
    <hyperlink ref="AG452" r:id="rId358" display="http://mkd.gzhi.oviont.com/dom/common.php?id_dom=146306" xr:uid="{00000000-0004-0000-0000-000065010000}"/>
    <hyperlink ref="AG453" r:id="rId359" display="http://mkd.gzhi.oviont.com/dom/common.php?id_dom=146363" xr:uid="{00000000-0004-0000-0000-000066010000}"/>
    <hyperlink ref="AG455" r:id="rId360" display="http://mkd.gzhi.oviont.com/dom/common.php?id_dom=146257" xr:uid="{00000000-0004-0000-0000-000067010000}"/>
    <hyperlink ref="AG459" r:id="rId361" display="http://mkd.gzhi.oviont.com/dom/common.php?id_dom=145804" xr:uid="{00000000-0004-0000-0000-000068010000}"/>
    <hyperlink ref="AG460" r:id="rId362" display="http://mkd.gzhi.oviont.com/dom/common.php?id_dom=146274" xr:uid="{00000000-0004-0000-0000-000069010000}"/>
    <hyperlink ref="AG461" r:id="rId363" display="http://mkd.gzhi.oviont.com/dom/common.php?id_dom=146164" xr:uid="{00000000-0004-0000-0000-00006A010000}"/>
    <hyperlink ref="AG462" r:id="rId364" display="http://mkd.gzhi.oviont.com/dom/common.php?id_dom=146637" xr:uid="{00000000-0004-0000-0000-00006B010000}"/>
    <hyperlink ref="AG463" r:id="rId365" display="http://mkd.gzhi.oviont.com/dom/common.php?id_dom=145874" xr:uid="{00000000-0004-0000-0000-00006C010000}"/>
    <hyperlink ref="AG464" r:id="rId366" display="http://mkd.gzhi.oviont.com/dom/common.php?id_dom=146650" xr:uid="{00000000-0004-0000-0000-00006D010000}"/>
    <hyperlink ref="AG470" r:id="rId367" display="http://mkd.gzhi.oviont.com/dom/common.php?id_dom=146045" xr:uid="{00000000-0004-0000-0000-00006E010000}"/>
    <hyperlink ref="AG471" r:id="rId368" display="http://mkd.gzhi.oviont.com/dom/common.php?id_dom=145787" xr:uid="{00000000-0004-0000-0000-00006F010000}"/>
    <hyperlink ref="AG472" r:id="rId369" display="http://mkd.gzhi.oviont.com/dom/common.php?id_dom=146892" xr:uid="{00000000-0004-0000-0000-000070010000}"/>
    <hyperlink ref="AG473" r:id="rId370" display="http://mkd.gzhi.oviont.com/dom/common.php?id_dom=146929" xr:uid="{00000000-0004-0000-0000-000071010000}"/>
    <hyperlink ref="AG478" r:id="rId371" display="http://mkd.gzhi.oviont.com/dom/common.php?id_dom=146097" xr:uid="{00000000-0004-0000-0000-000072010000}"/>
    <hyperlink ref="AG479" r:id="rId372" display="http://mkd.gzhi.oviont.com/dom/common.php?id_dom=146099" xr:uid="{00000000-0004-0000-0000-000073010000}"/>
    <hyperlink ref="AG480" r:id="rId373" display="http://mkd.gzhi.oviont.com/dom/common.php?id_dom=146251" xr:uid="{00000000-0004-0000-0000-000074010000}"/>
    <hyperlink ref="AG481" r:id="rId374" display="http://mkd.gzhi.oviont.com/dom/common.php?id_dom=146103" xr:uid="{00000000-0004-0000-0000-000075010000}"/>
    <hyperlink ref="AG483" r:id="rId375" display="http://mkd.gzhi.oviont.com/dom/common.php?id_dom=146263" xr:uid="{00000000-0004-0000-0000-000076010000}"/>
    <hyperlink ref="AG484" r:id="rId376" display="http://mkd.gzhi.oviont.com/dom/common.php?id_dom=146772" xr:uid="{00000000-0004-0000-0000-000077010000}"/>
    <hyperlink ref="AG490" r:id="rId377" display="http://mkd.gzhi.oviont.com/dom/common.php?id_dom=156087" xr:uid="{00000000-0004-0000-0000-000078010000}"/>
    <hyperlink ref="AG491" r:id="rId378" display="http://mkd.gzhi.oviont.com/dom/common.php?id_dom=156082" xr:uid="{00000000-0004-0000-0000-000079010000}"/>
    <hyperlink ref="AG494" r:id="rId379" display="http://mkd.gzhi.oviont.com/dom/common.php?id_dom=156079" xr:uid="{00000000-0004-0000-0000-00007A010000}"/>
    <hyperlink ref="AG495" r:id="rId380" display="http://mkd.gzhi.oviont.com/dom/common.php?id_dom=156080" xr:uid="{00000000-0004-0000-0000-00007B010000}"/>
    <hyperlink ref="AG493" r:id="rId381" display="http://mkd.gzhi.oviont.com/dom/common.php?id_dom=155689" xr:uid="{00000000-0004-0000-0000-00007C010000}"/>
    <hyperlink ref="AG498" r:id="rId382" display="http://mkd.gzhi.oviont.com/dom/common.php?id_dom=156584" xr:uid="{00000000-0004-0000-0000-00007D010000}"/>
    <hyperlink ref="AG499" r:id="rId383" display="http://mkd.gzhi.oviont.com/dom/common.php?id_dom=156586" xr:uid="{00000000-0004-0000-0000-00007E010000}"/>
    <hyperlink ref="AG500" r:id="rId384" display="http://mkd.gzhi.oviont.com/dom/common.php?id_dom=156572" xr:uid="{00000000-0004-0000-0000-00007F010000}"/>
    <hyperlink ref="AG501" r:id="rId385" display="http://mkd.gzhi.oviont.com/dom/common.php?id_dom=156573" xr:uid="{00000000-0004-0000-0000-000080010000}"/>
    <hyperlink ref="AG502" r:id="rId386" display="http://mkd.gzhi.oviont.com/dom/common.php?id_dom=156574" xr:uid="{00000000-0004-0000-0000-000081010000}"/>
    <hyperlink ref="AG503" r:id="rId387" display="http://mkd.gzhi.oviont.com/dom/common.php?id_dom=155710" xr:uid="{00000000-0004-0000-0000-000082010000}"/>
    <hyperlink ref="AG504" r:id="rId388" display="http://mkd.gzhi.oviont.com/dom/common.php?id_dom=155709" xr:uid="{00000000-0004-0000-0000-000083010000}"/>
    <hyperlink ref="AG508" r:id="rId389" display="http://mkd.gzhi.oviont.com/dom/common.php?id_dom=147612" xr:uid="{00000000-0004-0000-0000-000084010000}"/>
    <hyperlink ref="AG509" r:id="rId390" display="http://mkd.gzhi.oviont.com/dom/common.php?id_dom=147425" xr:uid="{00000000-0004-0000-0000-000085010000}"/>
    <hyperlink ref="AG510" r:id="rId391" display="http://mkd.gzhi.oviont.com/dom/common.php?id_dom=147482" xr:uid="{00000000-0004-0000-0000-000086010000}"/>
    <hyperlink ref="AG511" r:id="rId392" display="http://mkd.gzhi.oviont.com/dom/common.php?id_dom=155504" xr:uid="{00000000-0004-0000-0000-000087010000}"/>
    <hyperlink ref="AG515" r:id="rId393" display="http://mkd.gzhi.oviont.com/dom/common.php?id_dom=172237" xr:uid="{00000000-0004-0000-0000-000088010000}"/>
    <hyperlink ref="AG516" r:id="rId394" display="http://mkd.gzhi.oviont.com/dom/common.php?id_dom=172371" xr:uid="{00000000-0004-0000-0000-000089010000}"/>
    <hyperlink ref="AG518" r:id="rId395" display="http://mkd.gzhi.oviont.com/dom/common.php?id_dom=148310" xr:uid="{00000000-0004-0000-0000-00008A010000}"/>
    <hyperlink ref="AG521" r:id="rId396" display="http://mkd.gzhi.oviont.com/dom/common.php?id_dom=126847" xr:uid="{00000000-0004-0000-0000-00008B010000}"/>
    <hyperlink ref="AG524" r:id="rId397" display="http://mkd.gzhi.oviont.com/dom/common.php?id_dom=125560" xr:uid="{00000000-0004-0000-0000-00008C010000}"/>
    <hyperlink ref="AG525" r:id="rId398" display="http://mkd.gzhi.oviont.com/dom/common.php?id_dom=125571" xr:uid="{00000000-0004-0000-0000-00008D010000}"/>
    <hyperlink ref="AG529" r:id="rId399" display="http://mkd.gzhi.oviont.com/dom/common.php?id_dom=131738" xr:uid="{00000000-0004-0000-0000-00008E010000}"/>
    <hyperlink ref="AG530" r:id="rId400" display="http://mkd.gzhi.oviont.com/dom/common.php?id_dom=131738" xr:uid="{00000000-0004-0000-0000-00008F010000}"/>
    <hyperlink ref="AG528" r:id="rId401" display="http://mkd.gzhi.oviont.com/dom/common.php?id_dom=131706" xr:uid="{00000000-0004-0000-0000-000090010000}"/>
    <hyperlink ref="AG531" r:id="rId402" display="http://mkd.gzhi.oviont.com/dom/common.php?id_dom=135514" xr:uid="{00000000-0004-0000-0000-000091010000}"/>
    <hyperlink ref="AG532" r:id="rId403" display="http://mkd.gzhi.oviont.com/dom/common.php?id_dom=135517" xr:uid="{00000000-0004-0000-0000-000092010000}"/>
    <hyperlink ref="AG533" r:id="rId404" display="http://mkd.gzhi.oviont.com/dom/common.php?id_dom=135330" xr:uid="{00000000-0004-0000-0000-000093010000}"/>
    <hyperlink ref="AG534" r:id="rId405" display="http://mkd.gzhi.oviont.com/dom/common.php?id_dom=135634" xr:uid="{00000000-0004-0000-0000-000094010000}"/>
    <hyperlink ref="AG535" r:id="rId406" display="http://mkd.gzhi.oviont.com/dom/common.php?id_dom=135635" xr:uid="{00000000-0004-0000-0000-000095010000}"/>
    <hyperlink ref="AG536" r:id="rId407" display="http://mkd.gzhi.oviont.com/dom/common.php?id_dom=135636" xr:uid="{00000000-0004-0000-0000-000096010000}"/>
    <hyperlink ref="AG537" r:id="rId408" display="http://mkd.gzhi.oviont.com/dom/common.php?id_dom=135581" xr:uid="{00000000-0004-0000-0000-000097010000}"/>
    <hyperlink ref="AG538" r:id="rId409" display="http://mkd.gzhi.oviont.com/dom/common.php?id_dom=135584" xr:uid="{00000000-0004-0000-0000-000098010000}"/>
    <hyperlink ref="AG539" r:id="rId410" display="http://mkd.gzhi.oviont.com/dom/common.php?id_dom=131662" xr:uid="{00000000-0004-0000-0000-000099010000}"/>
    <hyperlink ref="AG540" r:id="rId411" display="http://mkd.gzhi.oviont.com/dom/common.php?id_dom=134169" xr:uid="{00000000-0004-0000-0000-00009A010000}"/>
  </hyperlinks>
  <pageMargins left="0.62992125984251968" right="0.23622047244094491" top="0.74803149606299213" bottom="0.74803149606299213" header="0.31496062992125984" footer="0.31496062992125984"/>
  <pageSetup paperSize="9" scale="75" fitToHeight="0" orientation="portrait" r:id="rId412"/>
  <legacyDrawing r:id="rId4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Реестр</vt:lpstr>
      <vt:lpstr>Реестр!Заголовки_для_печати</vt:lpstr>
      <vt:lpstr>Реестр!Область_печати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ГИМ</dc:creator>
  <cp:lastModifiedBy>oleg</cp:lastModifiedBy>
  <dcterms:created xsi:type="dcterms:W3CDTF">2019-10-30T13:05:46Z</dcterms:created>
  <dcterms:modified xsi:type="dcterms:W3CDTF">2022-08-18T11:43:04Z</dcterms:modified>
</cp:coreProperties>
</file>