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8.xml" ContentType="application/vnd.openxmlformats-officedocument.spreadsheetml.externalLink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6.xml" ContentType="application/vnd.openxmlformats-officedocument.spreadsheetml.externalLink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75" windowWidth="18915" windowHeight="11760" tabRatio="675" activeTab="9"/>
  </bookViews>
  <sheets>
    <sheet name="Baseline" sheetId="3" r:id="rId1"/>
    <sheet name="Sep_S" sheetId="4" r:id="rId2"/>
    <sheet name="Sep_S_C" sheetId="5" r:id="rId3"/>
    <sheet name="Sep_C" sheetId="6" r:id="rId4"/>
    <sheet name="N strip" sheetId="7" r:id="rId5"/>
    <sheet name="Biogas" sheetId="10" r:id="rId6"/>
    <sheet name="N &amp; OM budget" sheetId="9" r:id="rId7"/>
    <sheet name="P bal" sheetId="38" r:id="rId8"/>
    <sheet name="N distribs" sheetId="34" r:id="rId9"/>
    <sheet name="Expansion scenario" sheetId="2" r:id="rId10"/>
    <sheet name="BaseHiN" sheetId="12" r:id="rId11"/>
    <sheet name="BaseOM" sheetId="14" r:id="rId12"/>
    <sheet name="BaseNoCover" sheetId="13" r:id="rId13"/>
    <sheet name="N_strip99" sheetId="11" r:id="rId14"/>
    <sheet name="BiogasHiN" sheetId="16" r:id="rId15"/>
    <sheet name="BiogasOM" sheetId="15" r:id="rId16"/>
    <sheet name="SepCHiN" sheetId="21" r:id="rId17"/>
    <sheet name="SepCOM" sheetId="18" r:id="rId18"/>
    <sheet name="N_StripHiN" sheetId="25" r:id="rId19"/>
    <sheet name="N_StripOM" sheetId="26" r:id="rId20"/>
    <sheet name="SepSHiN" sheetId="20" r:id="rId21"/>
    <sheet name="SepSOM" sheetId="22" r:id="rId22"/>
    <sheet name="Sep_S_CHiN" sheetId="23" r:id="rId23"/>
    <sheet name="Sep_S_COM" sheetId="24" r:id="rId24"/>
    <sheet name="Sep_CPS" sheetId="27" r:id="rId25"/>
    <sheet name="SepSPS" sheetId="28" r:id="rId26"/>
    <sheet name="CompPS" sheetId="35" r:id="rId27"/>
    <sheet name="NStrip99" sheetId="36" r:id="rId28"/>
    <sheet name="SenseHiN" sheetId="29" r:id="rId29"/>
    <sheet name="SenseOM" sheetId="30" r:id="rId30"/>
    <sheet name="SenseNoCov" sheetId="31" r:id="rId31"/>
    <sheet name="SensePS" sheetId="33" r:id="rId32"/>
    <sheet name="SenseNStrip" sheetId="37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25725"/>
</workbook>
</file>

<file path=xl/calcChain.xml><?xml version="1.0" encoding="utf-8"?>
<calcChain xmlns="http://schemas.openxmlformats.org/spreadsheetml/2006/main">
  <c r="M82" i="2"/>
  <c r="L82"/>
  <c r="K82"/>
  <c r="J82"/>
  <c r="I82"/>
  <c r="S64"/>
  <c r="Q64"/>
  <c r="N65"/>
  <c r="M65"/>
  <c r="L65"/>
  <c r="K65"/>
  <c r="J65"/>
  <c r="I65"/>
  <c r="P30" l="1"/>
  <c r="P29"/>
  <c r="F16" l="1"/>
  <c r="E16"/>
  <c r="E19"/>
  <c r="F19"/>
  <c r="B21"/>
  <c r="E21"/>
  <c r="F21"/>
  <c r="B22"/>
  <c r="E22"/>
  <c r="E23" s="1"/>
  <c r="F22"/>
  <c r="B23"/>
  <c r="F23"/>
  <c r="C33" i="10"/>
  <c r="R29"/>
  <c r="Q29"/>
  <c r="C27"/>
  <c r="K25"/>
  <c r="I25"/>
  <c r="C25"/>
  <c r="D25" s="1"/>
  <c r="K23"/>
  <c r="I23"/>
  <c r="C23"/>
  <c r="Q22"/>
  <c r="H22"/>
  <c r="B22"/>
  <c r="K21"/>
  <c r="I21"/>
  <c r="H21"/>
  <c r="C21"/>
  <c r="Q19"/>
  <c r="H19"/>
  <c r="B19"/>
  <c r="B29" s="1"/>
  <c r="M11"/>
  <c r="N10"/>
  <c r="M10"/>
  <c r="H9"/>
  <c r="H12" s="1"/>
  <c r="G9"/>
  <c r="G12" s="1"/>
  <c r="F9"/>
  <c r="F12" s="1"/>
  <c r="E9"/>
  <c r="D9"/>
  <c r="C9"/>
  <c r="E7"/>
  <c r="D7"/>
  <c r="J7" s="1"/>
  <c r="C7"/>
  <c r="G22" i="2" s="1"/>
  <c r="C5" i="10"/>
  <c r="J5" s="1"/>
  <c r="B5"/>
  <c r="B12" s="1"/>
  <c r="C3"/>
  <c r="B3"/>
  <c r="B2"/>
  <c r="F13" l="1"/>
  <c r="D3"/>
  <c r="G13" s="1"/>
  <c r="G21" i="2"/>
  <c r="G23" s="1"/>
  <c r="J9" i="10"/>
  <c r="J12" s="1"/>
  <c r="C29"/>
  <c r="E12"/>
  <c r="D23"/>
  <c r="D21"/>
  <c r="D27"/>
  <c r="C12"/>
  <c r="D12"/>
  <c r="D13" s="1"/>
  <c r="K7" l="1"/>
  <c r="K9"/>
  <c r="K5"/>
  <c r="H13"/>
  <c r="E13"/>
  <c r="C13"/>
  <c r="I13" s="1"/>
  <c r="D29"/>
  <c r="C31" i="14" l="1"/>
  <c r="D31" s="1"/>
  <c r="H30"/>
  <c r="C25"/>
  <c r="D25" s="1"/>
  <c r="N24"/>
  <c r="M24"/>
  <c r="K23"/>
  <c r="I23"/>
  <c r="H23"/>
  <c r="C23"/>
  <c r="D23" s="1"/>
  <c r="K21"/>
  <c r="I21"/>
  <c r="H21"/>
  <c r="C21"/>
  <c r="C27" s="1"/>
  <c r="M19"/>
  <c r="H19"/>
  <c r="B19"/>
  <c r="O19" s="1"/>
  <c r="F13"/>
  <c r="G12"/>
  <c r="F12"/>
  <c r="M11"/>
  <c r="N10"/>
  <c r="M10"/>
  <c r="H9"/>
  <c r="H12" s="1"/>
  <c r="H13" s="1"/>
  <c r="G9"/>
  <c r="F9"/>
  <c r="E9"/>
  <c r="D9"/>
  <c r="J9" s="1"/>
  <c r="C9"/>
  <c r="E7"/>
  <c r="J7" s="1"/>
  <c r="D7"/>
  <c r="D12" s="1"/>
  <c r="D13" s="1"/>
  <c r="C7"/>
  <c r="C12" s="1"/>
  <c r="C13" s="1"/>
  <c r="J5"/>
  <c r="C5"/>
  <c r="B5"/>
  <c r="B3"/>
  <c r="G13" s="1"/>
  <c r="B2"/>
  <c r="K7" l="1"/>
  <c r="K9"/>
  <c r="E12"/>
  <c r="E13" s="1"/>
  <c r="I13" s="1"/>
  <c r="J12"/>
  <c r="K5" s="1"/>
  <c r="D21"/>
  <c r="D33" s="1"/>
  <c r="B27"/>
  <c r="L70" i="2" l="1"/>
  <c r="P3"/>
  <c r="E70"/>
  <c r="D8" i="38" l="1"/>
  <c r="C8"/>
  <c r="B8"/>
  <c r="E8" l="1"/>
  <c r="C41" i="5"/>
  <c r="C40"/>
  <c r="C37"/>
  <c r="C36"/>
  <c r="T34"/>
  <c r="D5" i="38" s="1"/>
  <c r="S33" i="5"/>
  <c r="C5" i="38" s="1"/>
  <c r="M33" i="5"/>
  <c r="J33"/>
  <c r="I33"/>
  <c r="C33"/>
  <c r="B33"/>
  <c r="M32"/>
  <c r="N31" s="1"/>
  <c r="J32"/>
  <c r="I32"/>
  <c r="C32"/>
  <c r="M29"/>
  <c r="J29"/>
  <c r="C29"/>
  <c r="E29" s="1"/>
  <c r="M27"/>
  <c r="J27"/>
  <c r="I27"/>
  <c r="C27"/>
  <c r="S25"/>
  <c r="B5" i="38" s="1"/>
  <c r="O25" i="5"/>
  <c r="I25"/>
  <c r="B25"/>
  <c r="H16"/>
  <c r="G16"/>
  <c r="F16"/>
  <c r="E16"/>
  <c r="D16"/>
  <c r="C16"/>
  <c r="H15"/>
  <c r="G15"/>
  <c r="F15"/>
  <c r="E15"/>
  <c r="D15"/>
  <c r="C15"/>
  <c r="N11"/>
  <c r="M11"/>
  <c r="E11"/>
  <c r="D11"/>
  <c r="C11"/>
  <c r="N10"/>
  <c r="M10"/>
  <c r="E10"/>
  <c r="D10"/>
  <c r="C10"/>
  <c r="E7"/>
  <c r="D7"/>
  <c r="C7"/>
  <c r="C5"/>
  <c r="B5"/>
  <c r="C3"/>
  <c r="B3"/>
  <c r="B2"/>
  <c r="J5" l="1"/>
  <c r="D21" i="2"/>
  <c r="D23" s="1"/>
  <c r="D19"/>
  <c r="D3" i="5"/>
  <c r="D12"/>
  <c r="F17"/>
  <c r="F19" s="1"/>
  <c r="F20" s="1"/>
  <c r="E12"/>
  <c r="E31"/>
  <c r="E17"/>
  <c r="G17"/>
  <c r="G19" s="1"/>
  <c r="G20" s="1"/>
  <c r="E35"/>
  <c r="E39"/>
  <c r="Q25"/>
  <c r="D17"/>
  <c r="D19" s="1"/>
  <c r="C17"/>
  <c r="B43"/>
  <c r="J7"/>
  <c r="C43"/>
  <c r="E5" i="38"/>
  <c r="C12" i="5"/>
  <c r="D22" i="2" s="1"/>
  <c r="H17" i="5"/>
  <c r="H19" s="1"/>
  <c r="H20" s="1"/>
  <c r="D25"/>
  <c r="E27"/>
  <c r="E19" l="1"/>
  <c r="E20" s="1"/>
  <c r="D20"/>
  <c r="J17"/>
  <c r="C19"/>
  <c r="C20" s="1"/>
  <c r="F35"/>
  <c r="F29"/>
  <c r="F31"/>
  <c r="F27"/>
  <c r="F39"/>
  <c r="J12"/>
  <c r="J19" s="1"/>
  <c r="K12" s="1"/>
  <c r="I20" l="1"/>
  <c r="F43"/>
  <c r="K5"/>
  <c r="K7"/>
  <c r="K17"/>
  <c r="C41" i="4" l="1"/>
  <c r="C40"/>
  <c r="C35"/>
  <c r="C34"/>
  <c r="M31"/>
  <c r="I31"/>
  <c r="H31"/>
  <c r="C31"/>
  <c r="M30"/>
  <c r="N29" s="1"/>
  <c r="I30"/>
  <c r="K29" s="1"/>
  <c r="H30"/>
  <c r="C30"/>
  <c r="E29" s="1"/>
  <c r="J29"/>
  <c r="T29"/>
  <c r="S23"/>
  <c r="M27"/>
  <c r="I27"/>
  <c r="K27" s="1"/>
  <c r="H27"/>
  <c r="J27" s="1"/>
  <c r="C27"/>
  <c r="E27" s="1"/>
  <c r="M25"/>
  <c r="I25"/>
  <c r="K25" s="1"/>
  <c r="H25"/>
  <c r="J25" s="1"/>
  <c r="C25"/>
  <c r="O23"/>
  <c r="H23"/>
  <c r="J23" s="1"/>
  <c r="B23"/>
  <c r="B37" s="1"/>
  <c r="H15"/>
  <c r="G15"/>
  <c r="F15"/>
  <c r="C19" i="2" s="1"/>
  <c r="E15" i="4"/>
  <c r="D15"/>
  <c r="C15"/>
  <c r="H14"/>
  <c r="G14"/>
  <c r="G17" s="1"/>
  <c r="F14"/>
  <c r="F17" s="1"/>
  <c r="E14"/>
  <c r="D14"/>
  <c r="C14"/>
  <c r="N11"/>
  <c r="M11"/>
  <c r="E11"/>
  <c r="D11"/>
  <c r="C11"/>
  <c r="N10"/>
  <c r="M10"/>
  <c r="E10"/>
  <c r="D10"/>
  <c r="C10"/>
  <c r="C22" i="2" s="1"/>
  <c r="E7" i="4"/>
  <c r="D7"/>
  <c r="C7"/>
  <c r="C5"/>
  <c r="C21" i="2" s="1"/>
  <c r="C23" s="1"/>
  <c r="B5" i="4"/>
  <c r="B3"/>
  <c r="B2"/>
  <c r="J15" l="1"/>
  <c r="C37"/>
  <c r="E33"/>
  <c r="C17"/>
  <c r="E42"/>
  <c r="F42" s="1"/>
  <c r="G18"/>
  <c r="E17"/>
  <c r="E18" s="1"/>
  <c r="E25"/>
  <c r="C18"/>
  <c r="J11"/>
  <c r="J7"/>
  <c r="F18"/>
  <c r="D17"/>
  <c r="D18" s="1"/>
  <c r="H17"/>
  <c r="H18" s="1"/>
  <c r="J5"/>
  <c r="D23"/>
  <c r="F29" s="1"/>
  <c r="Q23"/>
  <c r="I18" l="1"/>
  <c r="F25"/>
  <c r="F27"/>
  <c r="F33"/>
  <c r="J17"/>
  <c r="K5" s="1"/>
  <c r="F44" l="1"/>
  <c r="K7"/>
  <c r="K15"/>
  <c r="K11"/>
  <c r="C31" i="3" l="1"/>
  <c r="H30"/>
  <c r="C25"/>
  <c r="R23"/>
  <c r="D3" i="38" s="1"/>
  <c r="Q19" i="3"/>
  <c r="B3" i="38" s="1"/>
  <c r="K23" i="3"/>
  <c r="I23"/>
  <c r="H23"/>
  <c r="C23"/>
  <c r="K21"/>
  <c r="I21"/>
  <c r="H21"/>
  <c r="C21"/>
  <c r="C27" s="1"/>
  <c r="M19"/>
  <c r="H19"/>
  <c r="B19"/>
  <c r="M11"/>
  <c r="N10"/>
  <c r="M10"/>
  <c r="H9"/>
  <c r="H12" s="1"/>
  <c r="G9"/>
  <c r="G12" s="1"/>
  <c r="G13" s="1"/>
  <c r="F9"/>
  <c r="F12" s="1"/>
  <c r="E9"/>
  <c r="D9"/>
  <c r="C9"/>
  <c r="E7"/>
  <c r="D7"/>
  <c r="C7"/>
  <c r="C5"/>
  <c r="B5"/>
  <c r="B3"/>
  <c r="B2"/>
  <c r="D12" l="1"/>
  <c r="D13" s="1"/>
  <c r="C12"/>
  <c r="C13" s="1"/>
  <c r="O19"/>
  <c r="J7"/>
  <c r="F13"/>
  <c r="D25"/>
  <c r="J5"/>
  <c r="J9"/>
  <c r="J12" s="1"/>
  <c r="K7" s="1"/>
  <c r="H13"/>
  <c r="D23"/>
  <c r="D31"/>
  <c r="B27"/>
  <c r="E12"/>
  <c r="E13" s="1"/>
  <c r="D21"/>
  <c r="D33" s="1"/>
  <c r="I13" l="1"/>
  <c r="K9"/>
  <c r="K5"/>
  <c r="E117" i="9" l="1"/>
  <c r="C117"/>
  <c r="B117" l="1"/>
  <c r="C45" i="7" l="1"/>
  <c r="C44"/>
  <c r="C43"/>
  <c r="C46" s="1"/>
  <c r="E46" s="1"/>
  <c r="F46" s="1"/>
  <c r="C38"/>
  <c r="C37"/>
  <c r="K34"/>
  <c r="I34"/>
  <c r="H34"/>
  <c r="C34"/>
  <c r="K33"/>
  <c r="L32" s="1"/>
  <c r="I33"/>
  <c r="H33"/>
  <c r="C33"/>
  <c r="E32" s="1"/>
  <c r="D32"/>
  <c r="K30"/>
  <c r="I30"/>
  <c r="H30"/>
  <c r="C30"/>
  <c r="E30" s="1"/>
  <c r="F30" s="1"/>
  <c r="K28"/>
  <c r="I28"/>
  <c r="H28"/>
  <c r="C28"/>
  <c r="M26"/>
  <c r="H26"/>
  <c r="B26"/>
  <c r="H15"/>
  <c r="G15"/>
  <c r="F15"/>
  <c r="E15"/>
  <c r="D15"/>
  <c r="C15"/>
  <c r="G116" i="9" s="1"/>
  <c r="H14" i="7"/>
  <c r="G14"/>
  <c r="F14"/>
  <c r="E14"/>
  <c r="D14"/>
  <c r="C14"/>
  <c r="F116" i="9" s="1"/>
  <c r="H13" i="7"/>
  <c r="G13"/>
  <c r="F13"/>
  <c r="E13"/>
  <c r="D13"/>
  <c r="C13"/>
  <c r="E116" i="9" s="1"/>
  <c r="M12" i="7"/>
  <c r="N11"/>
  <c r="M11"/>
  <c r="N10"/>
  <c r="M10"/>
  <c r="E10"/>
  <c r="D10"/>
  <c r="C10"/>
  <c r="D116" i="9" s="1"/>
  <c r="E9" i="7"/>
  <c r="D9"/>
  <c r="C9"/>
  <c r="E7"/>
  <c r="D7"/>
  <c r="C7"/>
  <c r="C5"/>
  <c r="B116" i="9" s="1"/>
  <c r="B5" i="7"/>
  <c r="B18" s="1"/>
  <c r="C3"/>
  <c r="E16" l="1"/>
  <c r="J5"/>
  <c r="J7"/>
  <c r="C11"/>
  <c r="C116" i="9"/>
  <c r="F32" i="7"/>
  <c r="D11"/>
  <c r="C16"/>
  <c r="J16"/>
  <c r="J10"/>
  <c r="D16"/>
  <c r="H16"/>
  <c r="H18" s="1"/>
  <c r="H19" s="1"/>
  <c r="F16"/>
  <c r="F18" s="1"/>
  <c r="F19" s="1"/>
  <c r="C40"/>
  <c r="G16"/>
  <c r="G18" s="1"/>
  <c r="G19" s="1"/>
  <c r="O26"/>
  <c r="E28"/>
  <c r="F28" s="1"/>
  <c r="E36"/>
  <c r="F36" s="1"/>
  <c r="D18"/>
  <c r="D19" s="1"/>
  <c r="E11"/>
  <c r="E18" s="1"/>
  <c r="E19" s="1"/>
  <c r="D26"/>
  <c r="B47"/>
  <c r="C18" l="1"/>
  <c r="C19" s="1"/>
  <c r="I19" s="1"/>
  <c r="F47"/>
  <c r="J18"/>
  <c r="K5" s="1"/>
  <c r="E40"/>
  <c r="Q16"/>
  <c r="Q11"/>
  <c r="K10"/>
  <c r="K7" l="1"/>
  <c r="K16"/>
  <c r="C41" i="6"/>
  <c r="C40"/>
  <c r="C37"/>
  <c r="C36"/>
  <c r="M33"/>
  <c r="J33"/>
  <c r="I33"/>
  <c r="C33"/>
  <c r="M32"/>
  <c r="N31" s="1"/>
  <c r="J32"/>
  <c r="I32"/>
  <c r="C32"/>
  <c r="E31" s="1"/>
  <c r="M29"/>
  <c r="C29"/>
  <c r="E29" s="1"/>
  <c r="M27"/>
  <c r="J27"/>
  <c r="I27"/>
  <c r="C27"/>
  <c r="O25"/>
  <c r="I25"/>
  <c r="B25"/>
  <c r="D25" s="1"/>
  <c r="H16"/>
  <c r="G16"/>
  <c r="F16"/>
  <c r="E16"/>
  <c r="D16"/>
  <c r="C16"/>
  <c r="F115" i="9" s="1"/>
  <c r="H15" i="6"/>
  <c r="G15"/>
  <c r="F15"/>
  <c r="E15"/>
  <c r="D15"/>
  <c r="C15"/>
  <c r="E115" i="9" s="1"/>
  <c r="N11" i="6"/>
  <c r="M11"/>
  <c r="E11"/>
  <c r="D11"/>
  <c r="C11"/>
  <c r="N10"/>
  <c r="M10"/>
  <c r="E10"/>
  <c r="D10"/>
  <c r="C10"/>
  <c r="C115" i="9" s="1"/>
  <c r="E7" i="6"/>
  <c r="D7"/>
  <c r="C7"/>
  <c r="C5"/>
  <c r="B115" i="9" s="1"/>
  <c r="B5" i="6"/>
  <c r="B19" s="1"/>
  <c r="B3"/>
  <c r="B2"/>
  <c r="D12" l="1"/>
  <c r="F29"/>
  <c r="F17"/>
  <c r="F19" s="1"/>
  <c r="F20" s="1"/>
  <c r="E17"/>
  <c r="E12"/>
  <c r="E19" s="1"/>
  <c r="E20" s="1"/>
  <c r="E35"/>
  <c r="F35" s="1"/>
  <c r="J5"/>
  <c r="C12"/>
  <c r="C17"/>
  <c r="G17"/>
  <c r="G19" s="1"/>
  <c r="G20" s="1"/>
  <c r="E39"/>
  <c r="F39" s="1"/>
  <c r="J7"/>
  <c r="D17"/>
  <c r="D19" s="1"/>
  <c r="D20" s="1"/>
  <c r="H17"/>
  <c r="H19" s="1"/>
  <c r="H20" s="1"/>
  <c r="Q25"/>
  <c r="C43"/>
  <c r="F31"/>
  <c r="B43"/>
  <c r="E27"/>
  <c r="F27" s="1"/>
  <c r="J17" l="1"/>
  <c r="J12"/>
  <c r="C19"/>
  <c r="C20" s="1"/>
  <c r="I20" s="1"/>
  <c r="F43"/>
  <c r="Q17"/>
  <c r="Q12"/>
  <c r="J19" l="1"/>
  <c r="K7" s="1"/>
  <c r="K17" l="1"/>
  <c r="K12"/>
  <c r="K5"/>
  <c r="F114" i="9"/>
  <c r="B114"/>
  <c r="D114" l="1"/>
  <c r="D115"/>
  <c r="E114"/>
  <c r="C114"/>
  <c r="F113" l="1"/>
  <c r="D113"/>
  <c r="C113"/>
  <c r="B113" l="1"/>
  <c r="E113"/>
  <c r="E112" l="1"/>
  <c r="C112"/>
  <c r="B112" l="1"/>
  <c r="D108" l="1"/>
  <c r="B7" i="37" l="1"/>
  <c r="B6"/>
  <c r="I8" i="33"/>
  <c r="I7"/>
  <c r="H8"/>
  <c r="H7"/>
  <c r="F8"/>
  <c r="F7"/>
  <c r="E8"/>
  <c r="E7"/>
  <c r="B8"/>
  <c r="B7"/>
  <c r="C7" i="31"/>
  <c r="C6"/>
  <c r="B7"/>
  <c r="B6"/>
  <c r="R8" i="30"/>
  <c r="R7"/>
  <c r="Q8"/>
  <c r="Q7"/>
  <c r="O8"/>
  <c r="O7"/>
  <c r="N8"/>
  <c r="N7"/>
  <c r="P7" s="1"/>
  <c r="L8"/>
  <c r="L7"/>
  <c r="K8"/>
  <c r="M8" s="1"/>
  <c r="K7"/>
  <c r="I8"/>
  <c r="I7"/>
  <c r="H8"/>
  <c r="J8" s="1"/>
  <c r="H7"/>
  <c r="F8"/>
  <c r="F7"/>
  <c r="E8"/>
  <c r="E7"/>
  <c r="G7" s="1"/>
  <c r="C8"/>
  <c r="C7"/>
  <c r="B8"/>
  <c r="B7"/>
  <c r="R8" i="29"/>
  <c r="R7"/>
  <c r="Q8"/>
  <c r="S8" s="1"/>
  <c r="Q7"/>
  <c r="O8"/>
  <c r="O7"/>
  <c r="N8"/>
  <c r="P8" s="1"/>
  <c r="N7"/>
  <c r="L8"/>
  <c r="L7"/>
  <c r="K8"/>
  <c r="K7"/>
  <c r="M7" s="1"/>
  <c r="I8"/>
  <c r="I7"/>
  <c r="H8"/>
  <c r="H7"/>
  <c r="J7" s="1"/>
  <c r="F8"/>
  <c r="F7"/>
  <c r="E8"/>
  <c r="G8" s="1"/>
  <c r="E7"/>
  <c r="C8"/>
  <c r="B8"/>
  <c r="C7"/>
  <c r="B7"/>
  <c r="B5" i="37"/>
  <c r="B8"/>
  <c r="B4"/>
  <c r="B3"/>
  <c r="B2"/>
  <c r="C45" i="36"/>
  <c r="C44"/>
  <c r="C43"/>
  <c r="C38"/>
  <c r="C37"/>
  <c r="K34"/>
  <c r="I34"/>
  <c r="H34"/>
  <c r="C34"/>
  <c r="K33"/>
  <c r="I33"/>
  <c r="H33"/>
  <c r="C33"/>
  <c r="E32" s="1"/>
  <c r="D32"/>
  <c r="K30"/>
  <c r="I30"/>
  <c r="H30"/>
  <c r="C30"/>
  <c r="E30" s="1"/>
  <c r="K28"/>
  <c r="I28"/>
  <c r="H28"/>
  <c r="C28"/>
  <c r="E28" s="1"/>
  <c r="H26"/>
  <c r="B26"/>
  <c r="D26" s="1"/>
  <c r="H15"/>
  <c r="G15"/>
  <c r="F15"/>
  <c r="E15"/>
  <c r="D15"/>
  <c r="C15"/>
  <c r="H14"/>
  <c r="G14"/>
  <c r="F14"/>
  <c r="E14"/>
  <c r="D14"/>
  <c r="C14"/>
  <c r="H13"/>
  <c r="G13"/>
  <c r="F13"/>
  <c r="E13"/>
  <c r="D13"/>
  <c r="C13"/>
  <c r="M12"/>
  <c r="N11"/>
  <c r="M11"/>
  <c r="N10"/>
  <c r="M10"/>
  <c r="E10"/>
  <c r="D10"/>
  <c r="C10"/>
  <c r="E9"/>
  <c r="D9"/>
  <c r="C9"/>
  <c r="E7"/>
  <c r="D7"/>
  <c r="C7"/>
  <c r="C5"/>
  <c r="J5" s="1"/>
  <c r="B5"/>
  <c r="B18" s="1"/>
  <c r="C3"/>
  <c r="D8" i="30" l="1"/>
  <c r="L32" i="36"/>
  <c r="C8" i="37" s="1"/>
  <c r="D8" s="1"/>
  <c r="E36" i="36"/>
  <c r="C11"/>
  <c r="G7" i="33"/>
  <c r="J7"/>
  <c r="F16" i="36"/>
  <c r="F18" s="1"/>
  <c r="F19" s="1"/>
  <c r="G8" i="33"/>
  <c r="J8"/>
  <c r="G7" i="29"/>
  <c r="G8" i="30"/>
  <c r="M7"/>
  <c r="M8" i="29"/>
  <c r="D7"/>
  <c r="D7" i="30"/>
  <c r="D6" i="31"/>
  <c r="D8" i="29"/>
  <c r="D7" i="31"/>
  <c r="F28" i="36"/>
  <c r="F30"/>
  <c r="F32"/>
  <c r="G16"/>
  <c r="G18" s="1"/>
  <c r="C6" i="37" s="1"/>
  <c r="D6" s="1"/>
  <c r="D16" i="36"/>
  <c r="J7"/>
  <c r="D11"/>
  <c r="E11"/>
  <c r="C5" i="37"/>
  <c r="D5" s="1"/>
  <c r="J16" i="36"/>
  <c r="E16"/>
  <c r="C40"/>
  <c r="C46"/>
  <c r="E46" s="1"/>
  <c r="F46" s="1"/>
  <c r="J8" i="29"/>
  <c r="P8" i="30"/>
  <c r="S7"/>
  <c r="H16" i="36"/>
  <c r="H18" s="1"/>
  <c r="F36"/>
  <c r="P7" i="29"/>
  <c r="J7" i="30"/>
  <c r="S8"/>
  <c r="S7" i="29"/>
  <c r="D18" i="36"/>
  <c r="Q16" s="1"/>
  <c r="C16"/>
  <c r="E40"/>
  <c r="J10"/>
  <c r="B47"/>
  <c r="C18" l="1"/>
  <c r="C19" s="1"/>
  <c r="G19"/>
  <c r="J18"/>
  <c r="K5" s="1"/>
  <c r="F47"/>
  <c r="E18"/>
  <c r="C4" i="37" s="1"/>
  <c r="D4" s="1"/>
  <c r="C2"/>
  <c r="D2" s="1"/>
  <c r="D19" i="36"/>
  <c r="C3" i="37"/>
  <c r="D3" s="1"/>
  <c r="H19" i="36"/>
  <c r="C7" i="37"/>
  <c r="D7" s="1"/>
  <c r="K16" i="36"/>
  <c r="K10"/>
  <c r="Q11"/>
  <c r="K7" l="1"/>
  <c r="E19"/>
  <c r="I19" s="1"/>
  <c r="I5" i="33"/>
  <c r="H5"/>
  <c r="F5"/>
  <c r="E5"/>
  <c r="B5"/>
  <c r="G5" l="1"/>
  <c r="J5"/>
  <c r="C41" i="27"/>
  <c r="C40"/>
  <c r="C37"/>
  <c r="C36"/>
  <c r="M33"/>
  <c r="J33"/>
  <c r="I33"/>
  <c r="C33"/>
  <c r="M32"/>
  <c r="N31" s="1"/>
  <c r="J32"/>
  <c r="I32"/>
  <c r="C32"/>
  <c r="E31"/>
  <c r="M29"/>
  <c r="C29"/>
  <c r="E29" s="1"/>
  <c r="M27"/>
  <c r="J27"/>
  <c r="I27"/>
  <c r="C27"/>
  <c r="E27" s="1"/>
  <c r="I25"/>
  <c r="B25"/>
  <c r="B43" s="1"/>
  <c r="H16"/>
  <c r="G16"/>
  <c r="F16"/>
  <c r="E16"/>
  <c r="D16"/>
  <c r="C16"/>
  <c r="H15"/>
  <c r="G15"/>
  <c r="G17" s="1"/>
  <c r="G19" s="1"/>
  <c r="F15"/>
  <c r="E15"/>
  <c r="D15"/>
  <c r="C15"/>
  <c r="C17" s="1"/>
  <c r="N11"/>
  <c r="M11"/>
  <c r="E11"/>
  <c r="D11"/>
  <c r="C11"/>
  <c r="N10"/>
  <c r="M10"/>
  <c r="E10"/>
  <c r="E12" s="1"/>
  <c r="D10"/>
  <c r="C10"/>
  <c r="E7"/>
  <c r="D7"/>
  <c r="C7"/>
  <c r="C5"/>
  <c r="J5" s="1"/>
  <c r="B5"/>
  <c r="B19" s="1"/>
  <c r="B3"/>
  <c r="B2"/>
  <c r="E39" l="1"/>
  <c r="J7"/>
  <c r="C12"/>
  <c r="F17"/>
  <c r="F19" s="1"/>
  <c r="F20" s="1"/>
  <c r="F39"/>
  <c r="F27"/>
  <c r="E35"/>
  <c r="F35" s="1"/>
  <c r="G20"/>
  <c r="C7" i="33"/>
  <c r="D7" s="1"/>
  <c r="F31" i="27"/>
  <c r="D17"/>
  <c r="J17" s="1"/>
  <c r="H17"/>
  <c r="H19" s="1"/>
  <c r="D12"/>
  <c r="J12" s="1"/>
  <c r="E17"/>
  <c r="E19" s="1"/>
  <c r="D25"/>
  <c r="F29"/>
  <c r="C19"/>
  <c r="C20" s="1"/>
  <c r="C43"/>
  <c r="F43" l="1"/>
  <c r="J19"/>
  <c r="K7" s="1"/>
  <c r="D19"/>
  <c r="Q12" s="1"/>
  <c r="E20"/>
  <c r="C5" i="33"/>
  <c r="D5" s="1"/>
  <c r="H20" i="27"/>
  <c r="C8" i="33"/>
  <c r="D8" s="1"/>
  <c r="K12" i="27"/>
  <c r="K5"/>
  <c r="K17"/>
  <c r="Q17" l="1"/>
  <c r="D20"/>
  <c r="I20" s="1"/>
  <c r="C4" i="31"/>
  <c r="B4"/>
  <c r="D4" l="1"/>
  <c r="O5" i="30"/>
  <c r="N5" l="1"/>
  <c r="R6"/>
  <c r="Q6"/>
  <c r="R9"/>
  <c r="Q9"/>
  <c r="R5"/>
  <c r="Q5"/>
  <c r="R4"/>
  <c r="R3"/>
  <c r="Q3"/>
  <c r="L5"/>
  <c r="K5"/>
  <c r="I5"/>
  <c r="H5"/>
  <c r="F5"/>
  <c r="E5"/>
  <c r="C5"/>
  <c r="B5"/>
  <c r="Q4"/>
  <c r="S4" l="1"/>
  <c r="J5"/>
  <c r="S5"/>
  <c r="G5"/>
  <c r="M5"/>
  <c r="S3"/>
  <c r="D5"/>
  <c r="S9"/>
  <c r="S6"/>
  <c r="P5"/>
  <c r="R9" i="29" l="1"/>
  <c r="R6"/>
  <c r="R5"/>
  <c r="R4"/>
  <c r="R3"/>
  <c r="Q9"/>
  <c r="Q6"/>
  <c r="Q5"/>
  <c r="Q4"/>
  <c r="Q3"/>
  <c r="O5"/>
  <c r="N5"/>
  <c r="L5"/>
  <c r="K5"/>
  <c r="I5"/>
  <c r="H5"/>
  <c r="F5"/>
  <c r="E5"/>
  <c r="C5"/>
  <c r="B5"/>
  <c r="G5" l="1"/>
  <c r="D5"/>
  <c r="P5"/>
  <c r="S3"/>
  <c r="S9"/>
  <c r="M5"/>
  <c r="J5"/>
  <c r="S4"/>
  <c r="S5"/>
  <c r="S6"/>
  <c r="B9"/>
  <c r="I6" i="33" l="1"/>
  <c r="H6"/>
  <c r="I9"/>
  <c r="H9"/>
  <c r="I3"/>
  <c r="H3"/>
  <c r="I4"/>
  <c r="H4"/>
  <c r="J3" l="1"/>
  <c r="J4"/>
  <c r="J9"/>
  <c r="J6"/>
  <c r="B2" i="2" l="1"/>
  <c r="M5" i="9"/>
  <c r="F105" l="1"/>
  <c r="E107"/>
  <c r="F108"/>
  <c r="F104"/>
  <c r="E106"/>
  <c r="F107"/>
  <c r="F103"/>
  <c r="F106"/>
  <c r="E105"/>
  <c r="C106"/>
  <c r="B107"/>
  <c r="B103"/>
  <c r="B106"/>
  <c r="C107"/>
  <c r="B104"/>
  <c r="E104"/>
  <c r="C105"/>
  <c r="E108"/>
  <c r="E103"/>
  <c r="C104"/>
  <c r="B105"/>
  <c r="B108"/>
  <c r="S6" i="34"/>
  <c r="S4"/>
  <c r="R3"/>
  <c r="R4"/>
  <c r="R7"/>
  <c r="S3"/>
  <c r="S8"/>
  <c r="R6"/>
  <c r="R8"/>
  <c r="S7"/>
  <c r="S5"/>
  <c r="R5"/>
  <c r="L7"/>
  <c r="L3"/>
  <c r="K5"/>
  <c r="D7"/>
  <c r="D3"/>
  <c r="C5"/>
  <c r="B6"/>
  <c r="B3"/>
  <c r="D96" i="9"/>
  <c r="C96"/>
  <c r="B97"/>
  <c r="B94"/>
  <c r="B95"/>
  <c r="L6" i="34"/>
  <c r="K8"/>
  <c r="K4"/>
  <c r="D6"/>
  <c r="C8"/>
  <c r="C4"/>
  <c r="B5"/>
  <c r="D99" i="9"/>
  <c r="D95"/>
  <c r="C95"/>
  <c r="B96"/>
  <c r="L5" i="34"/>
  <c r="K7"/>
  <c r="K3"/>
  <c r="D5"/>
  <c r="C7"/>
  <c r="B8"/>
  <c r="B4"/>
  <c r="D98" i="9"/>
  <c r="C98"/>
  <c r="B99"/>
  <c r="L8" i="34"/>
  <c r="L4"/>
  <c r="K6"/>
  <c r="D8"/>
  <c r="D4"/>
  <c r="H4" s="1"/>
  <c r="C6"/>
  <c r="B7"/>
  <c r="C3"/>
  <c r="D97" i="9"/>
  <c r="C97"/>
  <c r="B98"/>
  <c r="D94"/>
  <c r="V5"/>
  <c r="C6" i="33"/>
  <c r="C9"/>
  <c r="C3"/>
  <c r="C4"/>
  <c r="O4" i="34" l="1"/>
  <c r="O8"/>
  <c r="H8"/>
  <c r="G105" i="9"/>
  <c r="H3" i="34"/>
  <c r="G107" i="9"/>
  <c r="F7" i="34"/>
  <c r="N7"/>
  <c r="V7"/>
  <c r="F4"/>
  <c r="F8"/>
  <c r="U8"/>
  <c r="V3"/>
  <c r="G3"/>
  <c r="U5"/>
  <c r="V4"/>
  <c r="G7"/>
  <c r="F6"/>
  <c r="G5"/>
  <c r="O5"/>
  <c r="H7"/>
  <c r="H5"/>
  <c r="U6"/>
  <c r="G108" i="9"/>
  <c r="F5" i="34"/>
  <c r="N6"/>
  <c r="G6"/>
  <c r="N3"/>
  <c r="G8"/>
  <c r="O6"/>
  <c r="O3"/>
  <c r="G103" i="9"/>
  <c r="H6" i="34"/>
  <c r="O7"/>
  <c r="U7"/>
  <c r="V6"/>
  <c r="G104" i="9"/>
  <c r="N4" i="34"/>
  <c r="F3"/>
  <c r="U4"/>
  <c r="G4"/>
  <c r="N8"/>
  <c r="N5"/>
  <c r="V5"/>
  <c r="V8"/>
  <c r="U3"/>
  <c r="G106" i="9"/>
  <c r="F6" i="33"/>
  <c r="F9"/>
  <c r="F3"/>
  <c r="F4"/>
  <c r="E6"/>
  <c r="B6"/>
  <c r="D6" s="1"/>
  <c r="E9"/>
  <c r="B9"/>
  <c r="E3"/>
  <c r="B3"/>
  <c r="D3" s="1"/>
  <c r="E4"/>
  <c r="B4"/>
  <c r="D4" s="1"/>
  <c r="C5" i="31"/>
  <c r="G3" i="33" l="1"/>
  <c r="G4"/>
  <c r="G6"/>
  <c r="D9"/>
  <c r="G9"/>
  <c r="C8" i="31"/>
  <c r="C2"/>
  <c r="C3"/>
  <c r="B5"/>
  <c r="D5" s="1"/>
  <c r="B8"/>
  <c r="D8" s="1"/>
  <c r="B2"/>
  <c r="B3"/>
  <c r="D3" s="1"/>
  <c r="C9" i="30"/>
  <c r="B9"/>
  <c r="O6"/>
  <c r="L6"/>
  <c r="I6"/>
  <c r="O9"/>
  <c r="L9"/>
  <c r="I9"/>
  <c r="O3"/>
  <c r="L3"/>
  <c r="I3"/>
  <c r="O4"/>
  <c r="L4"/>
  <c r="I4"/>
  <c r="F6"/>
  <c r="F9"/>
  <c r="F3"/>
  <c r="F4"/>
  <c r="C6"/>
  <c r="C3"/>
  <c r="C4"/>
  <c r="N6"/>
  <c r="K6"/>
  <c r="H6"/>
  <c r="J6" s="1"/>
  <c r="E6"/>
  <c r="B6"/>
  <c r="N9"/>
  <c r="K9"/>
  <c r="H9"/>
  <c r="E9"/>
  <c r="N3"/>
  <c r="P3" s="1"/>
  <c r="K3"/>
  <c r="H3"/>
  <c r="E3"/>
  <c r="B3"/>
  <c r="N4"/>
  <c r="K4"/>
  <c r="M4" s="1"/>
  <c r="H4"/>
  <c r="E4"/>
  <c r="B4"/>
  <c r="D2" i="31" l="1"/>
  <c r="D3" i="30"/>
  <c r="M6"/>
  <c r="J3"/>
  <c r="J9"/>
  <c r="P6"/>
  <c r="G4"/>
  <c r="P4"/>
  <c r="M3"/>
  <c r="M9"/>
  <c r="P9"/>
  <c r="J4"/>
  <c r="G3"/>
  <c r="G9"/>
  <c r="G6"/>
  <c r="D4"/>
  <c r="D9"/>
  <c r="D6"/>
  <c r="O6" i="29" l="1"/>
  <c r="O9"/>
  <c r="O3"/>
  <c r="O4"/>
  <c r="N6"/>
  <c r="N9"/>
  <c r="N3"/>
  <c r="N4"/>
  <c r="L6"/>
  <c r="L9"/>
  <c r="L3"/>
  <c r="L4"/>
  <c r="K6"/>
  <c r="M6" s="1"/>
  <c r="K9"/>
  <c r="M9" s="1"/>
  <c r="K3"/>
  <c r="M3" s="1"/>
  <c r="K4"/>
  <c r="M4" s="1"/>
  <c r="I6"/>
  <c r="I9"/>
  <c r="I3"/>
  <c r="I4"/>
  <c r="H6"/>
  <c r="J6" s="1"/>
  <c r="H9"/>
  <c r="J9" s="1"/>
  <c r="H3"/>
  <c r="J3" s="1"/>
  <c r="H4"/>
  <c r="J4" s="1"/>
  <c r="F6"/>
  <c r="E6"/>
  <c r="F9"/>
  <c r="E9"/>
  <c r="F3"/>
  <c r="E3"/>
  <c r="E4"/>
  <c r="F4"/>
  <c r="C6"/>
  <c r="C9"/>
  <c r="C3"/>
  <c r="B6"/>
  <c r="B4"/>
  <c r="B3"/>
  <c r="C4"/>
  <c r="G9" l="1"/>
  <c r="P9"/>
  <c r="G3"/>
  <c r="G6"/>
  <c r="P6"/>
  <c r="P3"/>
  <c r="G4"/>
  <c r="P4"/>
  <c r="D4"/>
  <c r="D6"/>
  <c r="D3"/>
  <c r="E99" i="9" l="1"/>
  <c r="E98"/>
  <c r="F98" s="1"/>
  <c r="E97"/>
  <c r="F97" s="1"/>
  <c r="G99" l="1"/>
  <c r="F99"/>
  <c r="E95"/>
  <c r="F95" s="1"/>
  <c r="E96" l="1"/>
  <c r="F96" s="1"/>
  <c r="E94"/>
  <c r="F10" i="2"/>
  <c r="D9" i="29" l="1"/>
  <c r="F94" i="9"/>
  <c r="G14" i="2"/>
  <c r="F14"/>
  <c r="E14"/>
  <c r="D14"/>
  <c r="C14"/>
  <c r="B14"/>
  <c r="G13"/>
  <c r="F13"/>
  <c r="E13"/>
  <c r="D13"/>
  <c r="C13"/>
  <c r="B13"/>
  <c r="F9"/>
  <c r="F8"/>
  <c r="E9"/>
  <c r="E8"/>
  <c r="D9"/>
  <c r="D8"/>
  <c r="G7"/>
  <c r="G27" s="1"/>
  <c r="G6"/>
  <c r="C9"/>
  <c r="C8"/>
  <c r="F7"/>
  <c r="F27" s="1"/>
  <c r="F6"/>
  <c r="E7"/>
  <c r="E27" s="1"/>
  <c r="E6"/>
  <c r="D7"/>
  <c r="D27" s="1"/>
  <c r="D6"/>
  <c r="C7"/>
  <c r="C27" s="1"/>
  <c r="C6"/>
  <c r="C10" i="9"/>
  <c r="C9"/>
  <c r="C8"/>
  <c r="C7"/>
  <c r="C6"/>
  <c r="C5"/>
  <c r="C16" i="2" l="1"/>
  <c r="D16"/>
  <c r="D28"/>
  <c r="D30" s="1"/>
  <c r="D33"/>
  <c r="D35"/>
  <c r="D39"/>
  <c r="D34"/>
  <c r="G35"/>
  <c r="G30"/>
  <c r="G34"/>
  <c r="G39"/>
  <c r="G33"/>
  <c r="C29"/>
  <c r="C44"/>
  <c r="G29"/>
  <c r="G44"/>
  <c r="D29"/>
  <c r="D44"/>
  <c r="F30"/>
  <c r="C33"/>
  <c r="C39"/>
  <c r="C34"/>
  <c r="C28"/>
  <c r="C40" s="1"/>
  <c r="C35"/>
  <c r="E44"/>
  <c r="E29"/>
  <c r="C30"/>
  <c r="F34"/>
  <c r="F28"/>
  <c r="F33"/>
  <c r="F37" s="1"/>
  <c r="F35"/>
  <c r="F39"/>
  <c r="F40"/>
  <c r="E18"/>
  <c r="E28"/>
  <c r="E30" s="1"/>
  <c r="E33"/>
  <c r="E35"/>
  <c r="E39"/>
  <c r="E34"/>
  <c r="B44"/>
  <c r="F44"/>
  <c r="F29"/>
  <c r="C15"/>
  <c r="F15"/>
  <c r="E15"/>
  <c r="D15"/>
  <c r="F11"/>
  <c r="M9" s="1"/>
  <c r="C11"/>
  <c r="C18" s="1"/>
  <c r="G11"/>
  <c r="E11"/>
  <c r="D11"/>
  <c r="D18" s="1"/>
  <c r="D40" l="1"/>
  <c r="G37"/>
  <c r="G45"/>
  <c r="G59" s="1"/>
  <c r="G47"/>
  <c r="G50"/>
  <c r="G58"/>
  <c r="G64" s="1"/>
  <c r="G65" s="1"/>
  <c r="G70" s="1"/>
  <c r="M44"/>
  <c r="G46"/>
  <c r="G51"/>
  <c r="G54"/>
  <c r="G49"/>
  <c r="F49"/>
  <c r="F51"/>
  <c r="F58"/>
  <c r="L44"/>
  <c r="F46"/>
  <c r="F54"/>
  <c r="F74" s="1"/>
  <c r="F45"/>
  <c r="F55" s="1"/>
  <c r="F75" s="1"/>
  <c r="F47"/>
  <c r="F50"/>
  <c r="E40"/>
  <c r="E37"/>
  <c r="D58"/>
  <c r="J44"/>
  <c r="D46"/>
  <c r="D49"/>
  <c r="D51"/>
  <c r="D54"/>
  <c r="D74" s="1"/>
  <c r="D45"/>
  <c r="D59" s="1"/>
  <c r="D47"/>
  <c r="D50"/>
  <c r="C37"/>
  <c r="C45"/>
  <c r="C55" s="1"/>
  <c r="C75" s="1"/>
  <c r="C47"/>
  <c r="C50"/>
  <c r="C58"/>
  <c r="C64" s="1"/>
  <c r="C65" s="1"/>
  <c r="C70" s="1"/>
  <c r="C59"/>
  <c r="I44"/>
  <c r="C46"/>
  <c r="C51"/>
  <c r="C54"/>
  <c r="C74" s="1"/>
  <c r="C49"/>
  <c r="K44"/>
  <c r="E46"/>
  <c r="E49"/>
  <c r="E51"/>
  <c r="E54"/>
  <c r="E55"/>
  <c r="E59"/>
  <c r="E45"/>
  <c r="E47"/>
  <c r="E58"/>
  <c r="E50"/>
  <c r="N7"/>
  <c r="G18"/>
  <c r="B54"/>
  <c r="B49"/>
  <c r="B51"/>
  <c r="B47"/>
  <c r="B50"/>
  <c r="B45"/>
  <c r="F18"/>
  <c r="D37"/>
  <c r="J7"/>
  <c r="K9"/>
  <c r="M7"/>
  <c r="L7"/>
  <c r="M10"/>
  <c r="N9"/>
  <c r="L9"/>
  <c r="K7"/>
  <c r="J9"/>
  <c r="L68"/>
  <c r="E75"/>
  <c r="E71"/>
  <c r="E74"/>
  <c r="G74"/>
  <c r="E69"/>
  <c r="D64"/>
  <c r="D65" s="1"/>
  <c r="D70" s="1"/>
  <c r="K70" s="1"/>
  <c r="E62"/>
  <c r="B7"/>
  <c r="B27" s="1"/>
  <c r="B58" s="1"/>
  <c r="B6"/>
  <c r="B60" l="1"/>
  <c r="B61"/>
  <c r="E61"/>
  <c r="K58"/>
  <c r="E60"/>
  <c r="E64"/>
  <c r="E68"/>
  <c r="I58"/>
  <c r="C60"/>
  <c r="C61"/>
  <c r="F52"/>
  <c r="B52"/>
  <c r="C52"/>
  <c r="D61"/>
  <c r="J58"/>
  <c r="D60"/>
  <c r="F59"/>
  <c r="G52"/>
  <c r="D55"/>
  <c r="D75" s="1"/>
  <c r="M58"/>
  <c r="G60"/>
  <c r="G61"/>
  <c r="L69"/>
  <c r="B34"/>
  <c r="B33"/>
  <c r="B35"/>
  <c r="B39"/>
  <c r="I27"/>
  <c r="K27"/>
  <c r="L27"/>
  <c r="B29"/>
  <c r="J27"/>
  <c r="M27"/>
  <c r="B46"/>
  <c r="E52"/>
  <c r="D52"/>
  <c r="L58"/>
  <c r="F60"/>
  <c r="P58"/>
  <c r="F61"/>
  <c r="G71"/>
  <c r="G86" s="1"/>
  <c r="N70"/>
  <c r="C71"/>
  <c r="C86" s="1"/>
  <c r="J70"/>
  <c r="F64"/>
  <c r="F65" s="1"/>
  <c r="F70" s="1"/>
  <c r="D71"/>
  <c r="K71" s="1"/>
  <c r="K69"/>
  <c r="K68"/>
  <c r="D86"/>
  <c r="J68"/>
  <c r="J69"/>
  <c r="E86"/>
  <c r="E87" s="1"/>
  <c r="L71"/>
  <c r="L72" s="1"/>
  <c r="M69"/>
  <c r="M68"/>
  <c r="G69"/>
  <c r="N69"/>
  <c r="N68"/>
  <c r="G62"/>
  <c r="G68"/>
  <c r="G81" s="1"/>
  <c r="F63"/>
  <c r="C63"/>
  <c r="E63"/>
  <c r="D62"/>
  <c r="D63"/>
  <c r="C62"/>
  <c r="E72"/>
  <c r="E81"/>
  <c r="E82" s="1"/>
  <c r="F69"/>
  <c r="F68"/>
  <c r="D68"/>
  <c r="D69"/>
  <c r="C69"/>
  <c r="C68"/>
  <c r="F62"/>
  <c r="B11"/>
  <c r="B18" s="1"/>
  <c r="I10" i="9"/>
  <c r="S10" s="1"/>
  <c r="H10"/>
  <c r="R10" s="1"/>
  <c r="G10"/>
  <c r="Q10" s="1"/>
  <c r="F10"/>
  <c r="P10" s="1"/>
  <c r="E10"/>
  <c r="O10" s="1"/>
  <c r="D10"/>
  <c r="N10" s="1"/>
  <c r="I9"/>
  <c r="S9" s="1"/>
  <c r="H9"/>
  <c r="R9" s="1"/>
  <c r="G9"/>
  <c r="Q9" s="1"/>
  <c r="F9"/>
  <c r="P9" s="1"/>
  <c r="E9"/>
  <c r="O9" s="1"/>
  <c r="D9"/>
  <c r="N9" s="1"/>
  <c r="I8"/>
  <c r="S8" s="1"/>
  <c r="H8"/>
  <c r="R8" s="1"/>
  <c r="G8"/>
  <c r="Q8" s="1"/>
  <c r="F8"/>
  <c r="P8" s="1"/>
  <c r="E8"/>
  <c r="O8" s="1"/>
  <c r="D8"/>
  <c r="N8" s="1"/>
  <c r="I7"/>
  <c r="S7" s="1"/>
  <c r="H7"/>
  <c r="R7" s="1"/>
  <c r="G7"/>
  <c r="Q7" s="1"/>
  <c r="F7"/>
  <c r="P7" s="1"/>
  <c r="E7"/>
  <c r="O7" s="1"/>
  <c r="D7"/>
  <c r="N7" s="1"/>
  <c r="B37" i="2" l="1"/>
  <c r="N71"/>
  <c r="N72" s="1"/>
  <c r="J71"/>
  <c r="J72" s="1"/>
  <c r="K72"/>
  <c r="F71"/>
  <c r="M70"/>
  <c r="I7"/>
  <c r="G82"/>
  <c r="G72"/>
  <c r="G87"/>
  <c r="D87"/>
  <c r="C81"/>
  <c r="C82" s="1"/>
  <c r="C87"/>
  <c r="F81"/>
  <c r="F82" s="1"/>
  <c r="F83" s="1"/>
  <c r="D72"/>
  <c r="D81"/>
  <c r="D82" s="1"/>
  <c r="F72"/>
  <c r="C72"/>
  <c r="B74"/>
  <c r="J10" i="9"/>
  <c r="J8"/>
  <c r="J7"/>
  <c r="J9"/>
  <c r="K10"/>
  <c r="I6"/>
  <c r="S6" s="1"/>
  <c r="H6"/>
  <c r="R6" s="1"/>
  <c r="G6"/>
  <c r="Q6" s="1"/>
  <c r="F6"/>
  <c r="P6" s="1"/>
  <c r="E6"/>
  <c r="O6" s="1"/>
  <c r="D6"/>
  <c r="N6" s="1"/>
  <c r="I5"/>
  <c r="S5" s="1"/>
  <c r="H5"/>
  <c r="R5" s="1"/>
  <c r="G5"/>
  <c r="Q5" s="1"/>
  <c r="F5"/>
  <c r="P5" s="1"/>
  <c r="E5"/>
  <c r="O5" s="1"/>
  <c r="D5"/>
  <c r="N5" s="1"/>
  <c r="F86" i="2" l="1"/>
  <c r="F87" s="1"/>
  <c r="F88" s="1"/>
  <c r="M71"/>
  <c r="M72" s="1"/>
  <c r="B64"/>
  <c r="B65" s="1"/>
  <c r="B70" s="1"/>
  <c r="I69"/>
  <c r="P69" s="1"/>
  <c r="I68"/>
  <c r="B68"/>
  <c r="D83"/>
  <c r="D88"/>
  <c r="G88"/>
  <c r="G83"/>
  <c r="E88"/>
  <c r="E83"/>
  <c r="B69"/>
  <c r="B62"/>
  <c r="J6" i="9"/>
  <c r="J5"/>
  <c r="B71" i="2" l="1"/>
  <c r="I71" s="1"/>
  <c r="I72" s="1"/>
  <c r="I70"/>
  <c r="B72"/>
  <c r="K8" i="9"/>
  <c r="K6"/>
  <c r="K9"/>
  <c r="K7"/>
  <c r="K5"/>
  <c r="D78" i="2" l="1"/>
  <c r="C88"/>
  <c r="C83"/>
  <c r="E78"/>
  <c r="F78"/>
  <c r="G78"/>
  <c r="C78"/>
  <c r="B3"/>
  <c r="B78"/>
  <c r="J78" l="1"/>
  <c r="K78"/>
  <c r="M78"/>
  <c r="I78"/>
  <c r="L78"/>
</calcChain>
</file>

<file path=xl/comments1.xml><?xml version="1.0" encoding="utf-8"?>
<comments xmlns="http://schemas.openxmlformats.org/spreadsheetml/2006/main">
  <authors>
    <author>NJH</author>
    <author>Nick Hutchings</author>
    <author>Nicholas Hutchings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NJH:</t>
        </r>
        <r>
          <rPr>
            <sz val="9"/>
            <color indexed="81"/>
            <rFont val="Tahoma"/>
            <family val="2"/>
          </rPr>
          <t xml:space="preserve">
N remaining in soil</t>
        </r>
      </text>
    </comment>
    <comment ref="M4" authorId="1">
      <text>
        <r>
          <rPr>
            <b/>
            <sz val="9"/>
            <color indexed="81"/>
            <rFont val="Tahoma"/>
            <family val="2"/>
          </rPr>
          <t>Nick Hutchings:</t>
        </r>
        <r>
          <rPr>
            <sz val="9"/>
            <color indexed="81"/>
            <rFont val="Tahoma"/>
            <family val="2"/>
          </rPr>
          <t xml:space="preserve">
Adjust to 1000kg excretion
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NJH:</t>
        </r>
        <r>
          <rPr>
            <sz val="9"/>
            <color indexed="81"/>
            <rFont val="Tahoma"/>
            <family val="2"/>
          </rPr>
          <t xml:space="preserve">
N remaining in soil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NJH:</t>
        </r>
        <r>
          <rPr>
            <sz val="9"/>
            <color indexed="81"/>
            <rFont val="Tahoma"/>
            <family val="2"/>
          </rPr>
          <t xml:space="preserve">
Remains in soil</t>
        </r>
      </text>
    </comment>
    <comment ref="G99" authorId="2">
      <text>
        <r>
          <rPr>
            <b/>
            <sz val="9"/>
            <color indexed="81"/>
            <rFont val="Tahoma"/>
            <charset val="1"/>
          </rPr>
          <t>Nicholas Hutchings:</t>
        </r>
        <r>
          <rPr>
            <sz val="9"/>
            <color indexed="81"/>
            <rFont val="Tahoma"/>
            <charset val="1"/>
          </rPr>
          <t xml:space="preserve">
Contribution from slurry</t>
        </r>
      </text>
    </comment>
  </commentList>
</comments>
</file>

<file path=xl/comments2.xml><?xml version="1.0" encoding="utf-8"?>
<comments xmlns="http://schemas.openxmlformats.org/spreadsheetml/2006/main">
  <authors>
    <author>Nick Hutchings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Nick Hutchings:</t>
        </r>
        <r>
          <rPr>
            <sz val="9"/>
            <color indexed="81"/>
            <rFont val="Tahoma"/>
            <family val="2"/>
          </rPr>
          <t xml:space="preserve">
Product 1 is retained on the donor farm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Nick Hutchings:</t>
        </r>
        <r>
          <rPr>
            <sz val="9"/>
            <color indexed="81"/>
            <rFont val="Tahoma"/>
            <family val="2"/>
          </rPr>
          <t xml:space="preserve">
Product 2 is exported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Nick Hutchings:</t>
        </r>
        <r>
          <rPr>
            <sz val="9"/>
            <color indexed="81"/>
            <rFont val="Tahoma"/>
            <family val="2"/>
          </rPr>
          <t xml:space="preserve">
Product 3 is exported but is not considered manure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Nick Hutchings:</t>
        </r>
        <r>
          <rPr>
            <sz val="9"/>
            <color indexed="81"/>
            <rFont val="Tahoma"/>
            <family val="2"/>
          </rPr>
          <t xml:space="preserve">
Includes N fraction</t>
        </r>
      </text>
    </comment>
  </commentList>
</comments>
</file>

<file path=xl/sharedStrings.xml><?xml version="1.0" encoding="utf-8"?>
<sst xmlns="http://schemas.openxmlformats.org/spreadsheetml/2006/main" count="1561" uniqueCount="164">
  <si>
    <t>Growth N</t>
  </si>
  <si>
    <t>NH3</t>
  </si>
  <si>
    <t>N2O</t>
  </si>
  <si>
    <t>N2</t>
  </si>
  <si>
    <t>NO3</t>
  </si>
  <si>
    <t>Crop</t>
  </si>
  <si>
    <t>Soil</t>
  </si>
  <si>
    <t>Sep C</t>
  </si>
  <si>
    <t>Baseline</t>
  </si>
  <si>
    <t>Compost</t>
  </si>
  <si>
    <t>Sep S</t>
  </si>
  <si>
    <t>N strip</t>
  </si>
  <si>
    <t>Total lost</t>
  </si>
  <si>
    <t>Housing</t>
  </si>
  <si>
    <t>Storage</t>
  </si>
  <si>
    <t>Field</t>
  </si>
  <si>
    <t>Nitrogen budget</t>
  </si>
  <si>
    <t>CH4</t>
  </si>
  <si>
    <t>N input</t>
  </si>
  <si>
    <t>kg</t>
  </si>
  <si>
    <t>ha</t>
  </si>
  <si>
    <t>N excreted</t>
  </si>
  <si>
    <t>Land area</t>
  </si>
  <si>
    <t>N excretion per pig produced</t>
  </si>
  <si>
    <t>Liquid</t>
  </si>
  <si>
    <t>Pig feed N</t>
  </si>
  <si>
    <t>Pig excretion</t>
  </si>
  <si>
    <t>Totals</t>
  </si>
  <si>
    <t>% of N input</t>
  </si>
  <si>
    <t>Nitrogen</t>
  </si>
  <si>
    <t>Losses</t>
  </si>
  <si>
    <t>% of losses</t>
  </si>
  <si>
    <t>Organic matter</t>
  </si>
  <si>
    <t>Water</t>
  </si>
  <si>
    <t>In</t>
  </si>
  <si>
    <t>Out</t>
  </si>
  <si>
    <t>%</t>
  </si>
  <si>
    <t>Change in soil</t>
  </si>
  <si>
    <t>Check</t>
  </si>
  <si>
    <t>Prestore</t>
  </si>
  <si>
    <t>Solid</t>
  </si>
  <si>
    <t>N in struct</t>
  </si>
  <si>
    <t>Total N in</t>
  </si>
  <si>
    <t>% of N lost</t>
  </si>
  <si>
    <t>Combined</t>
  </si>
  <si>
    <t>Growth</t>
  </si>
  <si>
    <t>SOM</t>
  </si>
  <si>
    <t>Storage -reject</t>
  </si>
  <si>
    <t>Storage -solid</t>
  </si>
  <si>
    <t>Field - reject</t>
  </si>
  <si>
    <t>Field - solid</t>
  </si>
  <si>
    <t>Field - Nfrac</t>
  </si>
  <si>
    <t>totals</t>
  </si>
  <si>
    <t>Reject</t>
  </si>
  <si>
    <t>Nfrac</t>
  </si>
  <si>
    <t>P</t>
  </si>
  <si>
    <t>Num finishing pigs produced</t>
  </si>
  <si>
    <t>1,170.766</t>
  </si>
  <si>
    <t>Max manure N/ha</t>
  </si>
  <si>
    <t>total N</t>
  </si>
  <si>
    <t>Ex storage</t>
  </si>
  <si>
    <t>Liq</t>
  </si>
  <si>
    <t>Suppl N</t>
  </si>
  <si>
    <t>Suppl feedstock</t>
  </si>
  <si>
    <t>Digester</t>
  </si>
  <si>
    <t>tot N in</t>
  </si>
  <si>
    <t>Biogas</t>
  </si>
  <si>
    <t>P in manure on donor farm kg/ha</t>
  </si>
  <si>
    <t>P in manure on recipient farm kg/ha</t>
  </si>
  <si>
    <t>ha required, recipient farm N limiting</t>
  </si>
  <si>
    <t>ha required, recipient farm P limiting</t>
  </si>
  <si>
    <t>kg P home product 1 ex storage per pig produced</t>
  </si>
  <si>
    <t>kg P home product 2 ex storage per pig produced</t>
  </si>
  <si>
    <t>Proportion of N exported</t>
  </si>
  <si>
    <t>Total kg N ex storage per pig produced</t>
  </si>
  <si>
    <t>Nitrate leaching per ha donor farm</t>
  </si>
  <si>
    <t>Nitrate leaching per ha recipient farm</t>
  </si>
  <si>
    <t>Proportion nitrate leaching exported</t>
  </si>
  <si>
    <t>Max manure P kg/ha</t>
  </si>
  <si>
    <t>tot gaseous</t>
  </si>
  <si>
    <t>kg P exported per kg N exported</t>
  </si>
  <si>
    <t>N applied on donor farm, kg/ha</t>
  </si>
  <si>
    <t>Both N and P limiting</t>
  </si>
  <si>
    <t>Total</t>
  </si>
  <si>
    <t>N applied on recipient farm, kg/ha</t>
  </si>
  <si>
    <t>P applied on donor farm, kg/ha</t>
  </si>
  <si>
    <t>P limitation</t>
  </si>
  <si>
    <t>N limitation</t>
  </si>
  <si>
    <t>NH3 emission housing, kg/pig prod</t>
  </si>
  <si>
    <t>NH3 emission storage, kg/pig prod</t>
  </si>
  <si>
    <t>NH3 emission donor field, kg/ha</t>
  </si>
  <si>
    <t>Total donor NH3 emission, kg/ha</t>
  </si>
  <si>
    <t>Require no increase in donor farm NH3 emission</t>
  </si>
  <si>
    <t>Max pigs produced donor farm</t>
  </si>
  <si>
    <t>Total housing + storage NH3 emission, kg/pig prod</t>
  </si>
  <si>
    <t>Would using a housing NH3 scrubber be solution?</t>
  </si>
  <si>
    <t>Controlling NH3 emission on donor farm</t>
  </si>
  <si>
    <t>Parameter sensitivity</t>
  </si>
  <si>
    <t>SepChiN</t>
  </si>
  <si>
    <t>BaseHiN</t>
  </si>
  <si>
    <t>BiogasHiN</t>
  </si>
  <si>
    <t>NstripHiN</t>
  </si>
  <si>
    <t>SepSHiN</t>
  </si>
  <si>
    <t>Base</t>
  </si>
  <si>
    <t>SepC</t>
  </si>
  <si>
    <t>Nstrip</t>
  </si>
  <si>
    <t>SepS</t>
  </si>
  <si>
    <t>BaseOM</t>
  </si>
  <si>
    <t>BiogasOM</t>
  </si>
  <si>
    <t>SepCOM</t>
  </si>
  <si>
    <t>NstripOM</t>
  </si>
  <si>
    <t>SepSOM</t>
  </si>
  <si>
    <t>BaseNC</t>
  </si>
  <si>
    <t>SepCPS</t>
  </si>
  <si>
    <t>SepSPS</t>
  </si>
  <si>
    <t>Ash</t>
  </si>
  <si>
    <t>Adjust</t>
  </si>
  <si>
    <t>Housing NH3 emission</t>
  </si>
  <si>
    <t>house</t>
  </si>
  <si>
    <t>store + prestore</t>
  </si>
  <si>
    <t>field</t>
  </si>
  <si>
    <t>abs</t>
  </si>
  <si>
    <t>Absolute values</t>
  </si>
  <si>
    <t>All values are percentages of amount in excreta</t>
  </si>
  <si>
    <t>Mass</t>
  </si>
  <si>
    <t>Housing emission with scubber (kg/ha)</t>
  </si>
  <si>
    <t>Donor farm NH3 emission, kg/ha</t>
  </si>
  <si>
    <t>NH3 emission housing (kg/ha)</t>
  </si>
  <si>
    <t>NH3 emission storage, kg/ha</t>
  </si>
  <si>
    <t>NH3 emission donor field,injection kg/ha</t>
  </si>
  <si>
    <t>CompostPS</t>
  </si>
  <si>
    <t xml:space="preserve">N2 </t>
  </si>
  <si>
    <t>CompHi</t>
  </si>
  <si>
    <t>CompCOM</t>
  </si>
  <si>
    <t>NStrip99</t>
  </si>
  <si>
    <t>kg N product 1 ex store per kg excreted</t>
  </si>
  <si>
    <t>kg N product 1 ex store per pig produced</t>
  </si>
  <si>
    <t>kg N product 2 ex store per kg excreted</t>
  </si>
  <si>
    <t>kg N product 2 ex store per pig produced</t>
  </si>
  <si>
    <t>kg N product 3 ex store per pig produced</t>
  </si>
  <si>
    <t>P applied on recipient farm, kg/ha</t>
  </si>
  <si>
    <t>ha required, recipient farm N &amp; P limiting</t>
  </si>
  <si>
    <t>OM</t>
  </si>
  <si>
    <t>litres/kg VS</t>
  </si>
  <si>
    <t>StorageLF</t>
  </si>
  <si>
    <t>StorageSF</t>
  </si>
  <si>
    <t>FieldLF</t>
  </si>
  <si>
    <t>FieldSF</t>
  </si>
  <si>
    <t>P pig</t>
  </si>
  <si>
    <t>P supp</t>
  </si>
  <si>
    <t>P ex store</t>
  </si>
  <si>
    <t>% diff</t>
  </si>
  <si>
    <t>Avail N req</t>
  </si>
  <si>
    <t>Slurry</t>
  </si>
  <si>
    <t>Liq frac</t>
  </si>
  <si>
    <t>Avail N applied donor (kg/ha)</t>
  </si>
  <si>
    <t>NH3 emission mineral fert (kg/ha)</t>
  </si>
  <si>
    <t>EF mineral N</t>
  </si>
  <si>
    <t>Fert N required, donor (kg/ha)</t>
  </si>
  <si>
    <t>Proportion og P exported</t>
  </si>
  <si>
    <t>kg/ha</t>
  </si>
  <si>
    <t>straw DM req</t>
  </si>
  <si>
    <t>stripped N</t>
  </si>
  <si>
    <t>kg fert required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</si>
</sst>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10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4" fontId="3" fillId="0" borderId="0" xfId="0" applyNumberFormat="1" applyFont="1"/>
    <xf numFmtId="1" fontId="0" fillId="0" borderId="0" xfId="0" applyNumberFormat="1"/>
    <xf numFmtId="0" fontId="3" fillId="0" borderId="0" xfId="0" applyFont="1"/>
    <xf numFmtId="0" fontId="5" fillId="0" borderId="0" xfId="0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65" fontId="0" fillId="0" borderId="0" xfId="0" applyNumberFormat="1"/>
    <xf numFmtId="166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7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budget'!$E$4</c:f>
              <c:strCache>
                <c:ptCount val="1"/>
                <c:pt idx="0">
                  <c:v>N2O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budget'!$E$5:$E$10</c:f>
              <c:numCache>
                <c:formatCode>0.0</c:formatCode>
                <c:ptCount val="6"/>
                <c:pt idx="0">
                  <c:v>1.4080777966453251</c:v>
                </c:pt>
                <c:pt idx="1">
                  <c:v>1.4291930824284227</c:v>
                </c:pt>
                <c:pt idx="2">
                  <c:v>1.4739064095336669</c:v>
                </c:pt>
                <c:pt idx="3">
                  <c:v>1.4235621049756677</c:v>
                </c:pt>
                <c:pt idx="4">
                  <c:v>1.4968533463694413</c:v>
                </c:pt>
                <c:pt idx="5">
                  <c:v>1.3726028116267759</c:v>
                </c:pt>
              </c:numCache>
            </c:numRef>
          </c:val>
        </c:ser>
        <c:dLbls/>
        <c:axId val="265755648"/>
        <c:axId val="265777920"/>
      </c:barChart>
      <c:catAx>
        <c:axId val="265755648"/>
        <c:scaling>
          <c:orientation val="minMax"/>
        </c:scaling>
        <c:axPos val="b"/>
        <c:tickLblPos val="nextTo"/>
        <c:crossAx val="265777920"/>
        <c:crosses val="autoZero"/>
        <c:auto val="1"/>
        <c:lblAlgn val="ctr"/>
        <c:lblOffset val="100"/>
      </c:catAx>
      <c:valAx>
        <c:axId val="265777920"/>
        <c:scaling>
          <c:orientation val="minMax"/>
          <c:max val="1.6"/>
          <c:min val="1.3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% of N input</a:t>
                </a:r>
                <a:endParaRPr lang="en-US"/>
              </a:p>
            </c:rich>
          </c:tx>
          <c:layout/>
        </c:title>
        <c:numFmt formatCode="0.00" sourceLinked="0"/>
        <c:tickLblPos val="nextTo"/>
        <c:crossAx val="265755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budget'!$N$4</c:f>
              <c:strCache>
                <c:ptCount val="1"/>
                <c:pt idx="0">
                  <c:v>NH3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budget'!$N$5:$N$10</c:f>
              <c:numCache>
                <c:formatCode>0.00</c:formatCode>
                <c:ptCount val="6"/>
                <c:pt idx="0">
                  <c:v>2.06326528</c:v>
                </c:pt>
                <c:pt idx="1">
                  <c:v>2.0299883400000001</c:v>
                </c:pt>
                <c:pt idx="2">
                  <c:v>2.1164523059999998</c:v>
                </c:pt>
                <c:pt idx="3">
                  <c:v>2.0633974499999996</c:v>
                </c:pt>
                <c:pt idx="4">
                  <c:v>1.8079262899999997</c:v>
                </c:pt>
                <c:pt idx="5">
                  <c:v>2.2878525099999996</c:v>
                </c:pt>
              </c:numCache>
            </c:numRef>
          </c:val>
        </c:ser>
        <c:dLbls/>
        <c:axId val="111108480"/>
        <c:axId val="111110016"/>
      </c:barChart>
      <c:catAx>
        <c:axId val="111108480"/>
        <c:scaling>
          <c:orientation val="minMax"/>
        </c:scaling>
        <c:axPos val="b"/>
        <c:tickLblPos val="nextTo"/>
        <c:crossAx val="111110016"/>
        <c:crosses val="autoZero"/>
        <c:auto val="1"/>
        <c:lblAlgn val="ctr"/>
        <c:lblOffset val="100"/>
      </c:catAx>
      <c:valAx>
        <c:axId val="1111100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/>
                  <a:t>kg N/1000 kg </a:t>
                </a:r>
                <a:r>
                  <a:rPr lang="en-US" sz="1000" b="1" i="0" u="none" strike="noStrike" baseline="0"/>
                  <a:t>excreta </a:t>
                </a:r>
                <a:endParaRPr lang="en-US" sz="1000" b="1" i="0" baseline="0"/>
              </a:p>
            </c:rich>
          </c:tx>
          <c:layout/>
        </c:title>
        <c:numFmt formatCode="0.00" sourceLinked="1"/>
        <c:tickLblPos val="nextTo"/>
        <c:crossAx val="111108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budget'!$P$4</c:f>
              <c:strCache>
                <c:ptCount val="1"/>
                <c:pt idx="0">
                  <c:v>N2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budget'!$P$5:$P$10</c:f>
              <c:numCache>
                <c:formatCode>0.00</c:formatCode>
                <c:ptCount val="6"/>
                <c:pt idx="0">
                  <c:v>0.20123379999999993</c:v>
                </c:pt>
                <c:pt idx="1">
                  <c:v>0.18934428599999997</c:v>
                </c:pt>
                <c:pt idx="2">
                  <c:v>0.21074909999999997</c:v>
                </c:pt>
                <c:pt idx="3">
                  <c:v>0.18861142799999991</c:v>
                </c:pt>
                <c:pt idx="4">
                  <c:v>0.15545163799999995</c:v>
                </c:pt>
                <c:pt idx="5">
                  <c:v>0.19020159999999997</c:v>
                </c:pt>
              </c:numCache>
            </c:numRef>
          </c:val>
        </c:ser>
        <c:dLbls/>
        <c:axId val="111675648"/>
        <c:axId val="111693824"/>
      </c:barChart>
      <c:catAx>
        <c:axId val="111675648"/>
        <c:scaling>
          <c:orientation val="minMax"/>
        </c:scaling>
        <c:axPos val="b"/>
        <c:tickLblPos val="nextTo"/>
        <c:crossAx val="111693824"/>
        <c:crosses val="autoZero"/>
        <c:auto val="1"/>
        <c:lblAlgn val="ctr"/>
        <c:lblOffset val="100"/>
      </c:catAx>
      <c:valAx>
        <c:axId val="111693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/>
                  <a:t>kg N/1000 kg </a:t>
                </a:r>
                <a:r>
                  <a:rPr lang="en-US" sz="1000" b="1" i="0" u="none" strike="noStrike" baseline="0"/>
                  <a:t>excreta </a:t>
                </a:r>
                <a:endParaRPr lang="en-US" sz="1000" b="1" i="0" baseline="0"/>
              </a:p>
            </c:rich>
          </c:tx>
          <c:layout/>
        </c:title>
        <c:numFmt formatCode="0.00" sourceLinked="1"/>
        <c:tickLblPos val="nextTo"/>
        <c:crossAx val="111675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budget'!$G$4</c:f>
              <c:strCache>
                <c:ptCount val="1"/>
                <c:pt idx="0">
                  <c:v>NO3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budget'!$G$5:$G$10</c:f>
              <c:numCache>
                <c:formatCode>0.0</c:formatCode>
                <c:ptCount val="6"/>
                <c:pt idx="0">
                  <c:v>27.809540858759338</c:v>
                </c:pt>
                <c:pt idx="1">
                  <c:v>28.030351409744316</c:v>
                </c:pt>
                <c:pt idx="2">
                  <c:v>27.342521856915077</c:v>
                </c:pt>
                <c:pt idx="3">
                  <c:v>27.172735313364331</c:v>
                </c:pt>
                <c:pt idx="4">
                  <c:v>29.27177960945037</c:v>
                </c:pt>
                <c:pt idx="5">
                  <c:v>32.256174985691388</c:v>
                </c:pt>
              </c:numCache>
            </c:numRef>
          </c:val>
        </c:ser>
        <c:dLbls/>
        <c:axId val="110711552"/>
        <c:axId val="110713088"/>
      </c:barChart>
      <c:catAx>
        <c:axId val="110711552"/>
        <c:scaling>
          <c:orientation val="minMax"/>
        </c:scaling>
        <c:axPos val="b"/>
        <c:tickLblPos val="nextTo"/>
        <c:crossAx val="110713088"/>
        <c:crosses val="autoZero"/>
        <c:auto val="1"/>
        <c:lblAlgn val="ctr"/>
        <c:lblOffset val="100"/>
      </c:catAx>
      <c:valAx>
        <c:axId val="1107130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of N input 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529341644794414"/>
            </c:manualLayout>
          </c:layout>
        </c:title>
        <c:numFmt formatCode="0.0" sourceLinked="1"/>
        <c:tickLblPos val="nextTo"/>
        <c:crossAx val="110711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budget'!$H$4</c:f>
              <c:strCache>
                <c:ptCount val="1"/>
                <c:pt idx="0">
                  <c:v>Crop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budget'!$H$5:$H$10</c:f>
              <c:numCache>
                <c:formatCode>0.0</c:formatCode>
                <c:ptCount val="6"/>
                <c:pt idx="0">
                  <c:v>36.187592574582517</c:v>
                </c:pt>
                <c:pt idx="1">
                  <c:v>38.107411905145099</c:v>
                </c:pt>
                <c:pt idx="2">
                  <c:v>37.121304072446435</c:v>
                </c:pt>
                <c:pt idx="3">
                  <c:v>36.771088930984654</c:v>
                </c:pt>
                <c:pt idx="4">
                  <c:v>41.304513035103682</c:v>
                </c:pt>
                <c:pt idx="5">
                  <c:v>32.942475705930761</c:v>
                </c:pt>
              </c:numCache>
            </c:numRef>
          </c:val>
        </c:ser>
        <c:dLbls/>
        <c:axId val="110721664"/>
        <c:axId val="110739840"/>
      </c:barChart>
      <c:catAx>
        <c:axId val="110721664"/>
        <c:scaling>
          <c:orientation val="minMax"/>
        </c:scaling>
        <c:axPos val="b"/>
        <c:tickLblPos val="nextTo"/>
        <c:crossAx val="110739840"/>
        <c:crosses val="autoZero"/>
        <c:auto val="1"/>
        <c:lblAlgn val="ctr"/>
        <c:lblOffset val="100"/>
      </c:catAx>
      <c:valAx>
        <c:axId val="110739840"/>
        <c:scaling>
          <c:orientation val="minMax"/>
          <c:max val="50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% of N input</a:t>
                </a:r>
                <a:endParaRPr lang="en-US"/>
              </a:p>
            </c:rich>
          </c:tx>
          <c:layout/>
        </c:title>
        <c:numFmt formatCode="0.0" sourceLinked="1"/>
        <c:tickLblPos val="nextTo"/>
        <c:crossAx val="110721664"/>
        <c:crosses val="autoZero"/>
        <c:crossBetween val="between"/>
        <c:majorUnit val="10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Change in Soil 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budget'!$I$4</c:f>
              <c:strCache>
                <c:ptCount val="1"/>
                <c:pt idx="0">
                  <c:v>Soil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budget'!$I$5:$I$10</c:f>
              <c:numCache>
                <c:formatCode>0.0</c:formatCode>
                <c:ptCount val="6"/>
                <c:pt idx="0">
                  <c:v>2.1121162646387255</c:v>
                </c:pt>
                <c:pt idx="1">
                  <c:v>0.59824603530478626</c:v>
                </c:pt>
                <c:pt idx="2">
                  <c:v>1.0257435252420333</c:v>
                </c:pt>
                <c:pt idx="3">
                  <c:v>2.329109508182424</c:v>
                </c:pt>
                <c:pt idx="4">
                  <c:v>-0.23645554426180304</c:v>
                </c:pt>
                <c:pt idx="5">
                  <c:v>-0.54904126176551271</c:v>
                </c:pt>
              </c:numCache>
            </c:numRef>
          </c:val>
        </c:ser>
        <c:dLbls/>
        <c:axId val="110842624"/>
        <c:axId val="110844160"/>
      </c:barChart>
      <c:catAx>
        <c:axId val="110842624"/>
        <c:scaling>
          <c:orientation val="minMax"/>
        </c:scaling>
        <c:axPos val="b"/>
        <c:tickLblPos val="nextTo"/>
        <c:crossAx val="110844160"/>
        <c:crosses val="autoZero"/>
        <c:auto val="1"/>
        <c:lblAlgn val="ctr"/>
        <c:lblOffset val="100"/>
      </c:catAx>
      <c:valAx>
        <c:axId val="1108441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% of N input</a:t>
                </a:r>
                <a:endParaRPr lang="en-US"/>
              </a:p>
            </c:rich>
          </c:tx>
          <c:layout/>
        </c:title>
        <c:numFmt formatCode="0.0" sourceLinked="1"/>
        <c:tickLblPos val="nextTo"/>
        <c:crossAx val="110842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budget'!$D$4</c:f>
              <c:strCache>
                <c:ptCount val="1"/>
                <c:pt idx="0">
                  <c:v>NH3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budget'!$D$5:$D$10</c:f>
              <c:numCache>
                <c:formatCode>0.0</c:formatCode>
                <c:ptCount val="6"/>
                <c:pt idx="0">
                  <c:v>29.596114184140188</c:v>
                </c:pt>
                <c:pt idx="1">
                  <c:v>29.118779482933576</c:v>
                </c:pt>
                <c:pt idx="2">
                  <c:v>30.044763277000946</c:v>
                </c:pt>
                <c:pt idx="3">
                  <c:v>29.598010071426049</c:v>
                </c:pt>
                <c:pt idx="4">
                  <c:v>25.933452878802353</c:v>
                </c:pt>
                <c:pt idx="5">
                  <c:v>31.369844473147751</c:v>
                </c:pt>
              </c:numCache>
            </c:numRef>
          </c:val>
        </c:ser>
        <c:dLbls/>
        <c:axId val="110869120"/>
        <c:axId val="110875008"/>
      </c:barChart>
      <c:catAx>
        <c:axId val="110869120"/>
        <c:scaling>
          <c:orientation val="minMax"/>
        </c:scaling>
        <c:axPos val="b"/>
        <c:tickLblPos val="nextTo"/>
        <c:crossAx val="110875008"/>
        <c:crosses val="autoZero"/>
        <c:auto val="1"/>
        <c:lblAlgn val="ctr"/>
        <c:lblOffset val="100"/>
      </c:catAx>
      <c:valAx>
        <c:axId val="1108750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% of N input</a:t>
                </a:r>
                <a:endParaRPr lang="en-US"/>
              </a:p>
            </c:rich>
          </c:tx>
          <c:layout/>
        </c:title>
        <c:numFmt formatCode="0.0" sourceLinked="1"/>
        <c:tickLblPos val="nextTo"/>
        <c:crossAx val="110869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budget'!$Q$4</c:f>
              <c:strCache>
                <c:ptCount val="1"/>
                <c:pt idx="0">
                  <c:v>NO3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budget'!$Q$5:$Q$10</c:f>
              <c:numCache>
                <c:formatCode>0.00</c:formatCode>
                <c:ptCount val="6"/>
                <c:pt idx="0">
                  <c:v>1.9387159999999997</c:v>
                </c:pt>
                <c:pt idx="1">
                  <c:v>1.9541095999999996</c:v>
                </c:pt>
                <c:pt idx="2">
                  <c:v>1.9260974999999996</c:v>
                </c:pt>
                <c:pt idx="3">
                  <c:v>1.8943216999999997</c:v>
                </c:pt>
                <c:pt idx="4">
                  <c:v>2.0406545999999994</c:v>
                </c:pt>
                <c:pt idx="5">
                  <c:v>2.3524939999999996</c:v>
                </c:pt>
              </c:numCache>
            </c:numRef>
          </c:val>
        </c:ser>
        <c:dLbls/>
        <c:axId val="110891776"/>
        <c:axId val="110893312"/>
      </c:barChart>
      <c:catAx>
        <c:axId val="110891776"/>
        <c:scaling>
          <c:orientation val="minMax"/>
        </c:scaling>
        <c:axPos val="b"/>
        <c:tickLblPos val="nextTo"/>
        <c:crossAx val="110893312"/>
        <c:crosses val="autoZero"/>
        <c:auto val="1"/>
        <c:lblAlgn val="ctr"/>
        <c:lblOffset val="100"/>
      </c:catAx>
      <c:valAx>
        <c:axId val="110893312"/>
        <c:scaling>
          <c:orientation val="minMax"/>
          <c:max val="3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kg N/1000 kg excreta </a:t>
                </a:r>
              </a:p>
            </c:rich>
          </c:tx>
          <c:layout/>
        </c:title>
        <c:numFmt formatCode="0.00" sourceLinked="1"/>
        <c:tickLblPos val="nextTo"/>
        <c:crossAx val="110891776"/>
        <c:crosses val="autoZero"/>
        <c:crossBetween val="between"/>
        <c:majorUnit val="0.5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budget'!$O$4</c:f>
              <c:strCache>
                <c:ptCount val="1"/>
                <c:pt idx="0">
                  <c:v>N2O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budget'!$O$5:$O$10</c:f>
              <c:numCache>
                <c:formatCode>0.00</c:formatCode>
                <c:ptCount val="6"/>
                <c:pt idx="0">
                  <c:v>9.816281999999997E-2</c:v>
                </c:pt>
                <c:pt idx="1">
                  <c:v>9.9634852299999993E-2</c:v>
                </c:pt>
                <c:pt idx="2">
                  <c:v>0.10382683300000001</c:v>
                </c:pt>
                <c:pt idx="3">
                  <c:v>9.9242293999999981E-2</c:v>
                </c:pt>
                <c:pt idx="4">
                  <c:v>0.10435172400000001</c:v>
                </c:pt>
                <c:pt idx="5">
                  <c:v>0.1001061</c:v>
                </c:pt>
              </c:numCache>
            </c:numRef>
          </c:val>
        </c:ser>
        <c:dLbls/>
        <c:axId val="110930560"/>
        <c:axId val="110961024"/>
      </c:barChart>
      <c:catAx>
        <c:axId val="110930560"/>
        <c:scaling>
          <c:orientation val="minMax"/>
        </c:scaling>
        <c:axPos val="b"/>
        <c:tickLblPos val="nextTo"/>
        <c:crossAx val="110961024"/>
        <c:crosses val="autoZero"/>
        <c:auto val="1"/>
        <c:lblAlgn val="ctr"/>
        <c:lblOffset val="100"/>
      </c:catAx>
      <c:valAx>
        <c:axId val="110961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kg N/1000 kg </a:t>
                </a:r>
                <a:r>
                  <a:rPr lang="en-US" sz="1000" b="1" i="0" u="none" strike="noStrike" baseline="0"/>
                  <a:t>excreta </a:t>
                </a:r>
                <a:endParaRPr lang="en-GB" sz="1000"/>
              </a:p>
            </c:rich>
          </c:tx>
          <c:layout/>
        </c:title>
        <c:numFmt formatCode="0.000" sourceLinked="0"/>
        <c:tickLblPos val="nextTo"/>
        <c:crossAx val="110930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budget'!$R$4</c:f>
              <c:strCache>
                <c:ptCount val="1"/>
                <c:pt idx="0">
                  <c:v>Crop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budget'!$R$5:$R$10</c:f>
              <c:numCache>
                <c:formatCode>0.00</c:formatCode>
                <c:ptCount val="6"/>
                <c:pt idx="0">
                  <c:v>2.5227839999999997</c:v>
                </c:pt>
                <c:pt idx="1">
                  <c:v>2.6566223999999994</c:v>
                </c:pt>
                <c:pt idx="2">
                  <c:v>2.6149471999999996</c:v>
                </c:pt>
                <c:pt idx="3">
                  <c:v>2.5634618999999996</c:v>
                </c:pt>
                <c:pt idx="4">
                  <c:v>2.8795052999999995</c:v>
                </c:pt>
                <c:pt idx="5">
                  <c:v>2.4025469999999998</c:v>
                </c:pt>
              </c:numCache>
            </c:numRef>
          </c:val>
        </c:ser>
        <c:dLbls/>
        <c:axId val="111031040"/>
        <c:axId val="111032576"/>
      </c:barChart>
      <c:catAx>
        <c:axId val="111031040"/>
        <c:scaling>
          <c:orientation val="minMax"/>
        </c:scaling>
        <c:axPos val="b"/>
        <c:tickLblPos val="nextTo"/>
        <c:crossAx val="111032576"/>
        <c:crosses val="autoZero"/>
        <c:auto val="1"/>
        <c:lblAlgn val="ctr"/>
        <c:lblOffset val="100"/>
      </c:catAx>
      <c:valAx>
        <c:axId val="111032576"/>
        <c:scaling>
          <c:orientation val="minMax"/>
          <c:max val="4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/>
                  <a:t>kg N/1000 kg </a:t>
                </a:r>
                <a:r>
                  <a:rPr lang="en-US" sz="1000" b="1" i="0" u="none" strike="noStrike" baseline="0"/>
                  <a:t>excreta </a:t>
                </a:r>
                <a:endParaRPr lang="en-GB" sz="1000"/>
              </a:p>
            </c:rich>
          </c:tx>
          <c:layout/>
        </c:title>
        <c:numFmt formatCode="0.00" sourceLinked="1"/>
        <c:tickLblPos val="nextTo"/>
        <c:crossAx val="111031040"/>
        <c:crosses val="autoZero"/>
        <c:crossBetween val="between"/>
        <c:majorUnit val="0.5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Change in Soil 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 &amp; OM budget'!$S$4</c:f>
              <c:strCache>
                <c:ptCount val="1"/>
                <c:pt idx="0">
                  <c:v>Soil</c:v>
                </c:pt>
              </c:strCache>
            </c:strRef>
          </c:tx>
          <c:cat>
            <c:strRef>
              <c:f>'N &amp; OM budget'!$A$5:$A$10</c:f>
              <c:strCache>
                <c:ptCount val="6"/>
                <c:pt idx="0">
                  <c:v>Baseline</c:v>
                </c:pt>
                <c:pt idx="1">
                  <c:v>Sep S</c:v>
                </c:pt>
                <c:pt idx="2">
                  <c:v>Compost</c:v>
                </c:pt>
                <c:pt idx="3">
                  <c:v>Sep C</c:v>
                </c:pt>
                <c:pt idx="4">
                  <c:v>N strip</c:v>
                </c:pt>
                <c:pt idx="5">
                  <c:v>Biogas</c:v>
                </c:pt>
              </c:strCache>
            </c:strRef>
          </c:cat>
          <c:val>
            <c:numRef>
              <c:f>'N &amp; OM budget'!$S$5:$S$10</c:f>
              <c:numCache>
                <c:formatCode>0.00</c:formatCode>
                <c:ptCount val="6"/>
                <c:pt idx="0">
                  <c:v>0.14724419999999996</c:v>
                </c:pt>
                <c:pt idx="1">
                  <c:v>4.1706159999999978E-2</c:v>
                </c:pt>
                <c:pt idx="2">
                  <c:v>7.2256759999999989E-2</c:v>
                </c:pt>
                <c:pt idx="3">
                  <c:v>0.16237167999999996</c:v>
                </c:pt>
                <c:pt idx="4">
                  <c:v>-1.6484275999999992E-2</c:v>
                </c:pt>
                <c:pt idx="5">
                  <c:v>-4.004245E-2</c:v>
                </c:pt>
              </c:numCache>
            </c:numRef>
          </c:val>
        </c:ser>
        <c:dLbls/>
        <c:axId val="111044864"/>
        <c:axId val="111050752"/>
      </c:barChart>
      <c:catAx>
        <c:axId val="111044864"/>
        <c:scaling>
          <c:orientation val="minMax"/>
        </c:scaling>
        <c:axPos val="b"/>
        <c:tickLblPos val="nextTo"/>
        <c:crossAx val="111050752"/>
        <c:crosses val="autoZero"/>
        <c:auto val="1"/>
        <c:lblAlgn val="ctr"/>
        <c:lblOffset val="100"/>
      </c:catAx>
      <c:valAx>
        <c:axId val="111050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kg N/1000 kg excreta 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111044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161925</xdr:rowOff>
    </xdr:from>
    <xdr:to>
      <xdr:col>6</xdr:col>
      <xdr:colOff>542925</xdr:colOff>
      <xdr:row>41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</xdr:row>
      <xdr:rowOff>9525</xdr:rowOff>
    </xdr:from>
    <xdr:to>
      <xdr:col>6</xdr:col>
      <xdr:colOff>542925</xdr:colOff>
      <xdr:row>26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42</xdr:row>
      <xdr:rowOff>104775</xdr:rowOff>
    </xdr:from>
    <xdr:to>
      <xdr:col>7</xdr:col>
      <xdr:colOff>85725</xdr:colOff>
      <xdr:row>56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504825</xdr:colOff>
      <xdr:row>73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6</xdr:col>
      <xdr:colOff>504825</xdr:colOff>
      <xdr:row>89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11</xdr:row>
      <xdr:rowOff>161925</xdr:rowOff>
    </xdr:from>
    <xdr:to>
      <xdr:col>17</xdr:col>
      <xdr:colOff>419100</xdr:colOff>
      <xdr:row>26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133350</xdr:colOff>
      <xdr:row>26</xdr:row>
      <xdr:rowOff>180975</xdr:rowOff>
    </xdr:from>
    <xdr:to>
      <xdr:col>17</xdr:col>
      <xdr:colOff>438150</xdr:colOff>
      <xdr:row>41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104775</xdr:colOff>
      <xdr:row>42</xdr:row>
      <xdr:rowOff>114300</xdr:rowOff>
    </xdr:from>
    <xdr:to>
      <xdr:col>17</xdr:col>
      <xdr:colOff>409575</xdr:colOff>
      <xdr:row>57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57150</xdr:colOff>
      <xdr:row>58</xdr:row>
      <xdr:rowOff>57150</xdr:rowOff>
    </xdr:from>
    <xdr:to>
      <xdr:col>17</xdr:col>
      <xdr:colOff>361950</xdr:colOff>
      <xdr:row>72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</xdr:colOff>
      <xdr:row>74</xdr:row>
      <xdr:rowOff>38100</xdr:rowOff>
    </xdr:from>
    <xdr:to>
      <xdr:col>17</xdr:col>
      <xdr:colOff>342900</xdr:colOff>
      <xdr:row>88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17</xdr:col>
      <xdr:colOff>304800</xdr:colOff>
      <xdr:row>106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/Balance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rew_press/Balance_Sep_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crew_press/Balance_Comp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ifuge/Balance_Sep_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ifuge/Balance_N_Stri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iogas/Bioga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/Balance_Base_O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ifuge/Balance_Sep_CP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ifuge/Balance_N_Strip9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3"/>
      <sheetName val="Storage"/>
      <sheetName val="Sheet4"/>
      <sheetName val="Field"/>
      <sheetName val="Summary"/>
    </sheetNames>
    <sheetDataSet>
      <sheetData sheetId="0"/>
      <sheetData sheetId="1">
        <row r="4">
          <cell r="C4">
            <v>11.712160000000001</v>
          </cell>
        </row>
        <row r="5">
          <cell r="D5">
            <v>4.7407529999999998</v>
          </cell>
        </row>
        <row r="6">
          <cell r="E6">
            <v>4.9803389999999998</v>
          </cell>
        </row>
        <row r="7">
          <cell r="E7">
            <v>1.9910669999999999</v>
          </cell>
        </row>
        <row r="10">
          <cell r="E10">
            <v>1.152641</v>
          </cell>
        </row>
        <row r="17">
          <cell r="E17">
            <v>26.246739999999999</v>
          </cell>
        </row>
        <row r="28">
          <cell r="C28">
            <v>52.845260000000003</v>
          </cell>
        </row>
        <row r="30">
          <cell r="C30">
            <v>920.90800000000002</v>
          </cell>
        </row>
      </sheetData>
      <sheetData sheetId="2">
        <row r="22">
          <cell r="B22">
            <v>2.257501</v>
          </cell>
        </row>
        <row r="23">
          <cell r="B23">
            <v>1.466456</v>
          </cell>
        </row>
      </sheetData>
      <sheetData sheetId="3">
        <row r="7">
          <cell r="D7">
            <v>1.337172</v>
          </cell>
        </row>
        <row r="20">
          <cell r="C20">
            <v>169.31257500000001</v>
          </cell>
        </row>
        <row r="21">
          <cell r="C21">
            <v>56.437525000000001</v>
          </cell>
        </row>
        <row r="22">
          <cell r="C22">
            <v>0</v>
          </cell>
          <cell r="D22">
            <v>2.7960430000000001</v>
          </cell>
        </row>
        <row r="23">
          <cell r="D23">
            <v>47.407530000000001</v>
          </cell>
        </row>
        <row r="31">
          <cell r="D31">
            <v>9.7763729999999995</v>
          </cell>
        </row>
      </sheetData>
      <sheetData sheetId="4">
        <row r="13">
          <cell r="C13">
            <v>1.832581</v>
          </cell>
        </row>
      </sheetData>
      <sheetData sheetId="5">
        <row r="5">
          <cell r="D5">
            <v>0</v>
          </cell>
        </row>
        <row r="6">
          <cell r="D6">
            <v>0</v>
          </cell>
        </row>
        <row r="7">
          <cell r="D7">
            <v>4.3117179999999998E-2</v>
          </cell>
        </row>
        <row r="8">
          <cell r="E8">
            <v>4.2686000000000002</v>
          </cell>
        </row>
        <row r="11">
          <cell r="E11">
            <v>1.322516</v>
          </cell>
        </row>
        <row r="13">
          <cell r="E13">
            <v>1.152641</v>
          </cell>
        </row>
        <row r="22">
          <cell r="C22">
            <v>0</v>
          </cell>
          <cell r="D22">
            <v>2.278775</v>
          </cell>
        </row>
        <row r="31">
          <cell r="D31">
            <v>7.9677439999999997</v>
          </cell>
        </row>
      </sheetData>
      <sheetData sheetId="6"/>
      <sheetData sheetId="7">
        <row r="7">
          <cell r="D7">
            <v>0.20123379999999999</v>
          </cell>
        </row>
        <row r="8">
          <cell r="D8">
            <v>9.8162819999999998E-2</v>
          </cell>
        </row>
        <row r="9">
          <cell r="D9">
            <v>0.68297609999999997</v>
          </cell>
        </row>
        <row r="10">
          <cell r="D10">
            <v>1.9387160000000001</v>
          </cell>
        </row>
        <row r="11">
          <cell r="E11">
            <v>2.5227840000000001</v>
          </cell>
        </row>
        <row r="12">
          <cell r="E12">
            <v>0.14724419999999999</v>
          </cell>
        </row>
        <row r="18">
          <cell r="D18">
            <v>32.471780000000003</v>
          </cell>
        </row>
        <row r="19">
          <cell r="E19">
            <v>2.6293609999999998</v>
          </cell>
        </row>
      </sheetData>
      <sheetData sheetId="8">
        <row r="19">
          <cell r="O19">
            <v>1000.0000000000001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3"/>
      <sheetName val="Prestorage"/>
      <sheetName val="Sheet4"/>
      <sheetName val="Storage"/>
      <sheetName val="Sheet5"/>
      <sheetName val="Field"/>
      <sheetName val="Summary"/>
    </sheetNames>
    <sheetDataSet>
      <sheetData sheetId="0" refreshError="1"/>
      <sheetData sheetId="1">
        <row r="4">
          <cell r="C4">
            <v>11.712160000000001</v>
          </cell>
        </row>
        <row r="5">
          <cell r="D5">
            <v>4.7407529999999998</v>
          </cell>
        </row>
        <row r="6">
          <cell r="E6">
            <v>4.9803389999999998</v>
          </cell>
        </row>
        <row r="7">
          <cell r="E7">
            <v>1.9910669999999999</v>
          </cell>
        </row>
        <row r="10">
          <cell r="E10">
            <v>1.152641</v>
          </cell>
        </row>
        <row r="14">
          <cell r="E14">
            <v>52.845260000000003</v>
          </cell>
        </row>
        <row r="17">
          <cell r="E17">
            <v>26.246739999999999</v>
          </cell>
        </row>
        <row r="22">
          <cell r="E22">
            <v>920.90800000000002</v>
          </cell>
        </row>
      </sheetData>
      <sheetData sheetId="2">
        <row r="23">
          <cell r="C23">
            <v>1.466456</v>
          </cell>
        </row>
      </sheetData>
      <sheetData sheetId="3">
        <row r="7">
          <cell r="D7">
            <v>1.337172</v>
          </cell>
        </row>
        <row r="15">
          <cell r="D15">
            <v>9.7763729999999995</v>
          </cell>
        </row>
        <row r="18">
          <cell r="E18">
            <v>26.246739999999999</v>
          </cell>
        </row>
        <row r="19">
          <cell r="C19">
            <v>920.90800000000002</v>
          </cell>
        </row>
        <row r="20">
          <cell r="C20">
            <v>169.31257500000001</v>
          </cell>
        </row>
      </sheetData>
      <sheetData sheetId="4">
        <row r="20">
          <cell r="C20">
            <v>0.32301669999999999</v>
          </cell>
        </row>
      </sheetData>
      <sheetData sheetId="5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15">
          <cell r="D15">
            <v>2.1534439999999999</v>
          </cell>
        </row>
        <row r="20">
          <cell r="D20">
            <v>0</v>
          </cell>
        </row>
        <row r="21">
          <cell r="D21">
            <v>0.61588509999999996</v>
          </cell>
        </row>
      </sheetData>
      <sheetData sheetId="6">
        <row r="23">
          <cell r="C23">
            <v>1.0968</v>
          </cell>
        </row>
        <row r="27">
          <cell r="C27">
            <v>0.24373330000000001</v>
          </cell>
        </row>
      </sheetData>
      <sheetData sheetId="7">
        <row r="6">
          <cell r="D6">
            <v>0</v>
          </cell>
          <cell r="J6">
            <v>1.6663159999999999E-3</v>
          </cell>
        </row>
        <row r="7">
          <cell r="D7">
            <v>0</v>
          </cell>
          <cell r="J7">
            <v>8.5696229999999995E-4</v>
          </cell>
        </row>
        <row r="8">
          <cell r="D8">
            <v>5.016967E-2</v>
          </cell>
          <cell r="J8">
            <v>1.4282699999999999E-3</v>
          </cell>
        </row>
        <row r="9">
          <cell r="E9">
            <v>3.8090359999999999</v>
          </cell>
          <cell r="K9">
            <v>0.47213860000000002</v>
          </cell>
        </row>
        <row r="11">
          <cell r="E11">
            <v>0.95485690000000001</v>
          </cell>
          <cell r="K11">
            <v>0.34408149999999998</v>
          </cell>
        </row>
        <row r="13">
          <cell r="E13">
            <v>0.95669190000000004</v>
          </cell>
          <cell r="K13">
            <v>0.19594890000000001</v>
          </cell>
        </row>
        <row r="15">
          <cell r="D15">
            <v>4.7686950000000001</v>
          </cell>
          <cell r="J15">
            <v>1.0597099999999999</v>
          </cell>
        </row>
        <row r="22">
          <cell r="C22">
            <v>1.363847</v>
          </cell>
          <cell r="I22">
            <v>0.30307709999999999</v>
          </cell>
        </row>
        <row r="23">
          <cell r="D23">
            <v>0</v>
          </cell>
          <cell r="J23">
            <v>6.0119590000000001</v>
          </cell>
        </row>
      </sheetData>
      <sheetData sheetId="8" refreshError="1"/>
      <sheetData sheetId="9">
        <row r="7">
          <cell r="D7">
            <v>0.4570843</v>
          </cell>
          <cell r="J7">
            <v>0.1841341</v>
          </cell>
        </row>
        <row r="8">
          <cell r="D8">
            <v>8.6136169999999998E-2</v>
          </cell>
          <cell r="J8">
            <v>1.264172E-2</v>
          </cell>
        </row>
        <row r="9">
          <cell r="D9">
            <v>0.16365869999999999</v>
          </cell>
          <cell r="J9">
            <v>2.4019269999999999E-2</v>
          </cell>
        </row>
        <row r="10">
          <cell r="D10">
            <v>1.7442569999999999</v>
          </cell>
          <cell r="J10">
            <v>0.2098526</v>
          </cell>
        </row>
        <row r="11">
          <cell r="E11">
            <v>2.3816649999999999</v>
          </cell>
          <cell r="K11">
            <v>0.27495740000000002</v>
          </cell>
        </row>
        <row r="12">
          <cell r="E12">
            <v>-6.8908940000000002E-2</v>
          </cell>
          <cell r="K12">
            <v>0.11061509999999999</v>
          </cell>
        </row>
        <row r="18">
          <cell r="D18">
            <v>22.23855</v>
          </cell>
          <cell r="J18">
            <v>12.10374</v>
          </cell>
        </row>
        <row r="19">
          <cell r="E19">
            <v>-1.2305170000000001</v>
          </cell>
          <cell r="K19">
            <v>1.9752689999999999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3"/>
      <sheetName val="Prestorage"/>
      <sheetName val="Sheet4"/>
      <sheetName val="Storage"/>
      <sheetName val="Sheet5"/>
      <sheetName val="Field"/>
      <sheetName val="Summary"/>
    </sheetNames>
    <sheetDataSet>
      <sheetData sheetId="0" refreshError="1"/>
      <sheetData sheetId="1">
        <row r="4">
          <cell r="C4">
            <v>11.712160000000001</v>
          </cell>
        </row>
        <row r="5">
          <cell r="D5">
            <v>4.7407529999999998</v>
          </cell>
        </row>
        <row r="6">
          <cell r="E6">
            <v>4.9803389999999998</v>
          </cell>
        </row>
        <row r="7">
          <cell r="E7">
            <v>1.9910669999999999</v>
          </cell>
        </row>
        <row r="10">
          <cell r="E10">
            <v>1.152641</v>
          </cell>
        </row>
        <row r="14">
          <cell r="E14">
            <v>52.845260000000003</v>
          </cell>
        </row>
        <row r="17">
          <cell r="E17">
            <v>26.246739999999999</v>
          </cell>
        </row>
        <row r="22">
          <cell r="E22">
            <v>920.90800000000002</v>
          </cell>
        </row>
      </sheetData>
      <sheetData sheetId="2">
        <row r="23">
          <cell r="B23">
            <v>1.466456</v>
          </cell>
        </row>
      </sheetData>
      <sheetData sheetId="3">
        <row r="7">
          <cell r="D7">
            <v>1.337172</v>
          </cell>
        </row>
        <row r="15">
          <cell r="D15">
            <v>9.7763729999999995</v>
          </cell>
        </row>
        <row r="18">
          <cell r="E18">
            <v>26.246739999999999</v>
          </cell>
        </row>
        <row r="19">
          <cell r="C19">
            <v>920.90800000000002</v>
          </cell>
        </row>
        <row r="20">
          <cell r="C20">
            <v>169.31257500000001</v>
          </cell>
        </row>
        <row r="22">
          <cell r="D22">
            <v>2.7960430000000001</v>
          </cell>
        </row>
        <row r="23">
          <cell r="D23">
            <v>47.407530000000001</v>
          </cell>
        </row>
      </sheetData>
      <sheetData sheetId="4">
        <row r="20">
          <cell r="C20">
            <v>0.32301669999999999</v>
          </cell>
        </row>
      </sheetData>
      <sheetData sheetId="5">
        <row r="6">
          <cell r="D6">
            <v>0</v>
          </cell>
        </row>
        <row r="7">
          <cell r="D7">
            <v>0</v>
          </cell>
        </row>
        <row r="15">
          <cell r="D15">
            <v>2.1534439999999999</v>
          </cell>
        </row>
        <row r="21">
          <cell r="D21">
            <v>0.61588509999999996</v>
          </cell>
        </row>
      </sheetData>
      <sheetData sheetId="6">
        <row r="23">
          <cell r="C23">
            <v>1.0968</v>
          </cell>
        </row>
        <row r="26">
          <cell r="B26">
            <v>12.53383</v>
          </cell>
        </row>
        <row r="28">
          <cell r="B28">
            <v>0.99621159999999997</v>
          </cell>
        </row>
      </sheetData>
      <sheetData sheetId="7">
        <row r="6">
          <cell r="D6">
            <v>0</v>
          </cell>
          <cell r="J6">
            <v>1.718242E-2</v>
          </cell>
        </row>
        <row r="7">
          <cell r="D7">
            <v>0</v>
          </cell>
          <cell r="J7">
            <v>5.7274730000000003E-3</v>
          </cell>
        </row>
        <row r="8">
          <cell r="D8">
            <v>5.016967E-2</v>
          </cell>
          <cell r="J8">
            <v>2.863736E-3</v>
          </cell>
        </row>
        <row r="9">
          <cell r="E9">
            <v>3.8090359999999999</v>
          </cell>
          <cell r="K9">
            <v>0.69016040000000001</v>
          </cell>
        </row>
        <row r="10">
          <cell r="I10">
            <v>7.292411E-2</v>
          </cell>
        </row>
        <row r="11">
          <cell r="E11">
            <v>0.95485690000000001</v>
          </cell>
        </row>
        <row r="12">
          <cell r="K12">
            <v>0.17716170000000001</v>
          </cell>
        </row>
        <row r="13">
          <cell r="E13">
            <v>0.95669190000000004</v>
          </cell>
        </row>
        <row r="14">
          <cell r="I14">
            <v>1.206465E-2</v>
          </cell>
        </row>
        <row r="15">
          <cell r="D15">
            <v>4.7686950000000001</v>
          </cell>
          <cell r="K15">
            <v>0.20801359999999999</v>
          </cell>
        </row>
        <row r="18">
          <cell r="J18">
            <v>16.603529999999999</v>
          </cell>
        </row>
        <row r="21">
          <cell r="C21">
            <v>0</v>
          </cell>
        </row>
        <row r="22">
          <cell r="D22">
            <v>1.363847</v>
          </cell>
        </row>
        <row r="23">
          <cell r="D23">
            <v>0</v>
          </cell>
        </row>
        <row r="25">
          <cell r="I25">
            <v>1.1340600000000001</v>
          </cell>
        </row>
        <row r="26">
          <cell r="I26">
            <v>11.705489999999999</v>
          </cell>
        </row>
        <row r="27">
          <cell r="J27">
            <v>119.04730000000001</v>
          </cell>
        </row>
      </sheetData>
      <sheetData sheetId="8" refreshError="1"/>
      <sheetData sheetId="9">
        <row r="7">
          <cell r="D7">
            <v>0.4570843</v>
          </cell>
          <cell r="J7">
            <v>0.26916259999999997</v>
          </cell>
        </row>
        <row r="8">
          <cell r="D8">
            <v>8.6136169999999998E-2</v>
          </cell>
          <cell r="J8">
            <v>1.196319E-2</v>
          </cell>
        </row>
        <row r="9">
          <cell r="D9">
            <v>0.16365869999999999</v>
          </cell>
          <cell r="J9">
            <v>2.9907980000000001E-2</v>
          </cell>
        </row>
        <row r="10">
          <cell r="D10">
            <v>1.7442569999999999</v>
          </cell>
          <cell r="J10">
            <v>0.18184049999999999</v>
          </cell>
        </row>
        <row r="11">
          <cell r="E11">
            <v>2.3816649999999999</v>
          </cell>
          <cell r="K11">
            <v>0.2332822</v>
          </cell>
        </row>
        <row r="12">
          <cell r="E12">
            <v>-6.8908940000000002E-2</v>
          </cell>
          <cell r="K12">
            <v>0.14116570000000001</v>
          </cell>
        </row>
        <row r="18">
          <cell r="D18">
            <v>22.23855</v>
          </cell>
          <cell r="J18">
            <v>8.5482030000000009</v>
          </cell>
        </row>
        <row r="19">
          <cell r="E19">
            <v>-1.2305170000000001</v>
          </cell>
          <cell r="K19">
            <v>2.5208149999999998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3"/>
      <sheetName val="Prestorage"/>
      <sheetName val="Sheet4"/>
      <sheetName val="Storage"/>
      <sheetName val="Sheet5"/>
      <sheetName val="Field"/>
      <sheetName val="Summary"/>
    </sheetNames>
    <sheetDataSet>
      <sheetData sheetId="0"/>
      <sheetData sheetId="1">
        <row r="4">
          <cell r="C4">
            <v>11.712160000000001</v>
          </cell>
        </row>
        <row r="5">
          <cell r="D5">
            <v>4.7407529999999998</v>
          </cell>
        </row>
        <row r="6">
          <cell r="E6">
            <v>4.9803389999999998</v>
          </cell>
        </row>
        <row r="7">
          <cell r="E7">
            <v>1.9910669999999999</v>
          </cell>
        </row>
        <row r="14">
          <cell r="E14">
            <v>52.845260000000003</v>
          </cell>
        </row>
        <row r="17">
          <cell r="E17">
            <v>26.246739999999999</v>
          </cell>
        </row>
        <row r="22">
          <cell r="E22">
            <v>920.90800000000002</v>
          </cell>
        </row>
      </sheetData>
      <sheetData sheetId="2">
        <row r="23">
          <cell r="B23">
            <v>1.466456</v>
          </cell>
        </row>
      </sheetData>
      <sheetData sheetId="3">
        <row r="7">
          <cell r="D7">
            <v>1.337172</v>
          </cell>
        </row>
        <row r="15">
          <cell r="D15">
            <v>9.7763729999999995</v>
          </cell>
        </row>
        <row r="18">
          <cell r="E18">
            <v>26.246739999999999</v>
          </cell>
        </row>
        <row r="19">
          <cell r="C19">
            <v>920.90800000000002</v>
          </cell>
        </row>
        <row r="20">
          <cell r="C20">
            <v>169.31257500000001</v>
          </cell>
        </row>
        <row r="24">
          <cell r="D24">
            <v>0</v>
          </cell>
        </row>
      </sheetData>
      <sheetData sheetId="4">
        <row r="20">
          <cell r="C20">
            <v>0.32301669999999999</v>
          </cell>
        </row>
      </sheetData>
      <sheetData sheetId="5"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15">
          <cell r="D15">
            <v>2.1534439999999999</v>
          </cell>
        </row>
      </sheetData>
      <sheetData sheetId="6">
        <row r="23">
          <cell r="C23">
            <v>0.67897130000000006</v>
          </cell>
        </row>
        <row r="27">
          <cell r="C27">
            <v>0.40183059999999998</v>
          </cell>
        </row>
      </sheetData>
      <sheetData sheetId="7">
        <row r="6">
          <cell r="D6">
            <v>0</v>
          </cell>
          <cell r="J6">
            <v>2.2357879999999998E-3</v>
          </cell>
        </row>
        <row r="7">
          <cell r="D7">
            <v>0</v>
          </cell>
          <cell r="J7">
            <v>1.149834E-3</v>
          </cell>
        </row>
        <row r="8">
          <cell r="D8">
            <v>4.7201760000000002E-2</v>
          </cell>
          <cell r="J8">
            <v>1.91639E-3</v>
          </cell>
        </row>
        <row r="9">
          <cell r="E9">
            <v>3.5837029999999999</v>
          </cell>
          <cell r="K9">
            <v>0.63349469999999997</v>
          </cell>
        </row>
        <row r="11">
          <cell r="E11">
            <v>0.48999239999999999</v>
          </cell>
          <cell r="K11">
            <v>0.8745404</v>
          </cell>
        </row>
        <row r="13">
          <cell r="E13">
            <v>0.3342658</v>
          </cell>
          <cell r="K13">
            <v>0.81837499999999996</v>
          </cell>
        </row>
        <row r="15">
          <cell r="D15">
            <v>2.9520490000000001</v>
          </cell>
          <cell r="J15">
            <v>1.7470889999999999</v>
          </cell>
        </row>
        <row r="22">
          <cell r="C22">
            <v>0</v>
          </cell>
          <cell r="J22">
            <v>0.49966759999999999</v>
          </cell>
        </row>
        <row r="23">
          <cell r="D23">
            <v>0</v>
          </cell>
          <cell r="J23">
            <v>7.6458880000000002</v>
          </cell>
        </row>
      </sheetData>
      <sheetData sheetId="8"/>
      <sheetData sheetId="9">
        <row r="7">
          <cell r="D7">
            <v>0.43004439999999999</v>
          </cell>
          <cell r="J7">
            <v>0.2470629</v>
          </cell>
        </row>
        <row r="8">
          <cell r="D8">
            <v>7.2873019999999997E-2</v>
          </cell>
          <cell r="J8">
            <v>2.5219439999999999E-2</v>
          </cell>
        </row>
        <row r="9">
          <cell r="D9">
            <v>0.13845869999999999</v>
          </cell>
          <cell r="J9">
            <v>4.7916939999999998E-2</v>
          </cell>
        </row>
        <row r="10">
          <cell r="D10">
            <v>1.475679</v>
          </cell>
          <cell r="J10">
            <v>0.41864269999999998</v>
          </cell>
        </row>
        <row r="11">
          <cell r="E11">
            <v>2.014939</v>
          </cell>
          <cell r="K11">
            <v>0.54852290000000004</v>
          </cell>
        </row>
        <row r="12">
          <cell r="E12">
            <v>-5.8298419999999997E-2</v>
          </cell>
          <cell r="K12">
            <v>0.22067010000000001</v>
          </cell>
        </row>
        <row r="18">
          <cell r="D18">
            <v>14.04602</v>
          </cell>
          <cell r="J18">
            <v>19.270790000000002</v>
          </cell>
        </row>
        <row r="19">
          <cell r="E19">
            <v>-1.0410429999999999</v>
          </cell>
          <cell r="K19">
            <v>3.9405380000000001</v>
          </cell>
        </row>
      </sheetData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3"/>
      <sheetName val="Prestorage"/>
      <sheetName val="Sheet4"/>
      <sheetName val="Storage"/>
      <sheetName val="Sheet5"/>
      <sheetName val="Field"/>
      <sheetName val="Summary"/>
    </sheetNames>
    <sheetDataSet>
      <sheetData sheetId="0"/>
      <sheetData sheetId="1">
        <row r="14">
          <cell r="E14">
            <v>52.845260000000003</v>
          </cell>
        </row>
        <row r="17">
          <cell r="E17">
            <v>26.246739999999999</v>
          </cell>
        </row>
        <row r="22">
          <cell r="E22">
            <v>920.90800000000002</v>
          </cell>
        </row>
        <row r="27">
          <cell r="C27">
            <v>6.971406</v>
          </cell>
          <cell r="D27">
            <v>4.7407529999999998</v>
          </cell>
        </row>
      </sheetData>
      <sheetData sheetId="2">
        <row r="23">
          <cell r="B23">
            <v>1.466456</v>
          </cell>
        </row>
      </sheetData>
      <sheetData sheetId="3">
        <row r="7">
          <cell r="D7">
            <v>1.337172</v>
          </cell>
        </row>
        <row r="16">
          <cell r="D16">
            <v>9.7763729999999995</v>
          </cell>
        </row>
        <row r="19">
          <cell r="C19">
            <v>0</v>
          </cell>
        </row>
        <row r="20">
          <cell r="C20">
            <v>920.90800000000002</v>
          </cell>
        </row>
        <row r="21">
          <cell r="C21">
            <v>169.31257500000001</v>
          </cell>
        </row>
        <row r="22">
          <cell r="C22">
            <v>56.437525000000001</v>
          </cell>
        </row>
      </sheetData>
      <sheetData sheetId="4">
        <row r="20">
          <cell r="B20">
            <v>0.32301669999999999</v>
          </cell>
        </row>
      </sheetData>
      <sheetData sheetId="5"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15">
          <cell r="D15">
            <v>2.1534439999999999</v>
          </cell>
        </row>
        <row r="20">
          <cell r="D20">
            <v>0</v>
          </cell>
        </row>
        <row r="21">
          <cell r="D21">
            <v>0.61588509999999996</v>
          </cell>
        </row>
      </sheetData>
      <sheetData sheetId="6">
        <row r="19">
          <cell r="C19">
            <v>0</v>
          </cell>
        </row>
        <row r="23">
          <cell r="C23">
            <v>0.40183059999999998</v>
          </cell>
        </row>
      </sheetData>
      <sheetData sheetId="7">
        <row r="4">
          <cell r="E4">
            <v>3.364814</v>
          </cell>
        </row>
        <row r="7">
          <cell r="J7">
            <v>2.2357879999999998E-3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0.14712259999999999</v>
          </cell>
        </row>
        <row r="12">
          <cell r="E12">
            <v>7.7432949999999999E-3</v>
          </cell>
          <cell r="J12">
            <v>1.149834E-3</v>
          </cell>
        </row>
        <row r="13">
          <cell r="E13">
            <v>0.60121760000000002</v>
          </cell>
          <cell r="J13">
            <v>1.91639E-3</v>
          </cell>
        </row>
        <row r="14">
          <cell r="K14">
            <v>0.63349469999999997</v>
          </cell>
        </row>
        <row r="15">
          <cell r="E15">
            <v>0.3342658</v>
          </cell>
        </row>
        <row r="16">
          <cell r="K16">
            <v>0.8745404</v>
          </cell>
        </row>
        <row r="17">
          <cell r="D17">
            <v>0</v>
          </cell>
        </row>
        <row r="18">
          <cell r="K18">
            <v>0.81837499999999996</v>
          </cell>
        </row>
        <row r="21">
          <cell r="J21">
            <v>1.7470889999999999</v>
          </cell>
        </row>
        <row r="25">
          <cell r="C25">
            <v>0</v>
          </cell>
        </row>
        <row r="26">
          <cell r="D26">
            <v>0</v>
          </cell>
        </row>
        <row r="28">
          <cell r="I28">
            <v>0</v>
          </cell>
        </row>
        <row r="29">
          <cell r="J29">
            <v>7.6458880000000002</v>
          </cell>
        </row>
      </sheetData>
      <sheetData sheetId="8"/>
      <sheetData sheetId="9">
        <row r="7">
          <cell r="D7">
            <v>1.20321E-2</v>
          </cell>
        </row>
        <row r="8">
          <cell r="D8">
            <v>7.3561299999999998E-3</v>
          </cell>
        </row>
        <row r="9">
          <cell r="D9">
            <v>2.2860979999999999E-2</v>
          </cell>
          <cell r="J9">
            <v>0.2470629</v>
          </cell>
          <cell r="P9">
            <v>6.7296270000000005E-2</v>
          </cell>
        </row>
        <row r="10">
          <cell r="D10">
            <v>0.2436499</v>
          </cell>
          <cell r="J10">
            <v>2.5219439999999999E-2</v>
          </cell>
          <cell r="P10">
            <v>6.5950350000000005E-2</v>
          </cell>
        </row>
        <row r="11">
          <cell r="E11">
            <v>0.33268740000000002</v>
          </cell>
          <cell r="J11">
            <v>4.7916939999999998E-2</v>
          </cell>
          <cell r="P11">
            <v>8.2437930000000006E-2</v>
          </cell>
        </row>
        <row r="12">
          <cell r="E12">
            <v>-9.6256759999999997E-3</v>
          </cell>
          <cell r="J12">
            <v>0.41864269999999998</v>
          </cell>
          <cell r="P12">
            <v>1.3783620000000001</v>
          </cell>
        </row>
        <row r="13">
          <cell r="K13">
            <v>0.54852290000000004</v>
          </cell>
          <cell r="O13">
            <v>1.9982949999999999</v>
          </cell>
        </row>
        <row r="14">
          <cell r="K14">
            <v>0.22067010000000001</v>
          </cell>
          <cell r="O14">
            <v>-0.2275287</v>
          </cell>
        </row>
        <row r="18">
          <cell r="D18">
            <v>16.128910000000001</v>
          </cell>
        </row>
        <row r="19">
          <cell r="E19">
            <v>-0.17188709999999999</v>
          </cell>
          <cell r="P19">
            <v>-4.0630119999999996</v>
          </cell>
        </row>
        <row r="20">
          <cell r="J20">
            <v>19.270790000000002</v>
          </cell>
        </row>
        <row r="21">
          <cell r="K21">
            <v>3.9405380000000001</v>
          </cell>
        </row>
      </sheetData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5"/>
      <sheetName val="Digester"/>
      <sheetName val="Sheet3"/>
      <sheetName val="Storage"/>
      <sheetName val="Sheet4"/>
      <sheetName val="Field"/>
      <sheetName val="Summary"/>
    </sheetNames>
    <sheetDataSet>
      <sheetData sheetId="0" refreshError="1"/>
      <sheetData sheetId="1">
        <row r="4">
          <cell r="C4">
            <v>11.712160000000001</v>
          </cell>
        </row>
        <row r="5">
          <cell r="D5">
            <v>4.7407529999999998</v>
          </cell>
        </row>
        <row r="6">
          <cell r="E6">
            <v>4.9803389999999998</v>
          </cell>
        </row>
        <row r="7">
          <cell r="E7">
            <v>1.9910669999999999</v>
          </cell>
        </row>
        <row r="10">
          <cell r="E10">
            <v>1.152641</v>
          </cell>
        </row>
        <row r="28">
          <cell r="C28">
            <v>52.845260000000003</v>
          </cell>
        </row>
        <row r="30">
          <cell r="C30">
            <v>920.90800000000002</v>
          </cell>
        </row>
      </sheetData>
      <sheetData sheetId="2">
        <row r="23">
          <cell r="C23">
            <v>1.466456</v>
          </cell>
        </row>
      </sheetData>
      <sheetData sheetId="3">
        <row r="7">
          <cell r="D7">
            <v>1.337172</v>
          </cell>
        </row>
        <row r="20">
          <cell r="C20">
            <v>169.31257500000001</v>
          </cell>
        </row>
        <row r="21">
          <cell r="C21">
            <v>56.437525000000001</v>
          </cell>
        </row>
        <row r="23">
          <cell r="D23">
            <v>47.407530000000001</v>
          </cell>
        </row>
        <row r="31">
          <cell r="D31">
            <v>9.7763729999999995</v>
          </cell>
        </row>
      </sheetData>
      <sheetData sheetId="4">
        <row r="10">
          <cell r="B10">
            <v>21.029890000000002</v>
          </cell>
        </row>
      </sheetData>
      <sheetData sheetId="5">
        <row r="7">
          <cell r="C7">
            <v>0.3217526</v>
          </cell>
        </row>
        <row r="13">
          <cell r="C13">
            <v>4.2900340000000002E-2</v>
          </cell>
        </row>
        <row r="16">
          <cell r="C16">
            <v>49.871650000000002</v>
          </cell>
        </row>
        <row r="23">
          <cell r="C23">
            <v>4.663081</v>
          </cell>
        </row>
        <row r="24">
          <cell r="D24">
            <v>20.609300000000001</v>
          </cell>
        </row>
        <row r="34">
          <cell r="D34">
            <v>70.099639999999994</v>
          </cell>
        </row>
      </sheetData>
      <sheetData sheetId="6">
        <row r="12">
          <cell r="C12">
            <v>2.3982939999999999</v>
          </cell>
        </row>
      </sheetData>
      <sheetData sheetId="7">
        <row r="5">
          <cell r="D5">
            <v>0</v>
          </cell>
        </row>
        <row r="6">
          <cell r="D6">
            <v>0</v>
          </cell>
        </row>
        <row r="7">
          <cell r="D7">
            <v>5.6453709999999997E-2</v>
          </cell>
        </row>
        <row r="8">
          <cell r="E8">
            <v>5.5889179999999996</v>
          </cell>
        </row>
        <row r="11">
          <cell r="E11">
            <v>0.31061539999999999</v>
          </cell>
        </row>
        <row r="13">
          <cell r="E13">
            <v>1.195541</v>
          </cell>
        </row>
        <row r="21">
          <cell r="D21">
            <v>2.3503280000000002</v>
          </cell>
        </row>
        <row r="31">
          <cell r="D31">
            <v>7.994313</v>
          </cell>
        </row>
      </sheetData>
      <sheetData sheetId="8" refreshError="1"/>
      <sheetData sheetId="9">
        <row r="7">
          <cell r="D7">
            <v>0.1902016</v>
          </cell>
        </row>
        <row r="8">
          <cell r="D8">
            <v>0.1001061</v>
          </cell>
        </row>
        <row r="9">
          <cell r="D9">
            <v>0.89422679999999999</v>
          </cell>
        </row>
        <row r="10">
          <cell r="D10">
            <v>2.3524940000000001</v>
          </cell>
        </row>
        <row r="11">
          <cell r="E11">
            <v>2.4025470000000002</v>
          </cell>
        </row>
        <row r="12">
          <cell r="E12">
            <v>-4.004245E-2</v>
          </cell>
        </row>
        <row r="18">
          <cell r="D18">
            <v>15.561629999999999</v>
          </cell>
        </row>
        <row r="19">
          <cell r="E19">
            <v>-0.71504369999999995</v>
          </cell>
        </row>
      </sheetData>
      <sheetData sheetId="1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3"/>
      <sheetName val="Storage"/>
      <sheetName val="Sheet4"/>
      <sheetName val="Field"/>
      <sheetName val="Summary"/>
    </sheetNames>
    <sheetDataSet>
      <sheetData sheetId="0" refreshError="1"/>
      <sheetData sheetId="1">
        <row r="4">
          <cell r="C4">
            <v>4.9803389999999998</v>
          </cell>
        </row>
        <row r="5">
          <cell r="D5">
            <v>0</v>
          </cell>
        </row>
        <row r="6">
          <cell r="E6">
            <v>0</v>
          </cell>
        </row>
        <row r="7">
          <cell r="E7">
            <v>1.2911280000000001</v>
          </cell>
        </row>
        <row r="10">
          <cell r="E10">
            <v>0.1841737</v>
          </cell>
        </row>
        <row r="17">
          <cell r="E17">
            <v>26.246739999999999</v>
          </cell>
        </row>
        <row r="28">
          <cell r="C28">
            <v>52.845260000000003</v>
          </cell>
        </row>
        <row r="30">
          <cell r="C30">
            <v>0.73322799999999999</v>
          </cell>
        </row>
      </sheetData>
      <sheetData sheetId="2">
        <row r="22">
          <cell r="B22">
            <v>2.257501</v>
          </cell>
        </row>
        <row r="23">
          <cell r="B23">
            <v>0.73322799999999999</v>
          </cell>
        </row>
      </sheetData>
      <sheetData sheetId="3">
        <row r="7">
          <cell r="D7">
            <v>1.2911280000000001</v>
          </cell>
        </row>
        <row r="20">
          <cell r="C20">
            <v>169.31257500000001</v>
          </cell>
        </row>
        <row r="21">
          <cell r="C21">
            <v>56.437525000000001</v>
          </cell>
        </row>
        <row r="22">
          <cell r="D22">
            <v>1.398021</v>
          </cell>
        </row>
        <row r="23">
          <cell r="D23">
            <v>47.407530000000001</v>
          </cell>
        </row>
        <row r="31">
          <cell r="D31">
            <v>4.8881870000000003</v>
          </cell>
        </row>
      </sheetData>
      <sheetData sheetId="4">
        <row r="13">
          <cell r="C13">
            <v>2.0405730000000002</v>
          </cell>
        </row>
      </sheetData>
      <sheetData sheetId="5">
        <row r="5">
          <cell r="D5">
            <v>0</v>
          </cell>
        </row>
        <row r="6">
          <cell r="D6">
            <v>0</v>
          </cell>
        </row>
        <row r="7">
          <cell r="D7">
            <v>4.2076599999999999E-2</v>
          </cell>
        </row>
        <row r="8">
          <cell r="E8">
            <v>4.1655829999999998</v>
          </cell>
        </row>
        <row r="11">
          <cell r="E11">
            <v>1.472618</v>
          </cell>
        </row>
        <row r="13">
          <cell r="E13">
            <v>1.152641</v>
          </cell>
        </row>
        <row r="22">
          <cell r="D22">
            <v>2.5374089999999998</v>
          </cell>
        </row>
        <row r="31">
          <cell r="D31">
            <v>8.8720590000000001</v>
          </cell>
        </row>
      </sheetData>
      <sheetData sheetId="6" refreshError="1"/>
      <sheetData sheetId="7">
        <row r="7">
          <cell r="D7">
            <v>0.20383999999999999</v>
          </cell>
        </row>
        <row r="8">
          <cell r="D8">
            <v>9.9434149999999999E-2</v>
          </cell>
        </row>
        <row r="9">
          <cell r="D9">
            <v>0.66649329999999996</v>
          </cell>
        </row>
        <row r="10">
          <cell r="D10">
            <v>1.9638249999999999</v>
          </cell>
        </row>
        <row r="11">
          <cell r="E11">
            <v>2.5554579999999998</v>
          </cell>
        </row>
        <row r="12">
          <cell r="E12">
            <v>0.14915120000000001</v>
          </cell>
        </row>
        <row r="18">
          <cell r="D18">
            <v>36.421599999999998</v>
          </cell>
        </row>
        <row r="19">
          <cell r="E19">
            <v>2.6634150000000001</v>
          </cell>
        </row>
      </sheetData>
      <sheetData sheetId="8">
        <row r="19">
          <cell r="O19">
            <v>79.825227999999996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3"/>
      <sheetName val="Prestorage"/>
      <sheetName val="Sheet4"/>
      <sheetName val="Storage"/>
      <sheetName val="Sheet5"/>
      <sheetName val="Field"/>
      <sheetName val="Summary"/>
    </sheetNames>
    <sheetDataSet>
      <sheetData sheetId="0"/>
      <sheetData sheetId="1">
        <row r="4">
          <cell r="C4">
            <v>11.712160000000001</v>
          </cell>
        </row>
        <row r="5">
          <cell r="D5">
            <v>4.7407529999999998</v>
          </cell>
        </row>
        <row r="6">
          <cell r="E6">
            <v>4.9803389999999998</v>
          </cell>
        </row>
        <row r="7">
          <cell r="E7">
            <v>1.9910669999999999</v>
          </cell>
        </row>
        <row r="14">
          <cell r="E14">
            <v>52.845260000000003</v>
          </cell>
        </row>
        <row r="22">
          <cell r="E22">
            <v>920.90800000000002</v>
          </cell>
        </row>
      </sheetData>
      <sheetData sheetId="2">
        <row r="23">
          <cell r="B23">
            <v>1.466456</v>
          </cell>
        </row>
      </sheetData>
      <sheetData sheetId="3">
        <row r="7">
          <cell r="D7">
            <v>1.337172</v>
          </cell>
        </row>
        <row r="15">
          <cell r="D15">
            <v>9.7763729999999995</v>
          </cell>
        </row>
        <row r="18">
          <cell r="E18">
            <v>26.246739999999999</v>
          </cell>
        </row>
        <row r="19">
          <cell r="C19">
            <v>920.90800000000002</v>
          </cell>
        </row>
        <row r="20">
          <cell r="C20">
            <v>169.31257500000001</v>
          </cell>
        </row>
        <row r="24">
          <cell r="D24">
            <v>0</v>
          </cell>
        </row>
      </sheetData>
      <sheetData sheetId="4">
        <row r="20">
          <cell r="C20">
            <v>0.32301669999999999</v>
          </cell>
        </row>
      </sheetData>
      <sheetData sheetId="5"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15">
          <cell r="D15">
            <v>2.1534439999999999</v>
          </cell>
        </row>
      </sheetData>
      <sheetData sheetId="6">
        <row r="23">
          <cell r="C23">
            <v>0.67897130000000006</v>
          </cell>
        </row>
        <row r="27">
          <cell r="C27">
            <v>1.6073219999999999</v>
          </cell>
        </row>
      </sheetData>
      <sheetData sheetId="7">
        <row r="6">
          <cell r="D6">
            <v>0</v>
          </cell>
          <cell r="J6">
            <v>8.0282259999999994E-2</v>
          </cell>
        </row>
        <row r="7">
          <cell r="D7">
            <v>0</v>
          </cell>
          <cell r="J7">
            <v>4.0141129999999997E-2</v>
          </cell>
        </row>
        <row r="8">
          <cell r="D8">
            <v>4.7201760000000002E-2</v>
          </cell>
          <cell r="J8">
            <v>3.3450939999999998E-2</v>
          </cell>
        </row>
        <row r="9">
          <cell r="E9">
            <v>3.5837029999999999</v>
          </cell>
          <cell r="K9">
            <v>0.68239919999999998</v>
          </cell>
        </row>
        <row r="11">
          <cell r="E11">
            <v>0.48999239999999999</v>
          </cell>
          <cell r="K11">
            <v>0.67706350000000004</v>
          </cell>
        </row>
        <row r="13">
          <cell r="E13">
            <v>0.3342658</v>
          </cell>
          <cell r="K13">
            <v>0.81837499999999996</v>
          </cell>
        </row>
        <row r="15">
          <cell r="D15">
            <v>2.9520490000000001</v>
          </cell>
          <cell r="J15">
            <v>6.9883579999999998</v>
          </cell>
        </row>
        <row r="22">
          <cell r="C22">
            <v>0</v>
          </cell>
          <cell r="J22">
            <v>1.9986699999999999</v>
          </cell>
        </row>
        <row r="23">
          <cell r="D23">
            <v>0</v>
          </cell>
          <cell r="J23">
            <v>7.5709379999999999</v>
          </cell>
        </row>
      </sheetData>
      <sheetData sheetId="8"/>
      <sheetData sheetId="9">
        <row r="7">
          <cell r="D7">
            <v>0.43004439999999999</v>
          </cell>
          <cell r="J7">
            <v>0.26613569999999998</v>
          </cell>
        </row>
        <row r="8">
          <cell r="D8">
            <v>7.2873019999999997E-2</v>
          </cell>
          <cell r="J8">
            <v>2.186654E-2</v>
          </cell>
        </row>
        <row r="9">
          <cell r="D9">
            <v>0.13845869999999999</v>
          </cell>
          <cell r="J9">
            <v>4.1546430000000002E-2</v>
          </cell>
        </row>
        <row r="10">
          <cell r="D10">
            <v>1.475679</v>
          </cell>
          <cell r="J10">
            <v>0.36298459999999999</v>
          </cell>
        </row>
        <row r="11">
          <cell r="E11">
            <v>2.014939</v>
          </cell>
          <cell r="K11">
            <v>0.4755973</v>
          </cell>
        </row>
        <row r="12">
          <cell r="E12">
            <v>-5.8298419999999997E-2</v>
          </cell>
          <cell r="K12">
            <v>0.19133220000000001</v>
          </cell>
        </row>
        <row r="18">
          <cell r="D18">
            <v>14.04602</v>
          </cell>
          <cell r="J18">
            <v>14.553419999999999</v>
          </cell>
        </row>
        <row r="19">
          <cell r="E19">
            <v>-1.0410429999999999</v>
          </cell>
          <cell r="K19">
            <v>3.4166470000000002</v>
          </cell>
        </row>
      </sheetData>
      <sheetData sheetId="1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g"/>
      <sheetName val="Sheet2"/>
      <sheetName val="House"/>
      <sheetName val="Sheet3"/>
      <sheetName val="Prestorage"/>
      <sheetName val="Sheet4"/>
      <sheetName val="Storage"/>
      <sheetName val="Sheet5"/>
      <sheetName val="Field"/>
      <sheetName val="Summary"/>
    </sheetNames>
    <sheetDataSet>
      <sheetData sheetId="0"/>
      <sheetData sheetId="1">
        <row r="14">
          <cell r="E14">
            <v>52.845260000000003</v>
          </cell>
        </row>
        <row r="22">
          <cell r="E22">
            <v>920.90800000000002</v>
          </cell>
        </row>
        <row r="27">
          <cell r="C27">
            <v>6.971406</v>
          </cell>
          <cell r="D27">
            <v>4.7407529999999998</v>
          </cell>
        </row>
      </sheetData>
      <sheetData sheetId="2">
        <row r="23">
          <cell r="B23">
            <v>1.466456</v>
          </cell>
        </row>
      </sheetData>
      <sheetData sheetId="3">
        <row r="7">
          <cell r="D7">
            <v>1.337172</v>
          </cell>
        </row>
        <row r="17">
          <cell r="D17">
            <v>9.7763729999999995</v>
          </cell>
        </row>
        <row r="20">
          <cell r="C20">
            <v>0</v>
          </cell>
        </row>
        <row r="21">
          <cell r="C21">
            <v>920.90800000000002</v>
          </cell>
        </row>
        <row r="22">
          <cell r="C22">
            <v>169.31257500000001</v>
          </cell>
        </row>
        <row r="23">
          <cell r="C23">
            <v>56.437525000000001</v>
          </cell>
        </row>
      </sheetData>
      <sheetData sheetId="4">
        <row r="20">
          <cell r="B20">
            <v>0.32301669999999999</v>
          </cell>
        </row>
      </sheetData>
      <sheetData sheetId="5"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15">
          <cell r="D15">
            <v>2.1534439999999999</v>
          </cell>
        </row>
        <row r="20">
          <cell r="D20">
            <v>0</v>
          </cell>
        </row>
        <row r="21">
          <cell r="D21">
            <v>0.61588509999999996</v>
          </cell>
        </row>
      </sheetData>
      <sheetData sheetId="6">
        <row r="19">
          <cell r="C19">
            <v>0</v>
          </cell>
        </row>
        <row r="23">
          <cell r="C23">
            <v>0.40183059999999998</v>
          </cell>
        </row>
      </sheetData>
      <sheetData sheetId="7">
        <row r="4">
          <cell r="E4">
            <v>3.484483</v>
          </cell>
        </row>
        <row r="7">
          <cell r="J7">
            <v>2.2357879999999998E-3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3.343695E-2</v>
          </cell>
        </row>
        <row r="12">
          <cell r="E12">
            <v>1.7598399999999999E-3</v>
          </cell>
          <cell r="J12">
            <v>1.149834E-3</v>
          </cell>
        </row>
        <row r="13">
          <cell r="E13">
            <v>0.60121760000000002</v>
          </cell>
          <cell r="J13">
            <v>1.91639E-3</v>
          </cell>
        </row>
        <row r="14">
          <cell r="K14">
            <v>0.63349469999999997</v>
          </cell>
        </row>
        <row r="15">
          <cell r="E15">
            <v>0.3342658</v>
          </cell>
        </row>
        <row r="16">
          <cell r="K16">
            <v>0.8745404</v>
          </cell>
        </row>
        <row r="17">
          <cell r="D17">
            <v>0</v>
          </cell>
        </row>
        <row r="18">
          <cell r="K18">
            <v>0.81837499999999996</v>
          </cell>
        </row>
        <row r="21">
          <cell r="J21">
            <v>1.7470889999999999</v>
          </cell>
        </row>
        <row r="25">
          <cell r="C25">
            <v>0</v>
          </cell>
        </row>
        <row r="26">
          <cell r="D26">
            <v>0</v>
          </cell>
        </row>
        <row r="28">
          <cell r="I28">
            <v>0</v>
          </cell>
        </row>
        <row r="29">
          <cell r="J29">
            <v>7.6458880000000002</v>
          </cell>
        </row>
      </sheetData>
      <sheetData sheetId="8"/>
      <sheetData sheetId="9">
        <row r="7">
          <cell r="D7">
            <v>1.202611E-2</v>
          </cell>
        </row>
        <row r="8">
          <cell r="D8">
            <v>1.6718480000000001E-3</v>
          </cell>
        </row>
        <row r="9">
          <cell r="D9">
            <v>2.2849609999999999E-2</v>
          </cell>
          <cell r="J9">
            <v>0.2470629</v>
          </cell>
          <cell r="P9">
            <v>6.9689650000000006E-2</v>
          </cell>
        </row>
        <row r="10">
          <cell r="D10">
            <v>0.24352879999999999</v>
          </cell>
          <cell r="J10">
            <v>2.5219439999999999E-2</v>
          </cell>
          <cell r="P10">
            <v>6.829586E-2</v>
          </cell>
        </row>
        <row r="11">
          <cell r="E11">
            <v>0.33252199999999998</v>
          </cell>
          <cell r="J11">
            <v>4.7916939999999998E-2</v>
          </cell>
          <cell r="P11">
            <v>8.5369819999999999E-2</v>
          </cell>
        </row>
        <row r="12">
          <cell r="E12">
            <v>-9.62089E-3</v>
          </cell>
          <cell r="J12">
            <v>0.41864269999999998</v>
          </cell>
          <cell r="P12">
            <v>1.4273830000000001</v>
          </cell>
        </row>
        <row r="13">
          <cell r="K13">
            <v>0.54852290000000004</v>
          </cell>
          <cell r="O13">
            <v>2.0693649999999999</v>
          </cell>
        </row>
        <row r="14">
          <cell r="K14">
            <v>0.22067010000000001</v>
          </cell>
          <cell r="O14">
            <v>-0.23562069999999999</v>
          </cell>
        </row>
        <row r="18">
          <cell r="D18">
            <v>16.128820000000001</v>
          </cell>
        </row>
        <row r="19">
          <cell r="E19">
            <v>-0.1718016</v>
          </cell>
          <cell r="P19">
            <v>-4.2075129999999996</v>
          </cell>
        </row>
        <row r="20">
          <cell r="J20">
            <v>19.270790000000002</v>
          </cell>
        </row>
        <row r="21">
          <cell r="K21">
            <v>3.9405380000000001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C29" sqref="C29:C33"/>
    </sheetView>
  </sheetViews>
  <sheetFormatPr defaultRowHeight="15"/>
  <sheetData>
    <row r="1" spans="1:14">
      <c r="A1" s="7" t="s">
        <v>29</v>
      </c>
    </row>
    <row r="2" spans="1:14">
      <c r="A2" t="s">
        <v>25</v>
      </c>
      <c r="B2">
        <f>[1]Pig!C4</f>
        <v>11.712160000000001</v>
      </c>
    </row>
    <row r="3" spans="1:14">
      <c r="A3" t="s">
        <v>26</v>
      </c>
      <c r="B3">
        <f>[1]Pig!E6+[1]Pig!E7</f>
        <v>6.971406</v>
      </c>
      <c r="J3" t="s">
        <v>30</v>
      </c>
      <c r="K3" t="s">
        <v>31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14">
      <c r="A5" t="s">
        <v>13</v>
      </c>
      <c r="B5">
        <f>[1]Pig!D5</f>
        <v>4.7407529999999998</v>
      </c>
      <c r="C5">
        <f>[1]House!D7</f>
        <v>1.337172</v>
      </c>
      <c r="J5">
        <f>C5</f>
        <v>1.337172</v>
      </c>
      <c r="K5">
        <f>100*J5/$J$12</f>
        <v>31.087061659939245</v>
      </c>
    </row>
    <row r="7" spans="1:14">
      <c r="A7" t="s">
        <v>14</v>
      </c>
      <c r="C7">
        <f>[1]Storage!D7</f>
        <v>4.3117179999999998E-2</v>
      </c>
      <c r="D7">
        <f>[1]Storage!D6</f>
        <v>0</v>
      </c>
      <c r="E7">
        <f>[1]Storage!D5</f>
        <v>0</v>
      </c>
      <c r="J7">
        <f>C7+D7+E7</f>
        <v>4.3117179999999998E-2</v>
      </c>
      <c r="K7">
        <f>100*J7/$J$12</f>
        <v>1.0024039041071</v>
      </c>
    </row>
    <row r="8" spans="1:14">
      <c r="M8" t="s">
        <v>59</v>
      </c>
      <c r="N8" t="s">
        <v>55</v>
      </c>
    </row>
    <row r="9" spans="1:14">
      <c r="A9" t="s">
        <v>15</v>
      </c>
      <c r="C9">
        <f>[1]Field!D9</f>
        <v>0.68297609999999997</v>
      </c>
      <c r="D9">
        <f>[1]Field!D8</f>
        <v>9.8162819999999998E-2</v>
      </c>
      <c r="E9">
        <f>[1]Field!D7</f>
        <v>0.20123379999999999</v>
      </c>
      <c r="F9">
        <f>[1]Field!D10</f>
        <v>1.9387160000000001</v>
      </c>
      <c r="G9">
        <f>[1]Field!E11</f>
        <v>2.5227840000000001</v>
      </c>
      <c r="H9">
        <f>[1]Field!E12</f>
        <v>0.14724419999999999</v>
      </c>
      <c r="J9">
        <f>SUM(C9:F9)</f>
        <v>2.9210887200000002</v>
      </c>
      <c r="K9">
        <f>100*J9/$J$12</f>
        <v>67.91053443595365</v>
      </c>
      <c r="M9" t="s">
        <v>60</v>
      </c>
    </row>
    <row r="10" spans="1:14">
      <c r="L10" t="s">
        <v>61</v>
      </c>
      <c r="M10">
        <f>[1]Storage!E8+[1]Storage!E11</f>
        <v>5.5911160000000004</v>
      </c>
      <c r="N10">
        <f>[1]Storage!E13</f>
        <v>1.152641</v>
      </c>
    </row>
    <row r="11" spans="1:14">
      <c r="L11" t="s">
        <v>40</v>
      </c>
      <c r="M11">
        <f>[1]Storage!K9+[1]Storage!K11</f>
        <v>0</v>
      </c>
      <c r="N11">
        <v>0</v>
      </c>
    </row>
    <row r="12" spans="1:14">
      <c r="A12" t="s">
        <v>27</v>
      </c>
      <c r="C12">
        <f t="shared" ref="C12:H12" si="0">SUM(C5:C10)</f>
        <v>2.06326528</v>
      </c>
      <c r="D12">
        <f t="shared" si="0"/>
        <v>9.8162819999999998E-2</v>
      </c>
      <c r="E12">
        <f t="shared" si="0"/>
        <v>0.20123379999999999</v>
      </c>
      <c r="F12">
        <f t="shared" si="0"/>
        <v>1.9387160000000001</v>
      </c>
      <c r="G12">
        <f t="shared" si="0"/>
        <v>2.5227840000000001</v>
      </c>
      <c r="H12">
        <f t="shared" si="0"/>
        <v>0.14724419999999999</v>
      </c>
      <c r="J12">
        <f>J5+J7+J9</f>
        <v>4.3013779000000003</v>
      </c>
    </row>
    <row r="13" spans="1:14">
      <c r="A13" t="s">
        <v>28</v>
      </c>
      <c r="B13" s="1"/>
      <c r="C13" s="1">
        <f>100*C12/$B$3</f>
        <v>29.596114184140188</v>
      </c>
      <c r="D13" s="1">
        <f t="shared" ref="D13:H13" si="1">100*D12/$B$3</f>
        <v>1.4080777966453251</v>
      </c>
      <c r="E13" s="1">
        <f t="shared" si="1"/>
        <v>2.8865597556647824</v>
      </c>
      <c r="F13" s="1">
        <f t="shared" si="1"/>
        <v>27.809540858759338</v>
      </c>
      <c r="G13" s="1">
        <f t="shared" si="1"/>
        <v>36.187592574582517</v>
      </c>
      <c r="H13" s="1">
        <f t="shared" si="1"/>
        <v>2.1121162646387255</v>
      </c>
      <c r="I13" s="1">
        <f>SUM(B13:H13)</f>
        <v>100.00000143443089</v>
      </c>
    </row>
    <row r="17" spans="1:18">
      <c r="A17" s="7" t="s">
        <v>32</v>
      </c>
      <c r="H17" s="7" t="s">
        <v>33</v>
      </c>
      <c r="K17" s="6" t="s">
        <v>17</v>
      </c>
      <c r="M17" s="7" t="s">
        <v>115</v>
      </c>
      <c r="O17" s="7" t="s">
        <v>124</v>
      </c>
      <c r="Q17" s="7" t="s">
        <v>55</v>
      </c>
    </row>
    <row r="18" spans="1:18">
      <c r="B18" t="s">
        <v>34</v>
      </c>
      <c r="C18" t="s">
        <v>35</v>
      </c>
      <c r="D18" t="s">
        <v>36</v>
      </c>
      <c r="H18" t="s">
        <v>34</v>
      </c>
      <c r="I18" t="s">
        <v>35</v>
      </c>
      <c r="M18" t="s">
        <v>34</v>
      </c>
      <c r="N18" t="s">
        <v>35</v>
      </c>
      <c r="Q18" t="s">
        <v>34</v>
      </c>
      <c r="R18" t="s">
        <v>35</v>
      </c>
    </row>
    <row r="19" spans="1:18">
      <c r="A19" s="1" t="s">
        <v>26</v>
      </c>
      <c r="B19" s="1">
        <f>[1]Pig!C28</f>
        <v>52.845260000000003</v>
      </c>
      <c r="C19" s="1"/>
      <c r="D19" s="1"/>
      <c r="G19" s="1"/>
      <c r="H19" s="1">
        <f>[1]Pig!C30</f>
        <v>920.90800000000002</v>
      </c>
      <c r="I19" s="1"/>
      <c r="M19">
        <f>[1]Pig!E17</f>
        <v>26.246739999999999</v>
      </c>
      <c r="O19" s="1">
        <f>B19+H19+M19</f>
        <v>1000.0000000000001</v>
      </c>
      <c r="Q19">
        <f>[1]Pig!E10</f>
        <v>1.152641</v>
      </c>
    </row>
    <row r="20" spans="1:18">
      <c r="A20" s="1"/>
      <c r="B20" s="1"/>
      <c r="C20" s="1"/>
      <c r="D20" s="1"/>
      <c r="G20" s="1"/>
      <c r="H20" s="1"/>
      <c r="I20" s="1"/>
      <c r="Q20" s="1"/>
      <c r="R20" s="1"/>
    </row>
    <row r="21" spans="1:18">
      <c r="A21" s="1" t="s">
        <v>13</v>
      </c>
      <c r="B21" s="1"/>
      <c r="C21" s="1">
        <f>[1]House!D31</f>
        <v>9.7763729999999995</v>
      </c>
      <c r="D21" s="1">
        <f>100*C21/$B$19</f>
        <v>18.499999810768269</v>
      </c>
      <c r="G21" s="1"/>
      <c r="H21" s="1">
        <f>SUM([1]House!C20:C22)</f>
        <v>225.7501</v>
      </c>
      <c r="I21" s="1">
        <f>[1]House!D23+[1]House!D22</f>
        <v>50.203572999999999</v>
      </c>
      <c r="K21">
        <f>[1]Sheet2!B23</f>
        <v>1.466456</v>
      </c>
      <c r="Q21" s="1"/>
      <c r="R21" s="1"/>
    </row>
    <row r="22" spans="1:18">
      <c r="A22" s="1"/>
      <c r="B22" s="1"/>
      <c r="C22" s="1"/>
      <c r="D22" s="1"/>
      <c r="G22" s="1"/>
      <c r="H22" s="1"/>
      <c r="I22" s="1"/>
      <c r="Q22" s="1"/>
      <c r="R22" s="1"/>
    </row>
    <row r="23" spans="1:18">
      <c r="A23" s="1" t="s">
        <v>14</v>
      </c>
      <c r="B23" s="1"/>
      <c r="C23" s="1">
        <f>[1]Storage!D31</f>
        <v>7.9677439999999997</v>
      </c>
      <c r="D23" s="1">
        <f>100*C23/$B$19</f>
        <v>15.077499855237726</v>
      </c>
      <c r="G23" s="1"/>
      <c r="H23" s="1">
        <f>[1]Storage!C22</f>
        <v>0</v>
      </c>
      <c r="I23" s="1">
        <f>[1]Storage!D22</f>
        <v>2.278775</v>
      </c>
      <c r="K23">
        <f>[1]Sheet3!C13</f>
        <v>1.832581</v>
      </c>
      <c r="Q23" s="1"/>
      <c r="R23">
        <f>[1]Storage!E13</f>
        <v>1.152641</v>
      </c>
    </row>
    <row r="24" spans="1:18">
      <c r="A24" s="1"/>
      <c r="B24" s="1"/>
      <c r="C24" s="1"/>
      <c r="D24" s="1"/>
      <c r="E24" s="1"/>
      <c r="F24" s="1"/>
      <c r="G24" s="1"/>
      <c r="H24" s="1"/>
      <c r="I24" s="1"/>
    </row>
    <row r="25" spans="1:18">
      <c r="A25" s="1" t="s">
        <v>15</v>
      </c>
      <c r="B25" s="1"/>
      <c r="C25" s="1">
        <f>[1]Field!D18</f>
        <v>32.471780000000003</v>
      </c>
      <c r="D25" s="1">
        <f>100*C25/$B$19</f>
        <v>61.446911227232114</v>
      </c>
      <c r="E25" s="1"/>
      <c r="F25" s="1"/>
      <c r="G25" s="1"/>
      <c r="H25" s="1"/>
      <c r="I25" s="1"/>
      <c r="L25" s="2"/>
    </row>
    <row r="26" spans="1:18">
      <c r="A26" s="1"/>
      <c r="B26" s="1"/>
      <c r="C26" s="1"/>
      <c r="D26" s="1"/>
      <c r="E26" s="1"/>
      <c r="F26" s="1"/>
      <c r="G26" s="1"/>
      <c r="H26" s="1"/>
      <c r="I26" s="1"/>
    </row>
    <row r="27" spans="1:18">
      <c r="A27" s="1" t="s">
        <v>27</v>
      </c>
      <c r="B27" s="1">
        <f>B19</f>
        <v>52.845260000000003</v>
      </c>
      <c r="C27" s="1">
        <f>SUM(C19:C25)</f>
        <v>50.215896999999998</v>
      </c>
      <c r="D27" s="1"/>
      <c r="E27" s="1"/>
      <c r="F27" s="1"/>
      <c r="G27" s="1"/>
      <c r="H27" s="1"/>
      <c r="I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</row>
    <row r="30" spans="1:18">
      <c r="A30" s="1" t="s">
        <v>6</v>
      </c>
      <c r="B30" s="1"/>
      <c r="C30" s="1"/>
      <c r="D30" s="1"/>
      <c r="E30" s="1"/>
      <c r="F30" s="1"/>
      <c r="G30" s="1"/>
      <c r="H30" s="1">
        <f>[1]Sheet2!B22*1000/[1]Summary!O19</f>
        <v>2.257501</v>
      </c>
      <c r="I30" s="1"/>
    </row>
    <row r="31" spans="1:18">
      <c r="A31" s="1" t="s">
        <v>37</v>
      </c>
      <c r="B31" s="1"/>
      <c r="C31" s="1">
        <f>[1]Field!E19</f>
        <v>2.6293609999999998</v>
      </c>
      <c r="D31" s="1">
        <f>100*C31/$B$19</f>
        <v>4.9755853221272828</v>
      </c>
      <c r="E31" s="1"/>
      <c r="F31" s="1"/>
      <c r="G31" s="1"/>
      <c r="H31" s="1"/>
      <c r="I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 t="s">
        <v>38</v>
      </c>
      <c r="D33" s="1">
        <f>SUM(D21:D31)</f>
        <v>99.999996215365385</v>
      </c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88"/>
  <sheetViews>
    <sheetView tabSelected="1" workbookViewId="0">
      <pane ySplit="5" topLeftCell="A68" activePane="bottomLeft" state="frozen"/>
      <selection pane="bottomLeft" activeCell="M72" sqref="M72"/>
    </sheetView>
  </sheetViews>
  <sheetFormatPr defaultRowHeight="15"/>
  <cols>
    <col min="1" max="1" width="50.85546875" customWidth="1"/>
    <col min="13" max="13" width="10.140625" customWidth="1"/>
    <col min="15" max="15" width="13.28515625" customWidth="1"/>
  </cols>
  <sheetData>
    <row r="1" spans="1:16">
      <c r="A1" t="s">
        <v>56</v>
      </c>
      <c r="B1" s="15">
        <v>2.257501</v>
      </c>
    </row>
    <row r="2" spans="1:16">
      <c r="A2" t="s">
        <v>21</v>
      </c>
      <c r="B2">
        <f>Baseline!B3</f>
        <v>6.971406</v>
      </c>
      <c r="C2" t="s">
        <v>19</v>
      </c>
      <c r="H2" t="s">
        <v>58</v>
      </c>
      <c r="J2" s="10">
        <v>170</v>
      </c>
      <c r="M2" t="s">
        <v>152</v>
      </c>
      <c r="N2" t="s">
        <v>153</v>
      </c>
      <c r="O2" t="s">
        <v>154</v>
      </c>
      <c r="P2" t="s">
        <v>157</v>
      </c>
    </row>
    <row r="3" spans="1:16">
      <c r="A3" t="s">
        <v>23</v>
      </c>
      <c r="B3">
        <f>B2/B1</f>
        <v>3.0881076021671752</v>
      </c>
      <c r="C3" t="s">
        <v>19</v>
      </c>
      <c r="H3" t="s">
        <v>78</v>
      </c>
      <c r="J3" s="10">
        <v>21</v>
      </c>
      <c r="M3">
        <v>130</v>
      </c>
      <c r="N3">
        <v>75</v>
      </c>
      <c r="O3">
        <v>85</v>
      </c>
      <c r="P3">
        <f>3.9/130</f>
        <v>0.03</v>
      </c>
    </row>
    <row r="4" spans="1:16">
      <c r="A4" t="s">
        <v>22</v>
      </c>
      <c r="B4" s="10">
        <v>100</v>
      </c>
      <c r="C4" t="s">
        <v>20</v>
      </c>
    </row>
    <row r="5" spans="1:16">
      <c r="B5" t="s">
        <v>8</v>
      </c>
      <c r="C5" s="1" t="s">
        <v>10</v>
      </c>
      <c r="D5" s="1" t="s">
        <v>9</v>
      </c>
      <c r="E5" s="1" t="s">
        <v>7</v>
      </c>
      <c r="F5" s="1" t="s">
        <v>11</v>
      </c>
      <c r="G5" s="1" t="s">
        <v>66</v>
      </c>
      <c r="I5" t="s">
        <v>8</v>
      </c>
      <c r="J5" s="1" t="s">
        <v>10</v>
      </c>
      <c r="K5" s="1" t="s">
        <v>9</v>
      </c>
      <c r="L5" s="1" t="s">
        <v>7</v>
      </c>
      <c r="M5" s="1" t="s">
        <v>11</v>
      </c>
      <c r="N5" s="1" t="s">
        <v>66</v>
      </c>
    </row>
    <row r="6" spans="1:16">
      <c r="A6" t="s">
        <v>135</v>
      </c>
      <c r="B6" s="2">
        <f>Baseline!M10/'Expansion scenario'!B2</f>
        <v>0.80200694092411207</v>
      </c>
      <c r="C6" s="2">
        <f>Sep_S!M10/'Expansion scenario'!B2</f>
        <v>0.68334750551036627</v>
      </c>
      <c r="D6" s="2">
        <f>Sep_S_C!M10/'Expansion scenario'!B2</f>
        <v>0.68334750551036627</v>
      </c>
      <c r="E6" s="2">
        <f>Sep_C!M10/'Expansion scenario'!B2</f>
        <v>0.58434344521033488</v>
      </c>
      <c r="F6" s="2">
        <f>'N strip'!M10/'Expansion scenario'!B2</f>
        <v>8.7351230870788485E-2</v>
      </c>
      <c r="G6" s="2">
        <f>Biogas!M10/'Expansion scenario'!B2</f>
        <v>0.84624728498096358</v>
      </c>
    </row>
    <row r="7" spans="1:16">
      <c r="A7" t="s">
        <v>136</v>
      </c>
      <c r="B7" s="2">
        <f>Baseline!M10/'Expansion scenario'!B1</f>
        <v>2.476683731258591</v>
      </c>
      <c r="C7" s="2">
        <f>Sep_S!M10/B1</f>
        <v>2.1102506266885377</v>
      </c>
      <c r="D7" s="2">
        <f>Sep_S_C!M10/'Expansion scenario'!B1</f>
        <v>2.1102506266885377</v>
      </c>
      <c r="E7" s="2">
        <f>Sep_C!M10/'Expansion scenario'!B1</f>
        <v>1.8045154354305935</v>
      </c>
      <c r="F7" s="2">
        <f>'N strip'!M10/'Expansion scenario'!B1</f>
        <v>0.26975000011074196</v>
      </c>
      <c r="G7" s="2">
        <f>Biogas!M10/'Expansion scenario'!B1</f>
        <v>2.6133026740630454</v>
      </c>
      <c r="I7">
        <f>B7/B11</f>
        <v>1</v>
      </c>
      <c r="J7">
        <f t="shared" ref="J7:L7" si="0">C7/C11</f>
        <v>0.85372695857592851</v>
      </c>
      <c r="K7">
        <f t="shared" si="0"/>
        <v>0.84597957989528016</v>
      </c>
      <c r="L7">
        <f t="shared" si="0"/>
        <v>0.72982660126639931</v>
      </c>
      <c r="M7">
        <f t="shared" ref="M7" si="1">F7/F11</f>
        <v>0.11108755968474608</v>
      </c>
      <c r="N7">
        <f t="shared" ref="N7" si="2">G7/G11</f>
        <v>1</v>
      </c>
    </row>
    <row r="8" spans="1:16">
      <c r="A8" t="s">
        <v>137</v>
      </c>
      <c r="B8" s="2">
        <v>0</v>
      </c>
      <c r="C8" s="2">
        <f>Sep_S!M11/'Expansion scenario'!B2</f>
        <v>0.11708113112333438</v>
      </c>
      <c r="D8" s="2">
        <f>Sep_S_C!M11/'Expansion scenario'!B2</f>
        <v>0.12441135977448452</v>
      </c>
      <c r="E8" s="2">
        <f>Sep_C!M11/'Expansion scenario'!B2</f>
        <v>0.2163172106171983</v>
      </c>
      <c r="F8" s="2">
        <f>'N strip'!M11/'Expansion scenario'!B2</f>
        <v>0.2163172106171983</v>
      </c>
      <c r="G8" s="2">
        <v>0</v>
      </c>
    </row>
    <row r="9" spans="1:16">
      <c r="A9" t="s">
        <v>138</v>
      </c>
      <c r="B9" s="2">
        <v>0</v>
      </c>
      <c r="C9" s="2">
        <f>Sep_S!M11/'Expansion scenario'!B1</f>
        <v>0.36155913109230076</v>
      </c>
      <c r="D9" s="2">
        <f>Sep_S_C!M11/'Expansion scenario'!B1</f>
        <v>0.38419566591554111</v>
      </c>
      <c r="E9" s="2">
        <f>Sep_C!M11/'Expansion scenario'!B1</f>
        <v>0.66801082258656796</v>
      </c>
      <c r="F9" s="2">
        <f>'N strip'!M11/'Expansion scenario'!B1</f>
        <v>0.66801082258656796</v>
      </c>
      <c r="G9" s="2">
        <v>0</v>
      </c>
      <c r="J9">
        <f>C9/C11</f>
        <v>0.14627304142407152</v>
      </c>
      <c r="K9">
        <f t="shared" ref="K9:N9" si="3">D9/D11</f>
        <v>0.15402042010471984</v>
      </c>
      <c r="L9">
        <f t="shared" si="3"/>
        <v>0.27017339873360058</v>
      </c>
      <c r="M9">
        <f t="shared" si="3"/>
        <v>0.27509802444365822</v>
      </c>
      <c r="N9">
        <f t="shared" si="3"/>
        <v>0</v>
      </c>
    </row>
    <row r="10" spans="1:16">
      <c r="A10" t="s">
        <v>139</v>
      </c>
      <c r="B10" s="2"/>
      <c r="C10" s="2"/>
      <c r="D10" s="2"/>
      <c r="E10" s="2"/>
      <c r="F10" s="2">
        <f>'N strip'!M12/'Expansion scenario'!B1</f>
        <v>1.4905038801754684</v>
      </c>
      <c r="G10" s="2"/>
      <c r="M10">
        <f>F10/F11</f>
        <v>0.6138144158715958</v>
      </c>
    </row>
    <row r="11" spans="1:16">
      <c r="A11" t="s">
        <v>74</v>
      </c>
      <c r="B11" s="2">
        <f>B7</f>
        <v>2.476683731258591</v>
      </c>
      <c r="C11" s="2">
        <f>C7+C9</f>
        <v>2.4718097577808384</v>
      </c>
      <c r="D11" s="2">
        <f t="shared" ref="D11:G11" si="4">D7+D9</f>
        <v>2.4944462926040787</v>
      </c>
      <c r="E11" s="2">
        <f t="shared" si="4"/>
        <v>2.4725262580171616</v>
      </c>
      <c r="F11" s="2">
        <f>F7+F9+F10</f>
        <v>2.4282647028727782</v>
      </c>
      <c r="G11" s="2">
        <f t="shared" si="4"/>
        <v>2.6133026740630454</v>
      </c>
    </row>
    <row r="12" spans="1:16">
      <c r="B12" s="2"/>
      <c r="C12" s="2"/>
      <c r="D12" s="2"/>
      <c r="E12" s="2"/>
      <c r="F12" s="2"/>
      <c r="G12" s="2"/>
    </row>
    <row r="13" spans="1:16">
      <c r="A13" t="s">
        <v>71</v>
      </c>
      <c r="B13" s="2">
        <f>(Baseline!N10/'Expansion scenario'!B1)</f>
        <v>0.51058271956468682</v>
      </c>
      <c r="C13" s="11">
        <f>(Sep_S!N10/'Expansion scenario'!B1)</f>
        <v>0.42378359965289053</v>
      </c>
      <c r="D13" s="11">
        <f>(Sep_S_C!N10/'Expansion scenario'!B1)</f>
        <v>0.42378359965289053</v>
      </c>
      <c r="E13" s="2">
        <f>(Sep_C!N10/'Expansion scenario'!B1)</f>
        <v>0.14806894880666721</v>
      </c>
      <c r="F13" s="2">
        <f>('N strip'!N10/'Expansion scenario'!B1)</f>
        <v>0.14806894880666721</v>
      </c>
      <c r="G13" s="2">
        <f>(Biogas!N10/'Expansion scenario'!B1)</f>
        <v>0.52958603340596522</v>
      </c>
    </row>
    <row r="14" spans="1:16">
      <c r="A14" t="s">
        <v>72</v>
      </c>
      <c r="B14" s="2">
        <f>(Baseline!N11/'Expansion scenario'!B1)</f>
        <v>0</v>
      </c>
      <c r="C14" s="11">
        <f>(Sep_S!N11/'Expansion scenario'!B1)</f>
        <v>8.6799031318258557E-2</v>
      </c>
      <c r="D14" s="11">
        <f>(Sep_S_C!N11/'Expansion scenario'!B1)</f>
        <v>9.2143303591006157E-2</v>
      </c>
      <c r="E14" s="2">
        <f>(Sep_C!N11/'Expansion scenario'!B1)</f>
        <v>0.36251368216448188</v>
      </c>
      <c r="F14" s="2">
        <f>('N strip'!N11/'Expansion scenario'!B1)</f>
        <v>0.36251368216448188</v>
      </c>
      <c r="G14" s="2">
        <f>(Biogas!N11/'Expansion scenario'!B1)</f>
        <v>0</v>
      </c>
    </row>
    <row r="15" spans="1:16">
      <c r="A15" t="s">
        <v>80</v>
      </c>
      <c r="C15" s="11">
        <f>C14/C9</f>
        <v>0.24006870205720246</v>
      </c>
      <c r="D15" s="11">
        <f>D14/D9</f>
        <v>0.23983431299629054</v>
      </c>
      <c r="E15" s="11">
        <f>E14/E9</f>
        <v>0.54267636078231873</v>
      </c>
      <c r="F15" s="11">
        <f>F14/(F9+F10)</f>
        <v>0.16794589432289214</v>
      </c>
    </row>
    <row r="16" spans="1:16">
      <c r="A16" t="s">
        <v>159</v>
      </c>
      <c r="C16" s="11">
        <f>C14/(C14+C13)</f>
        <v>0.16999996876737317</v>
      </c>
      <c r="D16" s="11">
        <f t="shared" ref="D16:F16" si="5">D14/(D14+D13)</f>
        <v>0.17859759398405861</v>
      </c>
      <c r="E16" s="11">
        <f t="shared" si="5"/>
        <v>0.71000002776233495</v>
      </c>
      <c r="F16" s="11">
        <f t="shared" si="5"/>
        <v>0.71000002776233495</v>
      </c>
    </row>
    <row r="18" spans="1:17">
      <c r="A18" t="s">
        <v>73</v>
      </c>
      <c r="B18" s="2">
        <f>B9/B11</f>
        <v>0</v>
      </c>
      <c r="C18" s="2">
        <f>C9/C11</f>
        <v>0.14627304142407152</v>
      </c>
      <c r="D18" s="2">
        <f>D9/D11</f>
        <v>0.15402042010471984</v>
      </c>
      <c r="E18" s="2">
        <f>E9/E11</f>
        <v>0.27017339873360058</v>
      </c>
      <c r="F18" s="2">
        <f>(F9+F10)/F11</f>
        <v>0.88891244031525396</v>
      </c>
      <c r="G18" s="2">
        <f>G9/G11</f>
        <v>0</v>
      </c>
    </row>
    <row r="19" spans="1:17">
      <c r="A19" t="s">
        <v>77</v>
      </c>
      <c r="B19" s="2"/>
      <c r="C19" s="2">
        <f>Sep_S!F15/(Sep_S!F14+Sep_S!F15)</f>
        <v>0.10739039407001531</v>
      </c>
      <c r="D19" s="2">
        <f>Sep_S_C!F16/(Sep_S_C!F15+Sep_S_C!F16)</f>
        <v>9.440877214159718E-2</v>
      </c>
      <c r="E19" s="2">
        <f>Sep_C!F16/(Sep_C!F16+Sep_C!F15)</f>
        <v>0.22099873532568412</v>
      </c>
      <c r="F19" s="2">
        <f>('N strip'!F14+'N strip'!F15)/('N strip'!F13+'N strip'!F14+'N strip'!F15)</f>
        <v>0.8806020871930017</v>
      </c>
      <c r="G19" s="2"/>
    </row>
    <row r="20" spans="1:17">
      <c r="B20" s="2"/>
      <c r="C20" s="2"/>
      <c r="D20" s="2"/>
      <c r="E20" s="2"/>
      <c r="F20" s="2"/>
      <c r="G20" s="2"/>
    </row>
    <row r="21" spans="1:17">
      <c r="A21" t="s">
        <v>88</v>
      </c>
      <c r="B21" s="2">
        <f>Baseline!C5/$B$1</f>
        <v>0.5923239901111893</v>
      </c>
      <c r="C21" s="2">
        <f>Sep_S!C5/$B$1</f>
        <v>0.5923239901111893</v>
      </c>
      <c r="D21" s="2">
        <f>Sep_S_C!C5/$B$1</f>
        <v>0.5923239901111893</v>
      </c>
      <c r="E21" s="2">
        <f>Sep_C!C5/$B$1</f>
        <v>0.5923239901111893</v>
      </c>
      <c r="F21" s="2">
        <f>'N strip'!C5/$B$1</f>
        <v>0.5923239901111893</v>
      </c>
      <c r="G21" s="2">
        <f>Biogas!C5/$B$1</f>
        <v>0.5923239901111893</v>
      </c>
    </row>
    <row r="22" spans="1:17">
      <c r="A22" t="s">
        <v>89</v>
      </c>
      <c r="B22" s="2">
        <f>Baseline!C7/'Expansion scenario'!$B$1</f>
        <v>1.9099517563890337E-2</v>
      </c>
      <c r="C22" s="2">
        <f>(Sep_S!C10+Sep_S!C11)/'Expansion scenario'!$B$1</f>
        <v>2.2856220218728587E-2</v>
      </c>
      <c r="D22" s="2">
        <f>Sep_S_C!C12/'Expansion scenario'!$B$1</f>
        <v>2.3492085274823798E-2</v>
      </c>
      <c r="E22" s="2">
        <f>Sep_C!C12/'Expansion scenario'!$B$1</f>
        <v>2.1757753374195627E-2</v>
      </c>
      <c r="F22" s="2">
        <f>'N strip'!C11/'Expansion scenario'!$B$1</f>
        <v>6.6019456912754404E-2</v>
      </c>
      <c r="G22" s="2">
        <f>Biogas!C7/'Expansion scenario'!$B$1</f>
        <v>2.5007169432040118E-2</v>
      </c>
    </row>
    <row r="23" spans="1:17">
      <c r="A23" t="s">
        <v>94</v>
      </c>
      <c r="B23" s="2">
        <f>SUM(B21:B22)</f>
        <v>0.61142350767507969</v>
      </c>
      <c r="C23" s="2">
        <f t="shared" ref="C23:G23" si="6">SUM(C21:C22)</f>
        <v>0.61518021032991788</v>
      </c>
      <c r="D23" s="2">
        <f t="shared" si="6"/>
        <v>0.61581607538601313</v>
      </c>
      <c r="E23" s="2">
        <f t="shared" si="6"/>
        <v>0.61408174348538491</v>
      </c>
      <c r="F23" s="2">
        <f t="shared" si="6"/>
        <v>0.65834344702394376</v>
      </c>
      <c r="G23" s="2">
        <f t="shared" si="6"/>
        <v>0.61733115954322937</v>
      </c>
    </row>
    <row r="24" spans="1:17">
      <c r="B24" s="2"/>
      <c r="C24" s="2"/>
      <c r="D24" s="2"/>
      <c r="E24" s="2"/>
      <c r="F24" s="2"/>
      <c r="G24" s="2"/>
    </row>
    <row r="25" spans="1:17">
      <c r="B25" s="2"/>
      <c r="C25" s="2"/>
      <c r="D25" s="2"/>
      <c r="E25" s="2"/>
      <c r="F25" s="2"/>
      <c r="G25" s="2"/>
    </row>
    <row r="26" spans="1:17">
      <c r="A26" s="6" t="s">
        <v>87</v>
      </c>
      <c r="I26" s="1" t="s">
        <v>10</v>
      </c>
      <c r="J26" s="1" t="s">
        <v>9</v>
      </c>
      <c r="K26" s="1" t="s">
        <v>7</v>
      </c>
      <c r="L26" s="1" t="s">
        <v>11</v>
      </c>
      <c r="M26" s="1" t="s">
        <v>66</v>
      </c>
    </row>
    <row r="27" spans="1:17">
      <c r="A27" t="s">
        <v>93</v>
      </c>
      <c r="B27" s="5">
        <f t="shared" ref="B27:G27" si="7">$B$4*$J$2/B7</f>
        <v>6864.0173088878855</v>
      </c>
      <c r="C27" s="5">
        <f t="shared" si="7"/>
        <v>8055.9151529204182</v>
      </c>
      <c r="D27" s="5">
        <f t="shared" si="7"/>
        <v>8055.9151529204182</v>
      </c>
      <c r="E27" s="5">
        <f t="shared" si="7"/>
        <v>9420.8116296569442</v>
      </c>
      <c r="F27" s="5">
        <f t="shared" si="7"/>
        <v>63021.31600749174</v>
      </c>
      <c r="G27" s="5">
        <f t="shared" si="7"/>
        <v>6505.1783586817237</v>
      </c>
      <c r="I27" s="5">
        <f>100*(C27-$B27)/$B27</f>
        <v>17.364435291985664</v>
      </c>
      <c r="J27" s="5">
        <f t="shared" ref="J27:M27" si="8">100*(D27-$B27)/$B27</f>
        <v>17.364435291985664</v>
      </c>
      <c r="K27" s="5">
        <f t="shared" si="8"/>
        <v>37.249240578959331</v>
      </c>
      <c r="L27" s="5">
        <f t="shared" si="8"/>
        <v>818.14040046036121</v>
      </c>
      <c r="M27" s="5">
        <f t="shared" si="8"/>
        <v>-5.2278270006912502</v>
      </c>
      <c r="N27" s="5"/>
    </row>
    <row r="28" spans="1:17">
      <c r="A28" t="s">
        <v>69</v>
      </c>
      <c r="B28" s="1">
        <v>0</v>
      </c>
      <c r="C28" s="1">
        <f>C27*C9/$J$2</f>
        <v>17.133468722607091</v>
      </c>
      <c r="D28" s="1">
        <f>D27*D9/$J$2</f>
        <v>18.206162863149167</v>
      </c>
      <c r="E28" s="1">
        <f>E27*E9/$J$2</f>
        <v>37.018847800942595</v>
      </c>
      <c r="F28" s="1">
        <f>F27*F9/$J$2</f>
        <v>247.64071262736826</v>
      </c>
      <c r="G28" s="1">
        <v>0</v>
      </c>
    </row>
    <row r="29" spans="1:17">
      <c r="A29" t="s">
        <v>67</v>
      </c>
      <c r="B29" s="5">
        <f>B13*B27/$B$4</f>
        <v>35.0464862471106</v>
      </c>
      <c r="C29" s="5">
        <f t="shared" ref="C29:G29" si="9">C13*C27/$B$4</f>
        <v>34.139647220028813</v>
      </c>
      <c r="D29" s="5">
        <f t="shared" si="9"/>
        <v>34.139647220028813</v>
      </c>
      <c r="E29" s="5">
        <f t="shared" si="9"/>
        <v>13.949296749089292</v>
      </c>
      <c r="F29" s="5">
        <f t="shared" si="9"/>
        <v>93.315000136420906</v>
      </c>
      <c r="G29" s="5">
        <f t="shared" si="9"/>
        <v>34.450516035725812</v>
      </c>
      <c r="O29" t="s">
        <v>161</v>
      </c>
      <c r="P29">
        <f>23.7*G27/B4</f>
        <v>1541.7272710075683</v>
      </c>
      <c r="Q29" t="s">
        <v>160</v>
      </c>
    </row>
    <row r="30" spans="1:17">
      <c r="A30" t="s">
        <v>68</v>
      </c>
      <c r="B30" s="5">
        <v>0</v>
      </c>
      <c r="C30" s="5">
        <f>C14*'Expansion scenario'!C27/C28</f>
        <v>40.811679349724422</v>
      </c>
      <c r="D30" s="5">
        <f>D14*'Expansion scenario'!D27/D28</f>
        <v>40.77183320936939</v>
      </c>
      <c r="E30" s="5">
        <f>E14*'Expansion scenario'!E27/E28</f>
        <v>92.254981332994177</v>
      </c>
      <c r="F30" s="5">
        <f>F14*'Expansion scenario'!F27/F28</f>
        <v>92.254981332994177</v>
      </c>
      <c r="G30">
        <f>(Biogas!N11/'Expansion scenario'!B1)*'Expansion scenario'!G27</f>
        <v>0</v>
      </c>
      <c r="P30">
        <f>G27*23.7/1000</f>
        <v>154.17272710075684</v>
      </c>
    </row>
    <row r="32" spans="1:17">
      <c r="B32" s="5"/>
      <c r="C32" s="5"/>
      <c r="D32" s="5"/>
      <c r="E32" s="5"/>
      <c r="F32" s="5"/>
    </row>
    <row r="33" spans="1:13">
      <c r="A33" s="8" t="s">
        <v>127</v>
      </c>
      <c r="B33" s="9">
        <f>B21*B27/$B$4</f>
        <v>40.657221205927399</v>
      </c>
      <c r="C33" s="9">
        <f t="shared" ref="C33:G33" si="10">C21*C27/$B$4</f>
        <v>47.717118073750136</v>
      </c>
      <c r="D33" s="9">
        <f t="shared" si="10"/>
        <v>47.717118073750136</v>
      </c>
      <c r="E33" s="9">
        <f t="shared" si="10"/>
        <v>55.801727345642966</v>
      </c>
      <c r="F33" s="9">
        <f t="shared" si="10"/>
        <v>373.29037359615671</v>
      </c>
      <c r="G33" s="9">
        <f t="shared" si="10"/>
        <v>38.531732017993157</v>
      </c>
    </row>
    <row r="34" spans="1:13">
      <c r="A34" t="s">
        <v>128</v>
      </c>
      <c r="B34" s="9">
        <f>B22*B27/$B$4</f>
        <v>1.3109941914995145</v>
      </c>
      <c r="C34" s="9">
        <f t="shared" ref="C34:G34" si="11">C22*C27/$B$4</f>
        <v>1.8412777079854166</v>
      </c>
      <c r="D34" s="9">
        <f t="shared" si="11"/>
        <v>1.8925024573915166</v>
      </c>
      <c r="E34" s="9">
        <f t="shared" si="11"/>
        <v>2.0497569602282981</v>
      </c>
      <c r="F34" s="9">
        <f t="shared" si="11"/>
        <v>41.606330567416798</v>
      </c>
      <c r="G34" s="9">
        <f t="shared" si="11"/>
        <v>1.6267609740119451</v>
      </c>
    </row>
    <row r="35" spans="1:13">
      <c r="A35" t="s">
        <v>90</v>
      </c>
      <c r="B35" s="5">
        <f>(Baseline!C9/$B$1)*B27/$B$4</f>
        <v>20.766147044704493</v>
      </c>
      <c r="C35" s="5">
        <f>(Sep_S!C14/$B$1)*C27/$B$4</f>
        <v>16.311099479167552</v>
      </c>
      <c r="D35" s="5">
        <f>(Sep_S_C!C15/$B$1)*D27/$B$4</f>
        <v>16.311099479167552</v>
      </c>
      <c r="E35" s="5">
        <f>(Sep_C!C15/$B$1)*E27/$B$4</f>
        <v>17.946248018445363</v>
      </c>
      <c r="F35" s="5">
        <f>('N strip'!C13/$B$1)*F27/$B$4</f>
        <v>2.0535671670674351</v>
      </c>
      <c r="G35" s="5">
        <f>(Biogas!C9/$B$1)*G27/$B$4</f>
        <v>25.767894796561372</v>
      </c>
    </row>
    <row r="36" spans="1:13">
      <c r="B36" s="5"/>
      <c r="C36" s="5"/>
      <c r="D36" s="5"/>
      <c r="E36" s="5"/>
      <c r="F36" s="5"/>
      <c r="G36" s="5"/>
    </row>
    <row r="37" spans="1:13">
      <c r="A37" t="s">
        <v>91</v>
      </c>
      <c r="B37" s="5">
        <f>SUM(B33:B35)</f>
        <v>62.734362442131413</v>
      </c>
      <c r="C37" s="5">
        <f t="shared" ref="C37:G37" si="12">SUM(C33:C35)</f>
        <v>65.869495260903108</v>
      </c>
      <c r="D37" s="5">
        <f t="shared" si="12"/>
        <v>65.920720010309196</v>
      </c>
      <c r="E37" s="5">
        <f t="shared" si="12"/>
        <v>75.797732324316627</v>
      </c>
      <c r="F37" s="5">
        <f t="shared" si="12"/>
        <v>416.95027133064099</v>
      </c>
      <c r="G37" s="5">
        <f t="shared" si="12"/>
        <v>65.926387788566473</v>
      </c>
    </row>
    <row r="38" spans="1:13">
      <c r="B38" s="1"/>
      <c r="C38" s="1"/>
      <c r="D38" s="1"/>
      <c r="E38" s="1"/>
      <c r="F38" s="1"/>
      <c r="G38" s="1"/>
    </row>
    <row r="39" spans="1:13">
      <c r="A39" t="s">
        <v>75</v>
      </c>
      <c r="B39" s="5">
        <f>(Baseline!F12/'Expansion scenario'!B1)*'Expansion scenario'!B27/'Expansion scenario'!B4</f>
        <v>58.947394402119365</v>
      </c>
      <c r="C39" s="5">
        <f>(Sep_S!F14/'Expansion scenario'!B1)*'Expansion scenario'!C27/'Expansion scenario'!B4</f>
        <v>62.243987475033272</v>
      </c>
      <c r="D39" s="5">
        <f>(Sep_S_C!F15/'Expansion scenario'!B1)*'Expansion scenario'!D27/'Expansion scenario'!B4</f>
        <v>62.243987475033272</v>
      </c>
      <c r="E39" s="5">
        <f>(Sep_C!F15/'Expansion scenario'!B1)*'Expansion scenario'!E27/'Expansion scenario'!B4</f>
        <v>61.581783949776899</v>
      </c>
      <c r="F39" s="5">
        <f>('N strip'!F13/'Expansion scenario'!B1)*'Expansion scenario'!F27/'Expansion scenario'!B4</f>
        <v>68.018296971269379</v>
      </c>
      <c r="G39" s="5">
        <f>(Biogas!F12/'Expansion scenario'!B1)*'Expansion scenario'!G27/'Expansion scenario'!B4</f>
        <v>67.789086506400679</v>
      </c>
    </row>
    <row r="40" spans="1:13">
      <c r="A40" t="s">
        <v>76</v>
      </c>
      <c r="B40" s="5"/>
      <c r="C40" s="5">
        <f>(Sep_S!F15/'Expansion scenario'!B1)*'Expansion scenario'!C27/C28</f>
        <v>43.707502424897399</v>
      </c>
      <c r="D40" s="5">
        <f>(Sep_S_C!F16/'Expansion scenario'!B1)*'Expansion scenario'!D27/D28</f>
        <v>35.641758696106095</v>
      </c>
      <c r="E40" s="5">
        <f>(Sep_C!F16/'Expansion scenario'!B1)*'Expansion scenario'!E27/'Expansion scenario'!E28</f>
        <v>47.193370366512028</v>
      </c>
      <c r="F40" s="5">
        <f>('N strip'!F14/'Expansion scenario'!B1)*'Expansion scenario'!F27/'Expansion scenario'!F28</f>
        <v>47.193370366512028</v>
      </c>
      <c r="G40" s="5"/>
      <c r="H40" s="2"/>
    </row>
    <row r="41" spans="1:13">
      <c r="H41" s="2"/>
    </row>
    <row r="43" spans="1:13">
      <c r="A43" s="6" t="s">
        <v>86</v>
      </c>
      <c r="B43" s="2"/>
      <c r="C43" s="2"/>
      <c r="D43" s="2"/>
      <c r="E43" s="2"/>
      <c r="F43" s="2"/>
      <c r="G43" s="2"/>
    </row>
    <row r="44" spans="1:13">
      <c r="A44" t="s">
        <v>93</v>
      </c>
      <c r="B44" s="5">
        <f t="shared" ref="B44:G44" si="13">$B$4*$J$3/B13</f>
        <v>4112.9476567291986</v>
      </c>
      <c r="C44" s="5">
        <f t="shared" si="13"/>
        <v>4955.3592959237976</v>
      </c>
      <c r="D44" s="5">
        <f t="shared" si="13"/>
        <v>4955.3592959237976</v>
      </c>
      <c r="E44" s="5">
        <f t="shared" si="13"/>
        <v>14182.581945266311</v>
      </c>
      <c r="F44" s="5">
        <f t="shared" si="13"/>
        <v>14182.581945266311</v>
      </c>
      <c r="G44" s="5">
        <f t="shared" si="13"/>
        <v>3965.3613719646592</v>
      </c>
      <c r="I44" s="5">
        <f>100*(C44-$B44)/$B44</f>
        <v>20.481944082520194</v>
      </c>
      <c r="J44" s="5">
        <f t="shared" ref="J44" si="14">100*(D44-$B44)/$B44</f>
        <v>20.481944082520194</v>
      </c>
      <c r="K44" s="5">
        <f t="shared" ref="K44" si="15">100*(E44-$B44)/$B44</f>
        <v>244.82767905062374</v>
      </c>
      <c r="L44" s="5">
        <f t="shared" ref="L44" si="16">100*(F44-$B44)/$B44</f>
        <v>244.82767905062374</v>
      </c>
      <c r="M44" s="5">
        <f t="shared" ref="M44" si="17">100*(G44-$B44)/$B44</f>
        <v>-3.5883336497869922</v>
      </c>
    </row>
    <row r="45" spans="1:13">
      <c r="A45" t="s">
        <v>70</v>
      </c>
      <c r="B45" s="1">
        <f t="shared" ref="B45:G45" si="18">B44*B14/$J$3</f>
        <v>0</v>
      </c>
      <c r="C45" s="1">
        <f t="shared" si="18"/>
        <v>20.481923177148257</v>
      </c>
      <c r="D45" s="1">
        <f t="shared" si="18"/>
        <v>21.743008381277189</v>
      </c>
      <c r="E45" s="1">
        <f t="shared" si="18"/>
        <v>244.82761921799954</v>
      </c>
      <c r="F45" s="1">
        <f t="shared" si="18"/>
        <v>244.82761921799954</v>
      </c>
      <c r="G45">
        <f t="shared" si="18"/>
        <v>0</v>
      </c>
    </row>
    <row r="46" spans="1:13">
      <c r="A46" t="s">
        <v>81</v>
      </c>
      <c r="B46" s="5">
        <f t="shared" ref="B46:G46" si="19">B44*B$7/$B$4</f>
        <v>101.86470548939349</v>
      </c>
      <c r="C46" s="5">
        <f t="shared" si="19"/>
        <v>104.57050059690066</v>
      </c>
      <c r="D46" s="5">
        <f t="shared" si="19"/>
        <v>104.57050059690066</v>
      </c>
      <c r="E46" s="5">
        <f t="shared" si="19"/>
        <v>255.92688034492309</v>
      </c>
      <c r="F46" s="5">
        <f t="shared" si="19"/>
        <v>38.257514813061945</v>
      </c>
      <c r="G46" s="5">
        <f t="shared" si="19"/>
        <v>103.62689476981549</v>
      </c>
    </row>
    <row r="47" spans="1:13">
      <c r="A47" t="s">
        <v>84</v>
      </c>
      <c r="B47" s="1">
        <f>B44*B$8/$B$4</f>
        <v>0</v>
      </c>
      <c r="C47" s="1">
        <f t="shared" ref="C47:G47" si="20">C44*C$8/$B$4</f>
        <v>5.8017907148928805</v>
      </c>
      <c r="D47" s="1">
        <f t="shared" si="20"/>
        <v>6.1650298817701188</v>
      </c>
      <c r="E47" s="1">
        <f t="shared" si="20"/>
        <v>30.679365657498465</v>
      </c>
      <c r="F47" s="1">
        <f t="shared" si="20"/>
        <v>30.679365657498465</v>
      </c>
      <c r="G47" s="1">
        <f t="shared" si="20"/>
        <v>0</v>
      </c>
    </row>
    <row r="49" spans="1:19">
      <c r="A49" s="8" t="s">
        <v>127</v>
      </c>
      <c r="B49" s="9">
        <f>B21*B44/$B$4</f>
        <v>24.361975671523052</v>
      </c>
      <c r="C49" s="9">
        <f t="shared" ref="C49:G49" si="21">C21*C44/$B$4</f>
        <v>29.351781905961573</v>
      </c>
      <c r="D49" s="9">
        <f t="shared" si="21"/>
        <v>29.351781905961573</v>
      </c>
      <c r="E49" s="9">
        <f t="shared" si="21"/>
        <v>84.00683527899055</v>
      </c>
      <c r="F49" s="9">
        <f t="shared" si="21"/>
        <v>84.00683527899055</v>
      </c>
      <c r="G49" s="9">
        <f t="shared" si="21"/>
        <v>23.48778670074887</v>
      </c>
    </row>
    <row r="50" spans="1:19">
      <c r="A50" t="s">
        <v>128</v>
      </c>
      <c r="B50" s="9">
        <f>B22*B44/$B$4</f>
        <v>0.78555316009060927</v>
      </c>
      <c r="C50" s="9">
        <f t="shared" ref="C50:G50" si="22">C22*C44/$B$4</f>
        <v>1.1326078333055816</v>
      </c>
      <c r="D50" s="9">
        <f t="shared" si="22"/>
        <v>1.1641172314723267</v>
      </c>
      <c r="E50" s="9">
        <f t="shared" si="22"/>
        <v>3.0858112017442405</v>
      </c>
      <c r="F50" s="9">
        <f t="shared" si="22"/>
        <v>9.3632635764711782</v>
      </c>
      <c r="G50" s="9">
        <f t="shared" si="22"/>
        <v>0.99162463687987279</v>
      </c>
    </row>
    <row r="51" spans="1:19">
      <c r="A51" t="s">
        <v>90</v>
      </c>
      <c r="B51" s="5">
        <f>(Baseline!C9/$B$1)*B44/$B$4</f>
        <v>12.443161487401541</v>
      </c>
      <c r="C51" s="5">
        <f>(Sep_S!C14/$B$1)*C44/$B$4</f>
        <v>10.033293163661154</v>
      </c>
      <c r="D51" s="5">
        <f>(Sep_S_C!C15/$B$1)*D44/$B$4</f>
        <v>10.033293163661154</v>
      </c>
      <c r="E51" s="5">
        <f>(Sep_C!C15/$B$1)*E44/$B$4</f>
        <v>27.017219230923409</v>
      </c>
      <c r="F51" s="5">
        <f>('N strip'!C13/$B$1)*F44/$B$4</f>
        <v>0.46214339008058852</v>
      </c>
      <c r="G51" s="5">
        <f>(Biogas!C9/$B$1)*G44/$B$4</f>
        <v>15.707334838370246</v>
      </c>
    </row>
    <row r="52" spans="1:19">
      <c r="A52" t="s">
        <v>91</v>
      </c>
      <c r="B52" s="5">
        <f>SUM(B49:B51)</f>
        <v>37.590690319015202</v>
      </c>
      <c r="C52" s="5">
        <f t="shared" ref="C52:G52" si="23">SUM(C49:C51)</f>
        <v>40.517682902928307</v>
      </c>
      <c r="D52" s="5">
        <f t="shared" si="23"/>
        <v>40.549192301095054</v>
      </c>
      <c r="E52" s="5">
        <f t="shared" si="23"/>
        <v>114.10986571165819</v>
      </c>
      <c r="F52" s="5">
        <f t="shared" si="23"/>
        <v>93.832242245542318</v>
      </c>
      <c r="G52" s="5">
        <f t="shared" si="23"/>
        <v>40.186746175998991</v>
      </c>
    </row>
    <row r="54" spans="1:19">
      <c r="A54" t="s">
        <v>75</v>
      </c>
      <c r="B54" s="5">
        <f>(Baseline!F12/'Expansion scenario'!B1)*'Expansion scenario'!B44/'Expansion scenario'!B4</f>
        <v>35.321523353758892</v>
      </c>
      <c r="C54" s="5">
        <f>(Sep_S!F14/'Expansion scenario'!B1)*'Expansion scenario'!C44/'Expansion scenario'!B4</f>
        <v>38.287558408302608</v>
      </c>
      <c r="D54" s="5">
        <f>(Sep_S_C!F15/'Expansion scenario'!B1)*'Expansion scenario'!D44/'Expansion scenario'!B4</f>
        <v>38.287558408302608</v>
      </c>
      <c r="E54" s="5">
        <f>(Sep_C!F16/'Expansion scenario'!B1)*'Expansion scenario'!E44/'Expansion scenario'!B4</f>
        <v>26.300915917811508</v>
      </c>
      <c r="F54" s="5">
        <f>('N strip'!F13/'Expansion scenario'!B1)*'Expansion scenario'!F44/'Expansion scenario'!B4</f>
        <v>15.307123552574028</v>
      </c>
      <c r="G54" s="5">
        <f>(Biogas!F12/'Expansion scenario'!B1)*'Expansion scenario'!G44/'Expansion scenario'!B4</f>
        <v>41.322191376121779</v>
      </c>
    </row>
    <row r="55" spans="1:19">
      <c r="A55" t="s">
        <v>76</v>
      </c>
      <c r="B55" s="5"/>
      <c r="C55" s="5">
        <f>(Sep_S!F15/'Expansion scenario'!B1)*'Expansion scenario'!C44/C45</f>
        <v>22.490070625555948</v>
      </c>
      <c r="D55" s="5">
        <f>(Sep_S_C!F16/'Expansion scenario'!B1)*'Expansion scenario'!D44/D45</f>
        <v>18.357696323701912</v>
      </c>
      <c r="E55" s="5">
        <f>(Sep_C!F16/'Expansion scenario'!B1)*'Expansion scenario'!E44/'Expansion scenario'!E45</f>
        <v>10.742626179929738</v>
      </c>
      <c r="F55" s="5">
        <f>('N strip'!F14/'Expansion scenario'!B1)*'Expansion scenario'!F44/'Expansion scenario'!F45</f>
        <v>10.742626179929738</v>
      </c>
      <c r="G55" s="5"/>
    </row>
    <row r="57" spans="1:19">
      <c r="A57" s="6" t="s">
        <v>82</v>
      </c>
    </row>
    <row r="58" spans="1:19">
      <c r="A58" t="s">
        <v>93</v>
      </c>
      <c r="B58" s="5">
        <f t="shared" ref="B58:G58" si="24">IF(B44&gt;B27,B27,B44)</f>
        <v>4112.9476567291986</v>
      </c>
      <c r="C58" s="5">
        <f t="shared" si="24"/>
        <v>4955.3592959237976</v>
      </c>
      <c r="D58" s="5">
        <f t="shared" si="24"/>
        <v>4955.3592959237976</v>
      </c>
      <c r="E58" s="5">
        <f t="shared" si="24"/>
        <v>9420.8116296569442</v>
      </c>
      <c r="F58" s="5">
        <f t="shared" si="24"/>
        <v>14182.581945266311</v>
      </c>
      <c r="G58" s="5">
        <f t="shared" si="24"/>
        <v>3965.3613719646592</v>
      </c>
      <c r="I58" s="5">
        <f>100*(C58-$B58)/$B58</f>
        <v>20.481944082520194</v>
      </c>
      <c r="J58" s="5">
        <f t="shared" ref="J58" si="25">100*(D58-$B58)/$B58</f>
        <v>20.481944082520194</v>
      </c>
      <c r="K58" s="5">
        <f t="shared" ref="K58" si="26">100*(E58-$B58)/$B58</f>
        <v>129.05255344651766</v>
      </c>
      <c r="L58" s="5">
        <f t="shared" ref="L58" si="27">100*(F58-$B58)/$B58</f>
        <v>244.82767905062374</v>
      </c>
      <c r="M58" s="5">
        <f t="shared" ref="M58" si="28">100*(G58-$B58)/$B58</f>
        <v>-3.5883336497869922</v>
      </c>
      <c r="P58">
        <f>F58/B58</f>
        <v>3.4482767905062373</v>
      </c>
    </row>
    <row r="59" spans="1:19">
      <c r="A59" t="s">
        <v>141</v>
      </c>
      <c r="B59" s="5">
        <v>0</v>
      </c>
      <c r="C59" s="1">
        <f>IF(C44&lt;C27,C45,C28)</f>
        <v>20.481923177148257</v>
      </c>
      <c r="D59" s="1">
        <f t="shared" ref="D59:G59" si="29">IF(D44&lt;D27,D45,D28)</f>
        <v>21.743008381277189</v>
      </c>
      <c r="E59" s="1">
        <f t="shared" si="29"/>
        <v>37.018847800942595</v>
      </c>
      <c r="F59" s="1">
        <f t="shared" si="29"/>
        <v>244.82761921799954</v>
      </c>
      <c r="G59" s="5">
        <f t="shared" si="29"/>
        <v>0</v>
      </c>
    </row>
    <row r="60" spans="1:19">
      <c r="A60" t="s">
        <v>81</v>
      </c>
      <c r="B60" s="5">
        <f>B58*B$7/$B$4</f>
        <v>101.86470548939349</v>
      </c>
      <c r="C60" s="5">
        <f t="shared" ref="C60:G60" si="30">C58*C$7/$B$4</f>
        <v>104.57050059690066</v>
      </c>
      <c r="D60" s="5">
        <f t="shared" si="30"/>
        <v>104.57050059690066</v>
      </c>
      <c r="E60" s="5">
        <f t="shared" si="30"/>
        <v>170</v>
      </c>
      <c r="F60" s="5">
        <f t="shared" si="30"/>
        <v>38.257514813061945</v>
      </c>
      <c r="G60" s="1">
        <f t="shared" si="30"/>
        <v>103.62689476981549</v>
      </c>
    </row>
    <row r="61" spans="1:19">
      <c r="A61" t="s">
        <v>85</v>
      </c>
      <c r="B61" s="1">
        <f>(Baseline!N10/'Expansion scenario'!B1)*B58/B4</f>
        <v>21</v>
      </c>
      <c r="C61" s="5">
        <f>(Sep_S!N10/'Expansion scenario'!B1)*'Expansion scenario'!C58/B4</f>
        <v>21</v>
      </c>
      <c r="D61" s="5">
        <f>(Sep_S_C!N10/'Expansion scenario'!B1)*'Expansion scenario'!D58/B4</f>
        <v>21</v>
      </c>
      <c r="E61" s="5">
        <f>(Sep_C!N10/'Expansion scenario'!B1)*'Expansion scenario'!E58/B4</f>
        <v>13.949296749089292</v>
      </c>
      <c r="F61" s="5">
        <f>('N strip'!N10/'Expansion scenario'!B1)*'Expansion scenario'!F58/B4</f>
        <v>21</v>
      </c>
      <c r="G61" s="5">
        <f>(Biogas!N10/'Expansion scenario'!B1)*'Expansion scenario'!G58/B4</f>
        <v>21</v>
      </c>
    </row>
    <row r="62" spans="1:19">
      <c r="A62" t="s">
        <v>84</v>
      </c>
      <c r="B62" s="5">
        <f t="shared" ref="B62:G62" si="31">B58*B$9/$B$4</f>
        <v>0</v>
      </c>
      <c r="C62" s="5">
        <f t="shared" si="31"/>
        <v>17.916554012843633</v>
      </c>
      <c r="D62" s="5">
        <f t="shared" si="31"/>
        <v>19.038275645482102</v>
      </c>
      <c r="E62" s="5">
        <f t="shared" si="31"/>
        <v>62.932041261602407</v>
      </c>
      <c r="F62" s="5">
        <f t="shared" si="31"/>
        <v>94.74118231658754</v>
      </c>
      <c r="G62" s="5">
        <f t="shared" si="31"/>
        <v>0</v>
      </c>
      <c r="H62" s="5"/>
    </row>
    <row r="63" spans="1:19">
      <c r="A63" t="s">
        <v>140</v>
      </c>
      <c r="B63" s="1"/>
      <c r="C63" s="1">
        <f>C58*C$14/C45</f>
        <v>21</v>
      </c>
      <c r="D63" s="1">
        <f t="shared" ref="D63:F63" si="32">D58*D$14/D45</f>
        <v>21</v>
      </c>
      <c r="E63" s="1">
        <f t="shared" si="32"/>
        <v>13.949296749089291</v>
      </c>
      <c r="F63" s="1">
        <f t="shared" si="32"/>
        <v>21</v>
      </c>
      <c r="G63" s="1"/>
    </row>
    <row r="64" spans="1:19">
      <c r="A64" t="s">
        <v>155</v>
      </c>
      <c r="B64" s="5">
        <f>B58*B7*N3/(100*$B$4)</f>
        <v>76.398529117045115</v>
      </c>
      <c r="C64" s="5">
        <f>C58*C7*O3/(100*$B$4)</f>
        <v>88.884925507365566</v>
      </c>
      <c r="D64" s="5">
        <f>D58*D7*O3/(100*$B$4)</f>
        <v>88.884925507365566</v>
      </c>
      <c r="E64" s="5">
        <f>E58*E7*O3/(100*$B$4)</f>
        <v>144.5</v>
      </c>
      <c r="F64" s="5">
        <f>F58*F7*O3/(100*$B$4)</f>
        <v>32.518887591102647</v>
      </c>
      <c r="G64" s="5">
        <f>G58*G7*O3/(100*$B$4)</f>
        <v>88.082860554343171</v>
      </c>
      <c r="K64" t="s">
        <v>163</v>
      </c>
      <c r="P64" t="s">
        <v>162</v>
      </c>
      <c r="Q64" s="5">
        <f>F58*F10</f>
        <v>21139.193420325981</v>
      </c>
      <c r="R64" t="s">
        <v>19</v>
      </c>
      <c r="S64">
        <f>M65/Q64</f>
        <v>0.46113922357683845</v>
      </c>
    </row>
    <row r="65" spans="1:16">
      <c r="A65" t="s">
        <v>158</v>
      </c>
      <c r="B65" s="5">
        <f>$M$3-B64</f>
        <v>53.601470882954885</v>
      </c>
      <c r="C65" s="5">
        <f t="shared" ref="C65:D65" si="33">$M$3-C64</f>
        <v>41.115074492634434</v>
      </c>
      <c r="D65" s="5">
        <f t="shared" si="33"/>
        <v>41.115074492634434</v>
      </c>
      <c r="E65" s="5">
        <v>0</v>
      </c>
      <c r="F65" s="5">
        <f t="shared" ref="F65" si="34">$M$3-F64</f>
        <v>97.48111240889736</v>
      </c>
      <c r="G65" s="5">
        <f t="shared" ref="G65" si="35">$M$3-G64</f>
        <v>41.917139445656829</v>
      </c>
      <c r="I65" s="5">
        <f>B65*$B$4</f>
        <v>5360.1470882954882</v>
      </c>
      <c r="J65" s="5">
        <f t="shared" ref="J65:N65" si="36">C65*$B$4</f>
        <v>4111.507449263443</v>
      </c>
      <c r="K65" s="5">
        <f t="shared" si="36"/>
        <v>4111.507449263443</v>
      </c>
      <c r="L65" s="5">
        <f t="shared" si="36"/>
        <v>0</v>
      </c>
      <c r="M65" s="5">
        <f t="shared" si="36"/>
        <v>9748.1112408897352</v>
      </c>
      <c r="N65" s="5">
        <f t="shared" si="36"/>
        <v>4191.7139445656831</v>
      </c>
    </row>
    <row r="66" spans="1:16">
      <c r="B66" s="5"/>
      <c r="C66" s="5"/>
      <c r="D66" s="5"/>
      <c r="E66" s="5"/>
      <c r="F66" s="5"/>
      <c r="G66" s="5"/>
    </row>
    <row r="67" spans="1:16">
      <c r="I67" t="s">
        <v>8</v>
      </c>
      <c r="J67" s="1" t="s">
        <v>10</v>
      </c>
      <c r="K67" s="1" t="s">
        <v>9</v>
      </c>
      <c r="L67" s="1" t="s">
        <v>7</v>
      </c>
      <c r="M67" s="1" t="s">
        <v>11</v>
      </c>
      <c r="N67" s="1" t="s">
        <v>66</v>
      </c>
    </row>
    <row r="68" spans="1:16">
      <c r="A68" s="8" t="s">
        <v>127</v>
      </c>
      <c r="B68" s="1">
        <f t="shared" ref="B68:G68" si="37">B58*B21/$B$4</f>
        <v>24.361975671523052</v>
      </c>
      <c r="C68" s="1">
        <f t="shared" si="37"/>
        <v>29.351781905961573</v>
      </c>
      <c r="D68" s="1">
        <f t="shared" si="37"/>
        <v>29.351781905961573</v>
      </c>
      <c r="E68" s="1">
        <f t="shared" si="37"/>
        <v>55.801727345642966</v>
      </c>
      <c r="F68" s="1">
        <f t="shared" si="37"/>
        <v>84.00683527899055</v>
      </c>
      <c r="G68" s="1">
        <f t="shared" si="37"/>
        <v>23.48778670074887</v>
      </c>
      <c r="I68" s="1">
        <f>B58*B21</f>
        <v>2436.1975671523051</v>
      </c>
      <c r="J68" s="1">
        <f t="shared" ref="J68:N68" si="38">C58*C21</f>
        <v>2935.1781905961575</v>
      </c>
      <c r="K68" s="1">
        <f t="shared" si="38"/>
        <v>2935.1781905961575</v>
      </c>
      <c r="L68" s="1">
        <f t="shared" si="38"/>
        <v>5580.1727345642967</v>
      </c>
      <c r="M68" s="1">
        <f t="shared" si="38"/>
        <v>8400.6835278990548</v>
      </c>
      <c r="N68" s="1">
        <f t="shared" si="38"/>
        <v>2348.778670074887</v>
      </c>
    </row>
    <row r="69" spans="1:16">
      <c r="A69" t="s">
        <v>128</v>
      </c>
      <c r="B69" s="1">
        <f t="shared" ref="B69:G69" si="39">B58*B22/$B$4</f>
        <v>0.78555316009060927</v>
      </c>
      <c r="C69" s="1">
        <f t="shared" si="39"/>
        <v>1.1326078333055816</v>
      </c>
      <c r="D69" s="1">
        <f t="shared" si="39"/>
        <v>1.1641172314723267</v>
      </c>
      <c r="E69" s="1">
        <f t="shared" si="39"/>
        <v>2.0497569602282981</v>
      </c>
      <c r="F69" s="1">
        <f t="shared" si="39"/>
        <v>9.3632635764711782</v>
      </c>
      <c r="G69" s="1">
        <f t="shared" si="39"/>
        <v>0.99162463687987279</v>
      </c>
      <c r="I69" s="1">
        <f>B58*B22</f>
        <v>78.555316009060931</v>
      </c>
      <c r="J69" s="1">
        <f t="shared" ref="J69:N69" si="40">C58*C22</f>
        <v>113.26078333055816</v>
      </c>
      <c r="K69" s="1">
        <f t="shared" si="40"/>
        <v>116.41172314723268</v>
      </c>
      <c r="L69" s="1">
        <f t="shared" si="40"/>
        <v>204.97569602282979</v>
      </c>
      <c r="M69" s="1">
        <f t="shared" si="40"/>
        <v>936.32635764711779</v>
      </c>
      <c r="N69" s="1">
        <f t="shared" si="40"/>
        <v>99.162463687987284</v>
      </c>
      <c r="P69" s="1">
        <f>M69/I69</f>
        <v>11.919325199317099</v>
      </c>
    </row>
    <row r="70" spans="1:16">
      <c r="A70" t="s">
        <v>156</v>
      </c>
      <c r="B70" s="5">
        <f>$P$3*B65</f>
        <v>1.6080441264886465</v>
      </c>
      <c r="C70" s="5">
        <f t="shared" ref="C70:G70" si="41">$P$3*C65</f>
        <v>1.2334522347790331</v>
      </c>
      <c r="D70" s="5">
        <f t="shared" si="41"/>
        <v>1.2334522347790331</v>
      </c>
      <c r="E70" s="5">
        <f t="shared" si="41"/>
        <v>0</v>
      </c>
      <c r="F70" s="5">
        <f t="shared" si="41"/>
        <v>2.9244333722669209</v>
      </c>
      <c r="G70" s="5">
        <f t="shared" si="41"/>
        <v>1.2575141833697048</v>
      </c>
      <c r="I70" s="5">
        <f>B70*$B$4</f>
        <v>160.80441264886466</v>
      </c>
      <c r="J70" s="5">
        <f t="shared" ref="J70:N70" si="42">C70*$B$4</f>
        <v>123.3452234779033</v>
      </c>
      <c r="K70" s="5">
        <f t="shared" si="42"/>
        <v>123.3452234779033</v>
      </c>
      <c r="L70" s="5">
        <f t="shared" si="42"/>
        <v>0</v>
      </c>
      <c r="M70" s="5">
        <f t="shared" si="42"/>
        <v>292.44333722669211</v>
      </c>
      <c r="N70" s="5">
        <f t="shared" si="42"/>
        <v>125.75141833697047</v>
      </c>
    </row>
    <row r="71" spans="1:16">
      <c r="A71" t="s">
        <v>90</v>
      </c>
      <c r="B71" s="1">
        <f>IF(B44&gt;B27,B35,B51)+B70</f>
        <v>14.051205613890188</v>
      </c>
      <c r="C71" s="1">
        <f>IF(C44&gt;C27,C35,C51)+C70</f>
        <v>11.266745398440188</v>
      </c>
      <c r="D71" s="1">
        <f>IF(D44&gt;D27,D35,D51)+D70</f>
        <v>11.266745398440188</v>
      </c>
      <c r="E71" s="1">
        <f>IF(E44&gt;E27,E35,E51)</f>
        <v>17.946248018445363</v>
      </c>
      <c r="F71" s="1">
        <f>IF(F44&gt;F27,F35,F51)+F70</f>
        <v>3.3865767623475094</v>
      </c>
      <c r="G71" s="1">
        <f>IF(G44&gt;G27,G35,G51)+G70</f>
        <v>16.964849021739951</v>
      </c>
      <c r="I71" s="1">
        <f>B71*$B$4</f>
        <v>1405.1205613890188</v>
      </c>
      <c r="J71" s="1">
        <f t="shared" ref="J71:N71" si="43">C71*$B$4</f>
        <v>1126.6745398440187</v>
      </c>
      <c r="K71" s="1">
        <f t="shared" si="43"/>
        <v>1126.6745398440187</v>
      </c>
      <c r="L71" s="1">
        <f t="shared" si="43"/>
        <v>1794.6248018445363</v>
      </c>
      <c r="M71" s="1">
        <f t="shared" si="43"/>
        <v>338.65767623475097</v>
      </c>
      <c r="N71" s="1">
        <f t="shared" si="43"/>
        <v>1696.4849021739951</v>
      </c>
    </row>
    <row r="72" spans="1:16">
      <c r="A72" t="s">
        <v>91</v>
      </c>
      <c r="B72" s="1">
        <f t="shared" ref="B72:G72" si="44">SUM(B68:B71)</f>
        <v>40.806778571992496</v>
      </c>
      <c r="C72" s="1">
        <f t="shared" si="44"/>
        <v>42.984587372486374</v>
      </c>
      <c r="D72" s="1">
        <f t="shared" si="44"/>
        <v>43.016096770653121</v>
      </c>
      <c r="E72" s="1">
        <f t="shared" si="44"/>
        <v>75.797732324316627</v>
      </c>
      <c r="F72" s="1">
        <f t="shared" si="44"/>
        <v>99.681108990076154</v>
      </c>
      <c r="G72" s="1">
        <f t="shared" si="44"/>
        <v>42.701774542738399</v>
      </c>
      <c r="I72" s="1">
        <f>SUM(I68:I71)</f>
        <v>4080.6778571992495</v>
      </c>
      <c r="J72" s="1">
        <f t="shared" ref="J72:N72" si="45">SUM(J68:J71)</f>
        <v>4298.4587372486376</v>
      </c>
      <c r="K72" s="1">
        <f t="shared" si="45"/>
        <v>4301.6096770653121</v>
      </c>
      <c r="L72" s="1">
        <f t="shared" si="45"/>
        <v>7579.7732324316621</v>
      </c>
      <c r="M72" s="1">
        <f t="shared" si="45"/>
        <v>9968.1108990076154</v>
      </c>
      <c r="N72" s="1">
        <f t="shared" si="45"/>
        <v>4270.1774542738403</v>
      </c>
    </row>
    <row r="74" spans="1:16">
      <c r="A74" t="s">
        <v>75</v>
      </c>
      <c r="B74" s="1">
        <f t="shared" ref="B74:G74" si="46">IF(B44&gt;B27,B39,B54)</f>
        <v>35.321523353758892</v>
      </c>
      <c r="C74" s="1">
        <f t="shared" si="46"/>
        <v>38.287558408302608</v>
      </c>
      <c r="D74" s="1">
        <f t="shared" si="46"/>
        <v>38.287558408302608</v>
      </c>
      <c r="E74" s="1">
        <f t="shared" si="46"/>
        <v>61.581783949776899</v>
      </c>
      <c r="F74" s="1">
        <f t="shared" si="46"/>
        <v>15.307123552574028</v>
      </c>
      <c r="G74" s="1">
        <f t="shared" si="46"/>
        <v>41.322191376121779</v>
      </c>
    </row>
    <row r="75" spans="1:16">
      <c r="A75" t="s">
        <v>76</v>
      </c>
      <c r="B75" s="1"/>
      <c r="C75" s="1">
        <f>IF(C44&gt;C27,C40,C55)</f>
        <v>22.490070625555948</v>
      </c>
      <c r="D75" s="1">
        <f>IF(D44&gt;D27,D40,D55)</f>
        <v>18.357696323701912</v>
      </c>
      <c r="E75" s="1">
        <f>IF(E44&gt;E27,E40,E55)</f>
        <v>47.193370366512028</v>
      </c>
      <c r="F75" s="1">
        <f>IF(F44&gt;F27,F40,F55)</f>
        <v>10.742626179929738</v>
      </c>
      <c r="G75" s="1"/>
    </row>
    <row r="77" spans="1:16">
      <c r="A77" s="6" t="s">
        <v>92</v>
      </c>
    </row>
    <row r="78" spans="1:16">
      <c r="A78" t="s">
        <v>93</v>
      </c>
      <c r="B78" s="5">
        <f>IF(B72&gt;$B$37,B58*$B$37/B72,B58)</f>
        <v>4112.9476567291986</v>
      </c>
      <c r="C78" s="5">
        <f>IF(C72&gt;$B$72,C58*$B$72/C72,C58)</f>
        <v>4704.2966303512612</v>
      </c>
      <c r="D78" s="5">
        <f t="shared" ref="D78:G78" si="47">IF(D72&gt;$B$72,D58*$B$72/D72,D58)</f>
        <v>4700.8507213370031</v>
      </c>
      <c r="E78" s="5">
        <f t="shared" si="47"/>
        <v>5071.8268522201288</v>
      </c>
      <c r="F78" s="5">
        <f t="shared" si="47"/>
        <v>5805.9695250505129</v>
      </c>
      <c r="G78" s="5">
        <f t="shared" si="47"/>
        <v>3789.3887360990539</v>
      </c>
      <c r="I78" s="5">
        <f>100*(C78-$B78)/$B78</f>
        <v>14.377741293511379</v>
      </c>
      <c r="J78" s="5">
        <f t="shared" ref="J78" si="48">100*(D78-$B78)/$B78</f>
        <v>14.29395931275555</v>
      </c>
      <c r="K78" s="5">
        <f t="shared" ref="K78" si="49">100*(E78-$B78)/$B78</f>
        <v>23.313673684178958</v>
      </c>
      <c r="L78" s="5">
        <f t="shared" ref="L78" si="50">100*(F78-$B78)/$B78</f>
        <v>41.163224276665893</v>
      </c>
      <c r="M78" s="5">
        <f t="shared" ref="M78" si="51">100*(G78-$B78)/$B78</f>
        <v>-7.8668377921311397</v>
      </c>
    </row>
    <row r="79" spans="1:16">
      <c r="B79" s="5"/>
      <c r="C79" s="5"/>
      <c r="D79" s="5"/>
      <c r="E79" s="5"/>
      <c r="F79" s="5"/>
      <c r="G79" s="5"/>
    </row>
    <row r="80" spans="1:16">
      <c r="A80" s="6" t="s">
        <v>96</v>
      </c>
    </row>
    <row r="81" spans="1:13">
      <c r="A81" t="s">
        <v>125</v>
      </c>
      <c r="B81" s="1"/>
      <c r="C81" s="1">
        <f>0.1*C68</f>
        <v>2.9351781905961576</v>
      </c>
      <c r="D81" s="1">
        <f t="shared" ref="D81:G81" si="52">0.1*D68</f>
        <v>2.9351781905961576</v>
      </c>
      <c r="E81" s="1">
        <f t="shared" si="52"/>
        <v>5.5801727345642966</v>
      </c>
      <c r="F81" s="1">
        <f t="shared" si="52"/>
        <v>8.400683527899055</v>
      </c>
      <c r="G81" s="1">
        <f t="shared" si="52"/>
        <v>2.3487786700748869</v>
      </c>
    </row>
    <row r="82" spans="1:13">
      <c r="A82" t="s">
        <v>126</v>
      </c>
      <c r="B82" s="1"/>
      <c r="C82" s="1">
        <f>C69+C71+C81</f>
        <v>15.334531422341927</v>
      </c>
      <c r="D82" s="1">
        <f>D69+D71+D81</f>
        <v>15.366040820508672</v>
      </c>
      <c r="E82" s="1">
        <f>E69+E71+E81</f>
        <v>25.576177713237957</v>
      </c>
      <c r="F82" s="1">
        <f>F69+F71+F81</f>
        <v>21.150523866717741</v>
      </c>
      <c r="G82" s="1">
        <f>G69+G71+G81</f>
        <v>20.30525232869471</v>
      </c>
      <c r="I82" s="5">
        <f>C82*$B$4</f>
        <v>1533.4531422341927</v>
      </c>
      <c r="J82" s="5">
        <f t="shared" ref="J82:M82" si="53">D82*$B$4</f>
        <v>1536.6040820508672</v>
      </c>
      <c r="K82" s="5">
        <f t="shared" si="53"/>
        <v>2557.6177713237958</v>
      </c>
      <c r="L82" s="5">
        <f t="shared" si="53"/>
        <v>2115.052386671774</v>
      </c>
      <c r="M82" s="5">
        <f t="shared" si="53"/>
        <v>2030.525232869471</v>
      </c>
    </row>
    <row r="83" spans="1:13">
      <c r="A83" t="s">
        <v>95</v>
      </c>
      <c r="C83" t="str">
        <f>IF(C82&lt;B72,"yes","no")</f>
        <v>yes</v>
      </c>
      <c r="D83" t="str">
        <f t="shared" ref="D83:G83" si="54">IF(D82&lt;C72,"yes","no")</f>
        <v>yes</v>
      </c>
      <c r="E83" t="str">
        <f t="shared" si="54"/>
        <v>yes</v>
      </c>
      <c r="F83" t="str">
        <f t="shared" si="54"/>
        <v>yes</v>
      </c>
      <c r="G83" t="str">
        <f t="shared" si="54"/>
        <v>yes</v>
      </c>
    </row>
    <row r="86" spans="1:13">
      <c r="A86" t="s">
        <v>129</v>
      </c>
      <c r="C86" s="1">
        <f>0.1*C71</f>
        <v>1.1266745398440188</v>
      </c>
      <c r="D86" s="1">
        <f>0.1*D71</f>
        <v>1.1266745398440188</v>
      </c>
      <c r="E86" s="1">
        <f>0.1*E71</f>
        <v>1.7946248018445363</v>
      </c>
      <c r="F86" s="1">
        <f>0.1*F71</f>
        <v>0.33865767623475096</v>
      </c>
      <c r="G86" s="1">
        <f>0.1*G71</f>
        <v>1.6964849021739952</v>
      </c>
    </row>
    <row r="87" spans="1:13">
      <c r="A87" t="s">
        <v>126</v>
      </c>
      <c r="C87" s="5">
        <f>C68+C69+C86</f>
        <v>31.611064279111172</v>
      </c>
      <c r="D87" s="5">
        <f t="shared" ref="D87:G87" si="55">D68+D69+D86</f>
        <v>31.642573677277916</v>
      </c>
      <c r="E87" s="5">
        <f t="shared" si="55"/>
        <v>59.646109107715802</v>
      </c>
      <c r="F87" s="5">
        <f t="shared" si="55"/>
        <v>93.70875653169648</v>
      </c>
      <c r="G87" s="5">
        <f t="shared" si="55"/>
        <v>26.175896239802739</v>
      </c>
    </row>
    <row r="88" spans="1:13">
      <c r="C88" t="str">
        <f>IF(C87&lt;B72,"yes","no")</f>
        <v>yes</v>
      </c>
      <c r="D88" t="str">
        <f t="shared" ref="D88:G88" si="56">IF(D87&lt;C72,"yes","no")</f>
        <v>yes</v>
      </c>
      <c r="E88" t="str">
        <f t="shared" si="56"/>
        <v>no</v>
      </c>
      <c r="F88" t="str">
        <f t="shared" si="56"/>
        <v>no</v>
      </c>
      <c r="G88" t="str">
        <f t="shared" si="56"/>
        <v>yes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sqref="A1:T56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14.054589999999999</v>
      </c>
    </row>
    <row r="3" spans="1:14">
      <c r="A3" t="s">
        <v>26</v>
      </c>
      <c r="B3">
        <v>9.3138369999999995</v>
      </c>
      <c r="J3" t="s">
        <v>30</v>
      </c>
      <c r="K3" t="s">
        <v>31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14">
      <c r="A5" t="s">
        <v>13</v>
      </c>
      <c r="B5">
        <v>4.7407529999999998</v>
      </c>
      <c r="C5">
        <v>1.8416429999999999</v>
      </c>
      <c r="J5">
        <v>1.8416429999999999</v>
      </c>
      <c r="K5">
        <v>31.817733893074184</v>
      </c>
    </row>
    <row r="7" spans="1:14">
      <c r="A7" t="s">
        <v>14</v>
      </c>
      <c r="C7">
        <v>5.885174E-2</v>
      </c>
      <c r="D7">
        <v>0</v>
      </c>
      <c r="E7">
        <v>0</v>
      </c>
      <c r="J7">
        <v>5.885174E-2</v>
      </c>
      <c r="K7">
        <v>1.016770895588553</v>
      </c>
    </row>
    <row r="8" spans="1:14">
      <c r="M8" t="s">
        <v>59</v>
      </c>
      <c r="N8" t="s">
        <v>55</v>
      </c>
    </row>
    <row r="9" spans="1:14">
      <c r="A9" t="s">
        <v>15</v>
      </c>
      <c r="C9">
        <v>0.93221160000000003</v>
      </c>
      <c r="D9">
        <v>0.1296226</v>
      </c>
      <c r="E9">
        <v>0.26572639999999997</v>
      </c>
      <c r="F9">
        <v>2.560047</v>
      </c>
      <c r="G9">
        <v>3.3313009999999998</v>
      </c>
      <c r="H9">
        <v>0.19443389999999999</v>
      </c>
      <c r="J9">
        <v>3.8876075999999999</v>
      </c>
      <c r="K9">
        <v>67.165495211337259</v>
      </c>
      <c r="M9" t="s">
        <v>60</v>
      </c>
    </row>
    <row r="10" spans="1:14">
      <c r="L10" t="s">
        <v>61</v>
      </c>
      <c r="M10">
        <v>7.4133420000000001</v>
      </c>
      <c r="N10">
        <v>1.152641</v>
      </c>
    </row>
    <row r="11" spans="1:14">
      <c r="L11" t="s">
        <v>40</v>
      </c>
      <c r="M11">
        <v>0</v>
      </c>
      <c r="N11">
        <v>0</v>
      </c>
    </row>
    <row r="12" spans="1:14">
      <c r="A12" t="s">
        <v>27</v>
      </c>
      <c r="C12">
        <v>2.8327063399999997</v>
      </c>
      <c r="D12">
        <v>0.1296226</v>
      </c>
      <c r="E12">
        <v>0.26572639999999997</v>
      </c>
      <c r="F12">
        <v>2.560047</v>
      </c>
      <c r="G12">
        <v>3.3313009999999998</v>
      </c>
      <c r="H12">
        <v>0.19443389999999999</v>
      </c>
      <c r="J12">
        <v>5.78810234</v>
      </c>
    </row>
    <row r="13" spans="1:14">
      <c r="A13" t="s">
        <v>28</v>
      </c>
      <c r="C13">
        <v>30.413956568061046</v>
      </c>
      <c r="D13">
        <v>1.3917207269141603</v>
      </c>
      <c r="E13">
        <v>2.853028241743977</v>
      </c>
      <c r="F13">
        <v>27.486491335418478</v>
      </c>
      <c r="G13">
        <v>35.76722461430235</v>
      </c>
      <c r="H13">
        <v>2.0875810903712404</v>
      </c>
      <c r="I13">
        <v>100.00000257681126</v>
      </c>
    </row>
    <row r="17" spans="1:15">
      <c r="A17" t="s">
        <v>32</v>
      </c>
      <c r="H17" t="s">
        <v>33</v>
      </c>
      <c r="K17" t="s">
        <v>17</v>
      </c>
      <c r="M17" t="s">
        <v>115</v>
      </c>
      <c r="O17" t="s">
        <v>124</v>
      </c>
    </row>
    <row r="18" spans="1:15">
      <c r="B18" t="s">
        <v>34</v>
      </c>
      <c r="C18" t="s">
        <v>35</v>
      </c>
      <c r="D18" t="s">
        <v>36</v>
      </c>
      <c r="H18" t="s">
        <v>34</v>
      </c>
      <c r="I18" t="s">
        <v>35</v>
      </c>
      <c r="M18" t="s">
        <v>34</v>
      </c>
      <c r="N18" t="s">
        <v>35</v>
      </c>
    </row>
    <row r="19" spans="1:15">
      <c r="A19" t="s">
        <v>26</v>
      </c>
      <c r="B19">
        <v>52.845260000000003</v>
      </c>
      <c r="H19">
        <v>920.90800000000002</v>
      </c>
      <c r="M19">
        <v>26.246739999999999</v>
      </c>
      <c r="O19">
        <v>1000.0000000000001</v>
      </c>
    </row>
    <row r="21" spans="1:15">
      <c r="A21" t="s">
        <v>13</v>
      </c>
      <c r="C21">
        <v>9.7763729999999995</v>
      </c>
      <c r="D21">
        <v>18.499999810768269</v>
      </c>
      <c r="H21">
        <v>225.7501</v>
      </c>
      <c r="I21">
        <v>50.203572999999999</v>
      </c>
      <c r="K21">
        <v>1.466456</v>
      </c>
    </row>
    <row r="22" spans="1:15">
      <c r="M22" t="s">
        <v>55</v>
      </c>
    </row>
    <row r="23" spans="1:15">
      <c r="A23" t="s">
        <v>14</v>
      </c>
      <c r="C23">
        <v>7.9677439999999997</v>
      </c>
      <c r="D23">
        <v>15.077499855237726</v>
      </c>
      <c r="H23">
        <v>0</v>
      </c>
      <c r="I23">
        <v>2.278775</v>
      </c>
      <c r="K23">
        <v>1.832581</v>
      </c>
      <c r="M23" t="s">
        <v>34</v>
      </c>
      <c r="N23" t="s">
        <v>35</v>
      </c>
    </row>
    <row r="24" spans="1:15">
      <c r="M24">
        <v>1.152641</v>
      </c>
      <c r="N24">
        <v>1.152641</v>
      </c>
    </row>
    <row r="25" spans="1:15">
      <c r="A25" t="s">
        <v>15</v>
      </c>
      <c r="C25">
        <v>31.629110000000001</v>
      </c>
      <c r="D25">
        <v>59.852312203592149</v>
      </c>
    </row>
    <row r="27" spans="1:15">
      <c r="A27" t="s">
        <v>27</v>
      </c>
      <c r="B27">
        <v>52.845260000000003</v>
      </c>
      <c r="C27">
        <v>49.373227</v>
      </c>
    </row>
    <row r="30" spans="1:15">
      <c r="A30" t="s">
        <v>6</v>
      </c>
      <c r="H30">
        <v>2.257501</v>
      </c>
    </row>
    <row r="31" spans="1:15">
      <c r="A31" t="s">
        <v>37</v>
      </c>
      <c r="C31">
        <v>3.4720339999999998</v>
      </c>
      <c r="D31">
        <v>6.570190022719161</v>
      </c>
    </row>
    <row r="33" spans="3:4">
      <c r="C33" t="s">
        <v>38</v>
      </c>
      <c r="D33">
        <v>100.0000018923173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R14" sqref="R14"/>
    </sheetView>
  </sheetViews>
  <sheetFormatPr defaultRowHeight="15"/>
  <sheetData>
    <row r="1" spans="1:14">
      <c r="A1" s="7" t="s">
        <v>29</v>
      </c>
    </row>
    <row r="2" spans="1:14">
      <c r="A2" t="s">
        <v>25</v>
      </c>
      <c r="B2">
        <f>[7]Pig!C4</f>
        <v>4.9803389999999998</v>
      </c>
    </row>
    <row r="3" spans="1:14">
      <c r="A3" t="s">
        <v>26</v>
      </c>
      <c r="B3">
        <f>[7]Pig!E6+[7]Pig!E7</f>
        <v>1.2911280000000001</v>
      </c>
      <c r="J3" t="s">
        <v>30</v>
      </c>
      <c r="K3" t="s">
        <v>31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14">
      <c r="A5" t="s">
        <v>13</v>
      </c>
      <c r="B5">
        <f>[7]Pig!D5</f>
        <v>0</v>
      </c>
      <c r="C5">
        <f>[7]House!D7</f>
        <v>1.2911280000000001</v>
      </c>
      <c r="J5">
        <f>C5</f>
        <v>1.2911280000000001</v>
      </c>
      <c r="K5">
        <f>100*J5/$J$12</f>
        <v>30.259887800381787</v>
      </c>
    </row>
    <row r="7" spans="1:14">
      <c r="A7" t="s">
        <v>14</v>
      </c>
      <c r="C7">
        <f>[7]Storage!D7</f>
        <v>4.2076599999999999E-2</v>
      </c>
      <c r="D7">
        <f>[7]Storage!D6</f>
        <v>0</v>
      </c>
      <c r="E7">
        <f>[7]Storage!D5</f>
        <v>0</v>
      </c>
      <c r="J7">
        <f>C7+D7+E7</f>
        <v>4.2076599999999999E-2</v>
      </c>
      <c r="K7">
        <f>100*J7/$J$12</f>
        <v>0.98614017744293692</v>
      </c>
    </row>
    <row r="8" spans="1:14">
      <c r="M8" t="s">
        <v>59</v>
      </c>
      <c r="N8" t="s">
        <v>55</v>
      </c>
    </row>
    <row r="9" spans="1:14">
      <c r="A9" t="s">
        <v>15</v>
      </c>
      <c r="C9">
        <f>[7]Field!D9</f>
        <v>0.66649329999999996</v>
      </c>
      <c r="D9">
        <f>[7]Field!D8</f>
        <v>9.9434149999999999E-2</v>
      </c>
      <c r="E9">
        <f>[7]Field!D7</f>
        <v>0.20383999999999999</v>
      </c>
      <c r="F9">
        <f>[7]Field!D10</f>
        <v>1.9638249999999999</v>
      </c>
      <c r="G9">
        <f>[7]Field!E11</f>
        <v>2.5554579999999998</v>
      </c>
      <c r="H9">
        <f>[7]Field!E12</f>
        <v>0.14915120000000001</v>
      </c>
      <c r="J9">
        <f>SUM(C9:F9)</f>
        <v>2.9335924499999999</v>
      </c>
      <c r="K9">
        <f>100*J9/$J$12</f>
        <v>68.753972022175276</v>
      </c>
      <c r="M9" t="s">
        <v>60</v>
      </c>
    </row>
    <row r="10" spans="1:14">
      <c r="L10" t="s">
        <v>61</v>
      </c>
      <c r="M10">
        <f>[7]Storage!E8+[7]Storage!E11</f>
        <v>5.6382009999999996</v>
      </c>
      <c r="N10">
        <f>[7]Storage!E13</f>
        <v>1.152641</v>
      </c>
    </row>
    <row r="11" spans="1:14">
      <c r="L11" t="s">
        <v>40</v>
      </c>
      <c r="M11">
        <f>[7]Storage!K9+[7]Storage!K11</f>
        <v>0</v>
      </c>
      <c r="N11">
        <v>0</v>
      </c>
    </row>
    <row r="12" spans="1:14">
      <c r="A12" t="s">
        <v>27</v>
      </c>
      <c r="C12">
        <f t="shared" ref="C12:H12" si="0">SUM(C5:C10)</f>
        <v>1.9996978999999999</v>
      </c>
      <c r="D12">
        <f t="shared" si="0"/>
        <v>9.9434149999999999E-2</v>
      </c>
      <c r="E12">
        <f t="shared" si="0"/>
        <v>0.20383999999999999</v>
      </c>
      <c r="F12">
        <f t="shared" si="0"/>
        <v>1.9638249999999999</v>
      </c>
      <c r="G12">
        <f t="shared" si="0"/>
        <v>2.5554579999999998</v>
      </c>
      <c r="H12">
        <f t="shared" si="0"/>
        <v>0.14915120000000001</v>
      </c>
      <c r="J12">
        <f>J5+J7+J9</f>
        <v>4.2667970500000001</v>
      </c>
    </row>
    <row r="13" spans="1:14">
      <c r="A13" t="s">
        <v>28</v>
      </c>
      <c r="B13" s="1"/>
      <c r="C13" s="1">
        <f>100*C12/$B$3</f>
        <v>154.87991120942306</v>
      </c>
      <c r="D13" s="1">
        <f t="shared" ref="D13:H13" si="1">100*D12/$B$3</f>
        <v>7.7013394489159861</v>
      </c>
      <c r="E13" s="1">
        <f t="shared" si="1"/>
        <v>15.787745289390362</v>
      </c>
      <c r="F13" s="1">
        <f t="shared" si="1"/>
        <v>152.10149574635511</v>
      </c>
      <c r="G13" s="1">
        <f t="shared" si="1"/>
        <v>197.92445055796171</v>
      </c>
      <c r="H13" s="1">
        <f t="shared" si="1"/>
        <v>11.552007237082615</v>
      </c>
      <c r="I13" s="1">
        <f>SUM(B13:H13)</f>
        <v>539.94694948912888</v>
      </c>
    </row>
    <row r="17" spans="1:15">
      <c r="A17" s="7" t="s">
        <v>32</v>
      </c>
      <c r="H17" s="7" t="s">
        <v>33</v>
      </c>
      <c r="K17" s="6" t="s">
        <v>17</v>
      </c>
      <c r="M17" s="7" t="s">
        <v>115</v>
      </c>
      <c r="O17" s="7" t="s">
        <v>124</v>
      </c>
    </row>
    <row r="18" spans="1:15">
      <c r="B18" t="s">
        <v>34</v>
      </c>
      <c r="C18" t="s">
        <v>35</v>
      </c>
      <c r="D18" t="s">
        <v>36</v>
      </c>
      <c r="H18" t="s">
        <v>34</v>
      </c>
      <c r="I18" t="s">
        <v>35</v>
      </c>
      <c r="M18" t="s">
        <v>34</v>
      </c>
      <c r="N18" t="s">
        <v>35</v>
      </c>
    </row>
    <row r="19" spans="1:15">
      <c r="A19" s="1" t="s">
        <v>26</v>
      </c>
      <c r="B19" s="1">
        <f>[7]Pig!C28</f>
        <v>52.845260000000003</v>
      </c>
      <c r="C19" s="1"/>
      <c r="D19" s="1"/>
      <c r="E19" s="1"/>
      <c r="F19" s="1"/>
      <c r="G19" s="1"/>
      <c r="H19" s="1">
        <f>[7]Pig!C30</f>
        <v>0.73322799999999999</v>
      </c>
      <c r="I19" s="1"/>
      <c r="M19">
        <f>[7]Pig!E17</f>
        <v>26.246739999999999</v>
      </c>
      <c r="O19" s="1">
        <f>B19+H19+M19</f>
        <v>79.825227999999996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</row>
    <row r="21" spans="1:15">
      <c r="A21" s="1" t="s">
        <v>13</v>
      </c>
      <c r="B21" s="1"/>
      <c r="C21" s="1">
        <f>[7]House!D31</f>
        <v>4.8881870000000003</v>
      </c>
      <c r="D21" s="1">
        <f>100*C21/$B$19</f>
        <v>9.2500008515427883</v>
      </c>
      <c r="E21" s="1"/>
      <c r="F21" s="1"/>
      <c r="G21" s="1"/>
      <c r="H21" s="1">
        <f>SUM([7]House!C20:C22)</f>
        <v>225.7501</v>
      </c>
      <c r="I21" s="1">
        <f>[7]House!D23+[7]House!D22</f>
        <v>48.805551000000001</v>
      </c>
      <c r="K21">
        <f>[7]Sheet2!B23</f>
        <v>0.73322799999999999</v>
      </c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M22" s="7" t="s">
        <v>55</v>
      </c>
    </row>
    <row r="23" spans="1:15">
      <c r="A23" s="1" t="s">
        <v>14</v>
      </c>
      <c r="B23" s="1"/>
      <c r="C23" s="1">
        <f>[7]Storage!D31</f>
        <v>8.8720590000000001</v>
      </c>
      <c r="D23" s="1">
        <f>100*C23/$B$19</f>
        <v>16.788750779161649</v>
      </c>
      <c r="E23" s="1"/>
      <c r="F23" s="1"/>
      <c r="G23" s="1"/>
      <c r="H23" s="1">
        <f>[7]Storage!C22</f>
        <v>0</v>
      </c>
      <c r="I23" s="1">
        <f>[7]Storage!D22</f>
        <v>2.5374089999999998</v>
      </c>
      <c r="K23">
        <f>[7]Sheet3!C13</f>
        <v>2.0405730000000002</v>
      </c>
      <c r="M23" t="s">
        <v>34</v>
      </c>
      <c r="N23" t="s">
        <v>35</v>
      </c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M24">
        <f>[7]Pig!E10</f>
        <v>0.1841737</v>
      </c>
      <c r="N24">
        <f>[7]Storage!E13</f>
        <v>1.152641</v>
      </c>
    </row>
    <row r="25" spans="1:15">
      <c r="A25" s="1" t="s">
        <v>15</v>
      </c>
      <c r="B25" s="1"/>
      <c r="C25" s="1">
        <f>[7]Field!D18</f>
        <v>36.421599999999998</v>
      </c>
      <c r="D25" s="1">
        <f>100*C25/$B$19</f>
        <v>68.921223965971592</v>
      </c>
      <c r="E25" s="1"/>
      <c r="F25" s="1"/>
      <c r="G25" s="1"/>
      <c r="H25" s="1"/>
      <c r="I25" s="1"/>
      <c r="L25" s="2"/>
    </row>
    <row r="26" spans="1:15">
      <c r="A26" s="1"/>
      <c r="B26" s="1"/>
      <c r="C26" s="1"/>
      <c r="D26" s="1"/>
      <c r="E26" s="1"/>
      <c r="F26" s="1"/>
      <c r="G26" s="1"/>
      <c r="H26" s="1"/>
      <c r="I26" s="1"/>
    </row>
    <row r="27" spans="1:15">
      <c r="A27" s="1" t="s">
        <v>27</v>
      </c>
      <c r="B27" s="1">
        <f>B19</f>
        <v>52.845260000000003</v>
      </c>
      <c r="C27" s="1">
        <f>SUM(C19:C25)</f>
        <v>50.181846</v>
      </c>
      <c r="D27" s="1"/>
      <c r="E27" s="1"/>
      <c r="F27" s="1"/>
      <c r="G27" s="1"/>
      <c r="H27" s="1"/>
      <c r="I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</row>
    <row r="30" spans="1:15">
      <c r="A30" s="1" t="s">
        <v>6</v>
      </c>
      <c r="B30" s="1"/>
      <c r="C30" s="1"/>
      <c r="D30" s="1"/>
      <c r="E30" s="1"/>
      <c r="F30" s="1"/>
      <c r="G30" s="1"/>
      <c r="H30" s="1">
        <f>[7]Sheet2!B22*1000/[7]Summary!O19</f>
        <v>28.280545593931787</v>
      </c>
      <c r="I30" s="1"/>
    </row>
    <row r="31" spans="1:15">
      <c r="A31" s="1" t="s">
        <v>37</v>
      </c>
      <c r="B31" s="1"/>
      <c r="C31" s="1">
        <f>[7]Field!E19</f>
        <v>2.6634150000000001</v>
      </c>
      <c r="D31" s="1">
        <f>100*C31/$B$19</f>
        <v>5.0400262956412734</v>
      </c>
      <c r="E31" s="1"/>
      <c r="F31" s="1"/>
      <c r="G31" s="1"/>
      <c r="H31" s="1"/>
      <c r="I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 t="s">
        <v>38</v>
      </c>
      <c r="D33" s="1">
        <f>SUM(D21:D31)</f>
        <v>100.0000018923173</v>
      </c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sqref="A1:S48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11.712160000000001</v>
      </c>
    </row>
    <row r="3" spans="1:14">
      <c r="A3" t="s">
        <v>26</v>
      </c>
      <c r="B3">
        <v>6.971406</v>
      </c>
      <c r="J3" t="s">
        <v>30</v>
      </c>
      <c r="K3" t="s">
        <v>31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14">
      <c r="A5" t="s">
        <v>13</v>
      </c>
      <c r="B5">
        <v>4.7407529999999998</v>
      </c>
      <c r="C5">
        <v>1.337172</v>
      </c>
      <c r="J5">
        <v>1.337172</v>
      </c>
      <c r="K5">
        <v>24.035515644595716</v>
      </c>
    </row>
    <row r="7" spans="1:14">
      <c r="A7" t="s">
        <v>14</v>
      </c>
      <c r="C7">
        <v>0.67090989999999995</v>
      </c>
      <c r="D7">
        <v>0</v>
      </c>
      <c r="E7">
        <v>0</v>
      </c>
      <c r="J7">
        <v>0.67090989999999995</v>
      </c>
      <c r="K7">
        <v>12.05952966227542</v>
      </c>
    </row>
    <row r="8" spans="1:14">
      <c r="M8" t="s">
        <v>59</v>
      </c>
      <c r="N8" t="s">
        <v>55</v>
      </c>
    </row>
    <row r="9" spans="1:14">
      <c r="A9" t="s">
        <v>15</v>
      </c>
      <c r="C9">
        <v>0.83428230000000003</v>
      </c>
      <c r="D9">
        <v>0.11934</v>
      </c>
      <c r="E9">
        <v>0.24464710000000001</v>
      </c>
      <c r="F9">
        <v>2.3569659999999999</v>
      </c>
      <c r="G9">
        <v>3.0670389999999998</v>
      </c>
      <c r="H9">
        <v>0.17901010000000001</v>
      </c>
      <c r="J9">
        <v>3.5552353999999999</v>
      </c>
      <c r="K9">
        <v>63.904954693128865</v>
      </c>
      <c r="M9" t="s">
        <v>60</v>
      </c>
    </row>
    <row r="10" spans="1:14">
      <c r="L10" t="s">
        <v>61</v>
      </c>
      <c r="M10">
        <v>6.8012839999999999</v>
      </c>
      <c r="N10">
        <v>1.152641</v>
      </c>
    </row>
    <row r="11" spans="1:14">
      <c r="L11" t="s">
        <v>40</v>
      </c>
      <c r="M11">
        <v>0</v>
      </c>
      <c r="N11">
        <v>0</v>
      </c>
    </row>
    <row r="12" spans="1:14">
      <c r="A12" t="s">
        <v>27</v>
      </c>
      <c r="C12">
        <v>2.8423642</v>
      </c>
      <c r="D12">
        <v>0.11934</v>
      </c>
      <c r="E12">
        <v>0.24464710000000001</v>
      </c>
      <c r="F12">
        <v>2.3569659999999999</v>
      </c>
      <c r="G12">
        <v>3.0670389999999998</v>
      </c>
      <c r="H12">
        <v>0.17901010000000001</v>
      </c>
      <c r="J12">
        <v>5.5633172999999996</v>
      </c>
    </row>
    <row r="13" spans="1:14">
      <c r="A13" t="s">
        <v>28</v>
      </c>
      <c r="C13">
        <v>40.771749629845111</v>
      </c>
      <c r="D13">
        <v>1.711849804759614</v>
      </c>
      <c r="E13">
        <v>3.5092935341880822</v>
      </c>
      <c r="F13">
        <v>33.809047988311107</v>
      </c>
      <c r="G13">
        <v>43.994554326630805</v>
      </c>
      <c r="H13">
        <v>2.5677761415702944</v>
      </c>
      <c r="I13">
        <v>126.36427142530501</v>
      </c>
    </row>
    <row r="17" spans="1:15">
      <c r="A17" t="s">
        <v>32</v>
      </c>
      <c r="H17" t="s">
        <v>33</v>
      </c>
      <c r="K17" t="s">
        <v>17</v>
      </c>
      <c r="M17" t="s">
        <v>115</v>
      </c>
      <c r="O17" t="s">
        <v>124</v>
      </c>
    </row>
    <row r="18" spans="1:15">
      <c r="B18" t="s">
        <v>34</v>
      </c>
      <c r="C18" t="s">
        <v>35</v>
      </c>
      <c r="D18" t="s">
        <v>36</v>
      </c>
      <c r="H18" t="s">
        <v>34</v>
      </c>
      <c r="I18" t="s">
        <v>35</v>
      </c>
      <c r="M18" t="s">
        <v>34</v>
      </c>
      <c r="N18" t="s">
        <v>35</v>
      </c>
    </row>
    <row r="19" spans="1:15">
      <c r="A19" t="s">
        <v>26</v>
      </c>
      <c r="B19">
        <v>52.845260000000003</v>
      </c>
      <c r="H19">
        <v>920.90800000000002</v>
      </c>
      <c r="M19">
        <v>26.246739999999999</v>
      </c>
      <c r="O19">
        <v>1000.0000000000001</v>
      </c>
    </row>
    <row r="21" spans="1:15">
      <c r="A21" t="s">
        <v>13</v>
      </c>
      <c r="C21">
        <v>9.7763729999999995</v>
      </c>
      <c r="D21">
        <v>18.499999810768269</v>
      </c>
      <c r="H21">
        <v>225.7501</v>
      </c>
      <c r="I21">
        <v>50.203572999999999</v>
      </c>
      <c r="K21">
        <v>1.466456</v>
      </c>
    </row>
    <row r="22" spans="1:15">
      <c r="M22" t="s">
        <v>55</v>
      </c>
    </row>
    <row r="23" spans="1:15">
      <c r="A23" t="s">
        <v>14</v>
      </c>
      <c r="C23">
        <v>7.9677439999999997</v>
      </c>
      <c r="D23">
        <v>15.077499855237726</v>
      </c>
      <c r="H23">
        <v>0</v>
      </c>
      <c r="I23">
        <v>2.278775</v>
      </c>
      <c r="K23">
        <v>1.832581</v>
      </c>
      <c r="M23" t="s">
        <v>34</v>
      </c>
      <c r="N23" t="s">
        <v>35</v>
      </c>
    </row>
    <row r="24" spans="1:15">
      <c r="M24">
        <v>1.152641</v>
      </c>
      <c r="N24">
        <v>1.152641</v>
      </c>
    </row>
    <row r="25" spans="1:15">
      <c r="A25" t="s">
        <v>15</v>
      </c>
      <c r="C25">
        <v>31.904530000000001</v>
      </c>
      <c r="D25">
        <v>60.373494235812252</v>
      </c>
    </row>
    <row r="27" spans="1:15">
      <c r="A27" t="s">
        <v>27</v>
      </c>
      <c r="B27">
        <v>52.845260000000003</v>
      </c>
      <c r="C27">
        <v>49.648646999999997</v>
      </c>
    </row>
    <row r="30" spans="1:15">
      <c r="A30" t="s">
        <v>6</v>
      </c>
      <c r="H30">
        <v>2.257501</v>
      </c>
    </row>
    <row r="31" spans="1:15">
      <c r="A31" t="s">
        <v>37</v>
      </c>
      <c r="C31">
        <v>3.1966079999999999</v>
      </c>
      <c r="D31">
        <v>6.0489966365952208</v>
      </c>
    </row>
    <row r="33" spans="3:4">
      <c r="C33" t="s">
        <v>38</v>
      </c>
      <c r="D33">
        <v>99.999990538413456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7"/>
  <sheetViews>
    <sheetView workbookViewId="0">
      <selection activeCell="H22" sqref="H22"/>
    </sheetView>
  </sheetViews>
  <sheetFormatPr defaultRowHeight="15"/>
  <sheetData>
    <row r="1" spans="1:17">
      <c r="A1" t="s">
        <v>29</v>
      </c>
    </row>
    <row r="2" spans="1:17">
      <c r="A2" t="s">
        <v>18</v>
      </c>
    </row>
    <row r="3" spans="1:17">
      <c r="A3" t="s">
        <v>26</v>
      </c>
      <c r="C3">
        <v>8.8628660000000004</v>
      </c>
      <c r="Q3" t="s">
        <v>36</v>
      </c>
    </row>
    <row r="4" spans="1:17">
      <c r="B4" t="s">
        <v>45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46</v>
      </c>
      <c r="J4" t="s">
        <v>27</v>
      </c>
      <c r="K4" t="s">
        <v>43</v>
      </c>
      <c r="Q4" t="s">
        <v>2</v>
      </c>
    </row>
    <row r="5" spans="1:17">
      <c r="A5" t="s">
        <v>13</v>
      </c>
      <c r="B5">
        <v>6.0270000000000001</v>
      </c>
      <c r="C5">
        <v>1.6999690000000001</v>
      </c>
      <c r="J5">
        <v>1.6999690000000001</v>
      </c>
      <c r="K5">
        <v>33.460946567896578</v>
      </c>
    </row>
    <row r="7" spans="1:17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7">
      <c r="M8" t="s">
        <v>59</v>
      </c>
    </row>
    <row r="9" spans="1:17">
      <c r="A9" t="s">
        <v>47</v>
      </c>
      <c r="C9">
        <v>4.250897E-2</v>
      </c>
      <c r="D9">
        <v>0</v>
      </c>
      <c r="E9">
        <v>0</v>
      </c>
      <c r="M9" t="s">
        <v>60</v>
      </c>
      <c r="N9" t="s">
        <v>55</v>
      </c>
    </row>
    <row r="10" spans="1:17">
      <c r="A10" t="s">
        <v>48</v>
      </c>
      <c r="C10">
        <v>2.436339E-3</v>
      </c>
      <c r="D10">
        <v>4.0605650000000002E-4</v>
      </c>
      <c r="E10">
        <v>4.3041990000000002E-2</v>
      </c>
      <c r="J10">
        <v>8.8393355500000007E-2</v>
      </c>
      <c r="K10">
        <v>1.7398701654810103</v>
      </c>
      <c r="L10" t="s">
        <v>61</v>
      </c>
      <c r="M10">
        <v>0.76657551400000001</v>
      </c>
      <c r="N10">
        <v>0.4249578</v>
      </c>
    </row>
    <row r="11" spans="1:17">
      <c r="A11" t="s">
        <v>44</v>
      </c>
      <c r="C11">
        <v>4.4945309000000003E-2</v>
      </c>
      <c r="D11">
        <v>4.0605650000000002E-4</v>
      </c>
      <c r="E11">
        <v>4.3041990000000002E-2</v>
      </c>
      <c r="L11" t="s">
        <v>40</v>
      </c>
      <c r="M11">
        <v>1.8780467000000001</v>
      </c>
      <c r="N11">
        <v>1.0404139999999999</v>
      </c>
      <c r="Q11">
        <v>0.29307742111429258</v>
      </c>
    </row>
    <row r="12" spans="1:17">
      <c r="L12" t="s">
        <v>54</v>
      </c>
      <c r="M12">
        <v>4.4298820000000001</v>
      </c>
      <c r="N12">
        <v>0</v>
      </c>
    </row>
    <row r="13" spans="1:17">
      <c r="A13" t="s">
        <v>49</v>
      </c>
      <c r="C13">
        <v>2.1254479999999998E-3</v>
      </c>
      <c r="D13">
        <v>1.5289000000000001E-2</v>
      </c>
      <c r="E13">
        <v>2.9049100000000001E-2</v>
      </c>
      <c r="F13">
        <v>0.3096023</v>
      </c>
      <c r="G13">
        <v>0.42274089999999998</v>
      </c>
      <c r="H13">
        <v>-1.2231199999999999E-2</v>
      </c>
    </row>
    <row r="14" spans="1:17">
      <c r="A14" t="s">
        <v>50</v>
      </c>
      <c r="C14">
        <v>7.6622869999999996E-2</v>
      </c>
      <c r="D14">
        <v>3.6028480000000002E-2</v>
      </c>
      <c r="E14">
        <v>6.8454109999999999E-2</v>
      </c>
      <c r="F14">
        <v>0.59987420000000002</v>
      </c>
      <c r="G14">
        <v>0.77821510000000005</v>
      </c>
      <c r="H14">
        <v>0.31885200000000002</v>
      </c>
    </row>
    <row r="15" spans="1:17">
      <c r="A15" t="s">
        <v>51</v>
      </c>
      <c r="C15">
        <v>8.8597640000000005E-2</v>
      </c>
      <c r="D15">
        <v>8.6825689999999997E-2</v>
      </c>
      <c r="E15">
        <v>0.1649688</v>
      </c>
      <c r="F15">
        <v>1.814657</v>
      </c>
      <c r="G15">
        <v>2.6308180000000001</v>
      </c>
      <c r="H15">
        <v>-0.3559853</v>
      </c>
    </row>
    <row r="16" spans="1:17">
      <c r="A16" t="s">
        <v>44</v>
      </c>
      <c r="C16">
        <v>0.16734595800000002</v>
      </c>
      <c r="D16">
        <v>0.13814316999999998</v>
      </c>
      <c r="E16">
        <v>0.26247200999999998</v>
      </c>
      <c r="F16">
        <v>2.7241334999999998</v>
      </c>
      <c r="G16">
        <v>3.8317740000000002</v>
      </c>
      <c r="H16">
        <v>-4.9364499999999978E-2</v>
      </c>
      <c r="J16">
        <v>3.292094638</v>
      </c>
      <c r="K16">
        <v>64.799183266622407</v>
      </c>
      <c r="Q16">
        <v>99.70692257888571</v>
      </c>
    </row>
    <row r="18" spans="1:12">
      <c r="A18" t="s">
        <v>52</v>
      </c>
      <c r="B18">
        <v>6.0270000000000001</v>
      </c>
      <c r="C18">
        <v>1.9122602670000002</v>
      </c>
      <c r="D18">
        <v>0.13854922649999998</v>
      </c>
      <c r="E18">
        <v>0.30551399999999995</v>
      </c>
      <c r="F18">
        <v>2.7241334999999998</v>
      </c>
      <c r="G18">
        <v>3.8317740000000002</v>
      </c>
      <c r="H18">
        <v>-4.9364499999999978E-2</v>
      </c>
      <c r="J18">
        <v>5.0804569935000004</v>
      </c>
    </row>
    <row r="19" spans="1:12">
      <c r="C19">
        <v>21.576093636076635</v>
      </c>
      <c r="D19">
        <v>1.5632553453927882</v>
      </c>
      <c r="E19">
        <v>3.4471242146727699</v>
      </c>
      <c r="F19">
        <v>30.736485240778769</v>
      </c>
      <c r="G19">
        <v>43.234028360577717</v>
      </c>
      <c r="H19">
        <v>-0.55698122932243332</v>
      </c>
      <c r="I19">
        <v>100.00000556817625</v>
      </c>
    </row>
    <row r="24" spans="1:12">
      <c r="A24" t="s">
        <v>32</v>
      </c>
      <c r="H24" t="s">
        <v>33</v>
      </c>
      <c r="K24" t="s">
        <v>17</v>
      </c>
    </row>
    <row r="25" spans="1:12">
      <c r="B25" t="s">
        <v>34</v>
      </c>
      <c r="C25" t="s">
        <v>35</v>
      </c>
      <c r="D25" t="s">
        <v>34</v>
      </c>
      <c r="E25" t="s">
        <v>35</v>
      </c>
      <c r="F25" t="s">
        <v>36</v>
      </c>
      <c r="H25" t="s">
        <v>34</v>
      </c>
      <c r="I25" t="s">
        <v>35</v>
      </c>
    </row>
    <row r="26" spans="1:12">
      <c r="A26" t="s">
        <v>26</v>
      </c>
      <c r="B26">
        <v>67.183080000000004</v>
      </c>
      <c r="D26">
        <v>67.183080000000004</v>
      </c>
      <c r="H26" t="s">
        <v>57</v>
      </c>
    </row>
    <row r="28" spans="1:12">
      <c r="A28" t="s">
        <v>13</v>
      </c>
      <c r="C28">
        <v>12.42887</v>
      </c>
      <c r="E28">
        <v>12.42887</v>
      </c>
      <c r="F28">
        <v>18.500000297694001</v>
      </c>
      <c r="H28">
        <v>1386.0160000000001</v>
      </c>
      <c r="I28">
        <v>71.75</v>
      </c>
      <c r="K28">
        <v>1.86433</v>
      </c>
    </row>
    <row r="30" spans="1:12">
      <c r="A30" t="s">
        <v>39</v>
      </c>
      <c r="C30">
        <v>2.7377099999999999</v>
      </c>
      <c r="E30">
        <v>2.7377099999999999</v>
      </c>
      <c r="F30">
        <v>4.0749992408802926</v>
      </c>
      <c r="H30">
        <v>0.78298520000000005</v>
      </c>
      <c r="I30">
        <v>0</v>
      </c>
      <c r="K30">
        <v>0.41065659999999998</v>
      </c>
    </row>
    <row r="32" spans="1:12">
      <c r="A32" t="s">
        <v>14</v>
      </c>
      <c r="D32">
        <v>0</v>
      </c>
      <c r="E32">
        <v>2.221104</v>
      </c>
      <c r="F32">
        <v>3.3060467010443699</v>
      </c>
      <c r="L32">
        <v>0.51085400000000003</v>
      </c>
    </row>
    <row r="33" spans="1:11">
      <c r="A33" t="s">
        <v>53</v>
      </c>
      <c r="C33">
        <v>0</v>
      </c>
      <c r="H33">
        <v>0</v>
      </c>
      <c r="I33">
        <v>0</v>
      </c>
      <c r="K33">
        <v>0</v>
      </c>
    </row>
    <row r="34" spans="1:11">
      <c r="A34" t="s">
        <v>40</v>
      </c>
      <c r="C34">
        <v>2.221104</v>
      </c>
      <c r="H34">
        <v>0</v>
      </c>
      <c r="I34">
        <v>9.7203470000000003</v>
      </c>
      <c r="K34">
        <v>0.51085400000000003</v>
      </c>
    </row>
    <row r="36" spans="1:11">
      <c r="A36" t="s">
        <v>15</v>
      </c>
      <c r="E36">
        <v>44.32002</v>
      </c>
      <c r="F36">
        <v>65.969020771301345</v>
      </c>
    </row>
    <row r="37" spans="1:11">
      <c r="A37" t="s">
        <v>53</v>
      </c>
      <c r="C37">
        <v>20.504850000000001</v>
      </c>
    </row>
    <row r="38" spans="1:11">
      <c r="A38" t="s">
        <v>40</v>
      </c>
      <c r="C38">
        <v>23.815169999999998</v>
      </c>
    </row>
    <row r="40" spans="1:11">
      <c r="A40" t="s">
        <v>27</v>
      </c>
      <c r="C40">
        <v>61.707703999999993</v>
      </c>
      <c r="E40">
        <v>61.707704</v>
      </c>
    </row>
    <row r="42" spans="1:11">
      <c r="A42" t="s">
        <v>6</v>
      </c>
    </row>
    <row r="43" spans="1:11">
      <c r="A43" t="s">
        <v>53</v>
      </c>
      <c r="C43">
        <v>-0.21841430000000001</v>
      </c>
    </row>
    <row r="44" spans="1:11">
      <c r="A44" t="s">
        <v>40</v>
      </c>
      <c r="C44">
        <v>5.6937860000000002</v>
      </c>
    </row>
    <row r="45" spans="1:11">
      <c r="A45" t="s">
        <v>54</v>
      </c>
      <c r="C45">
        <v>-6.3568809999999996</v>
      </c>
    </row>
    <row r="46" spans="1:11">
      <c r="A46" t="s">
        <v>37</v>
      </c>
      <c r="C46">
        <v>-0.88150929999999939</v>
      </c>
      <c r="E46">
        <v>-0.88150929999999939</v>
      </c>
      <c r="F46">
        <v>-1.3121001597426007</v>
      </c>
    </row>
    <row r="47" spans="1:11">
      <c r="B47">
        <v>73.539961000000005</v>
      </c>
      <c r="F47">
        <v>90.537966851177416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H16" sqref="H16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19.05903</v>
      </c>
      <c r="C2" t="s">
        <v>62</v>
      </c>
      <c r="D2" t="s">
        <v>42</v>
      </c>
    </row>
    <row r="3" spans="1:14">
      <c r="A3" t="s">
        <v>26</v>
      </c>
      <c r="B3">
        <v>13.032029000000001</v>
      </c>
      <c r="C3">
        <v>1.520597</v>
      </c>
      <c r="D3">
        <v>14.552626000000002</v>
      </c>
      <c r="J3" t="s">
        <v>30</v>
      </c>
      <c r="K3" t="s">
        <v>31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14">
      <c r="A5" t="s">
        <v>13</v>
      </c>
      <c r="B5">
        <v>6.0270000000000001</v>
      </c>
      <c r="C5">
        <v>2.5978500000000002</v>
      </c>
      <c r="J5">
        <v>2.5978500000000002</v>
      </c>
      <c r="K5">
        <v>26.359692789365571</v>
      </c>
    </row>
    <row r="7" spans="1:14">
      <c r="A7" t="s">
        <v>14</v>
      </c>
      <c r="C7">
        <v>0.104842</v>
      </c>
      <c r="D7">
        <v>0</v>
      </c>
      <c r="E7">
        <v>0</v>
      </c>
      <c r="J7">
        <v>0.104842</v>
      </c>
      <c r="K7">
        <v>1.0638038806792791</v>
      </c>
    </row>
    <row r="8" spans="1:14">
      <c r="M8" t="s">
        <v>59</v>
      </c>
      <c r="N8" t="s">
        <v>55</v>
      </c>
    </row>
    <row r="9" spans="1:14">
      <c r="A9" t="s">
        <v>15</v>
      </c>
      <c r="C9">
        <v>1.6606970000000001</v>
      </c>
      <c r="D9">
        <v>0.20378470000000001</v>
      </c>
      <c r="E9">
        <v>0.35662329999999998</v>
      </c>
      <c r="F9">
        <v>4.9315910000000001</v>
      </c>
      <c r="G9">
        <v>4.9825369999999998</v>
      </c>
      <c r="H9">
        <v>-0.28529860000000001</v>
      </c>
      <c r="J9">
        <v>7.1526960000000006</v>
      </c>
      <c r="K9">
        <v>72.576503329955145</v>
      </c>
      <c r="M9" t="s">
        <v>60</v>
      </c>
    </row>
    <row r="10" spans="1:14">
      <c r="L10" t="s">
        <v>61</v>
      </c>
      <c r="M10">
        <v>11.849937000000001</v>
      </c>
      <c r="N10">
        <v>1.5031049999999999</v>
      </c>
    </row>
    <row r="11" spans="1:14">
      <c r="L11" t="s">
        <v>40</v>
      </c>
      <c r="M11">
        <v>0</v>
      </c>
      <c r="N11">
        <v>0</v>
      </c>
    </row>
    <row r="12" spans="1:14">
      <c r="A12" t="s">
        <v>27</v>
      </c>
      <c r="B12">
        <v>6.0270000000000001</v>
      </c>
      <c r="C12">
        <v>4.3633890000000006</v>
      </c>
      <c r="D12">
        <v>0.20378470000000001</v>
      </c>
      <c r="E12">
        <v>0.35662329999999998</v>
      </c>
      <c r="F12">
        <v>4.9315910000000001</v>
      </c>
      <c r="G12">
        <v>4.9825369999999998</v>
      </c>
      <c r="H12">
        <v>-0.28529860000000001</v>
      </c>
      <c r="J12">
        <v>9.8553880000000014</v>
      </c>
    </row>
    <row r="13" spans="1:14">
      <c r="A13" t="s">
        <v>28</v>
      </c>
      <c r="C13">
        <v>29.983516377044253</v>
      </c>
      <c r="D13">
        <v>1.4003293975946334</v>
      </c>
      <c r="E13">
        <v>2.4505769611615107</v>
      </c>
      <c r="F13">
        <v>33.887980080021293</v>
      </c>
      <c r="G13">
        <v>34.238061226887844</v>
      </c>
      <c r="H13">
        <v>-1.9604612940647275</v>
      </c>
      <c r="I13">
        <v>100.0000027486448</v>
      </c>
    </row>
    <row r="17" spans="1:11">
      <c r="A17" t="s">
        <v>32</v>
      </c>
      <c r="H17" t="s">
        <v>33</v>
      </c>
      <c r="K17" t="s">
        <v>17</v>
      </c>
    </row>
    <row r="18" spans="1:11">
      <c r="B18" t="s">
        <v>34</v>
      </c>
      <c r="C18" t="s">
        <v>35</v>
      </c>
      <c r="D18" t="s">
        <v>36</v>
      </c>
      <c r="H18" t="s">
        <v>34</v>
      </c>
      <c r="I18" t="s">
        <v>35</v>
      </c>
    </row>
    <row r="19" spans="1:11">
      <c r="A19" t="s">
        <v>26</v>
      </c>
      <c r="B19">
        <v>67.183080000000004</v>
      </c>
      <c r="H19">
        <v>1170.7660000000001</v>
      </c>
    </row>
    <row r="21" spans="1:11">
      <c r="A21" t="s">
        <v>13</v>
      </c>
      <c r="C21">
        <v>12.42887</v>
      </c>
      <c r="D21">
        <v>10.226967996060242</v>
      </c>
      <c r="H21">
        <v>287</v>
      </c>
      <c r="I21">
        <v>60.27</v>
      </c>
      <c r="K21">
        <v>1.86433</v>
      </c>
    </row>
    <row r="22" spans="1:11">
      <c r="A22" t="s">
        <v>63</v>
      </c>
      <c r="B22">
        <v>54.347270000000002</v>
      </c>
      <c r="H22">
        <v>240.0943</v>
      </c>
    </row>
    <row r="23" spans="1:11">
      <c r="A23" t="s">
        <v>64</v>
      </c>
      <c r="C23">
        <v>67.642920000000004</v>
      </c>
      <c r="D23">
        <v>55.659281817257998</v>
      </c>
      <c r="I23">
        <v>19.345870000000001</v>
      </c>
      <c r="K23">
        <v>20.292870000000001</v>
      </c>
    </row>
    <row r="25" spans="1:11">
      <c r="A25" t="s">
        <v>14</v>
      </c>
      <c r="C25">
        <v>2.9020990000000002</v>
      </c>
      <c r="D25">
        <v>2.3879623484997783</v>
      </c>
      <c r="I25">
        <v>0.83000039999999997</v>
      </c>
      <c r="K25">
        <v>0.87062980000000001</v>
      </c>
    </row>
    <row r="27" spans="1:11">
      <c r="A27" t="s">
        <v>15</v>
      </c>
      <c r="C27">
        <v>43.65108</v>
      </c>
      <c r="D27">
        <v>35.91784274463128</v>
      </c>
    </row>
    <row r="29" spans="1:11">
      <c r="A29" t="s">
        <v>27</v>
      </c>
      <c r="B29">
        <v>121.53035</v>
      </c>
      <c r="C29">
        <v>126.62496900000002</v>
      </c>
      <c r="D29">
        <v>104.1920549064493</v>
      </c>
    </row>
    <row r="32" spans="1:11">
      <c r="A32" t="s">
        <v>6</v>
      </c>
    </row>
    <row r="33" spans="1:3">
      <c r="A33" t="s">
        <v>37</v>
      </c>
      <c r="C33">
        <v>-5.0946189999999998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K25" sqref="K25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14.88987</v>
      </c>
      <c r="C2" t="s">
        <v>62</v>
      </c>
      <c r="D2" t="s">
        <v>42</v>
      </c>
    </row>
    <row r="3" spans="1:14">
      <c r="A3" t="s">
        <v>26</v>
      </c>
      <c r="B3">
        <v>8.8628660000000004</v>
      </c>
      <c r="C3">
        <v>1.528797</v>
      </c>
      <c r="D3">
        <v>10.391663000000001</v>
      </c>
      <c r="J3" t="s">
        <v>30</v>
      </c>
      <c r="K3" t="s">
        <v>31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14">
      <c r="A5" t="s">
        <v>13</v>
      </c>
      <c r="B5">
        <v>6.0270000000000001</v>
      </c>
      <c r="C5">
        <v>1.6414329999999999</v>
      </c>
      <c r="J5">
        <v>1.6414329999999999</v>
      </c>
      <c r="K5">
        <v>23.678581469890911</v>
      </c>
    </row>
    <row r="7" spans="1:14">
      <c r="A7" t="s">
        <v>14</v>
      </c>
      <c r="C7">
        <v>7.3981459999999999E-2</v>
      </c>
      <c r="D7">
        <v>0</v>
      </c>
      <c r="E7">
        <v>0</v>
      </c>
      <c r="J7">
        <v>7.3981459999999999E-2</v>
      </c>
      <c r="K7">
        <v>1.0672235954019906</v>
      </c>
    </row>
    <row r="8" spans="1:14">
      <c r="M8" t="s">
        <v>59</v>
      </c>
      <c r="N8" t="s">
        <v>55</v>
      </c>
    </row>
    <row r="9" spans="1:14">
      <c r="A9" t="s">
        <v>15</v>
      </c>
      <c r="C9">
        <v>1.1718660000000001</v>
      </c>
      <c r="D9">
        <v>0.15008759999999999</v>
      </c>
      <c r="E9">
        <v>0.26265339999999998</v>
      </c>
      <c r="F9">
        <v>3.6321210000000002</v>
      </c>
      <c r="G9">
        <v>3.6696430000000002</v>
      </c>
      <c r="H9">
        <v>-0.2101227</v>
      </c>
      <c r="J9">
        <v>5.2167279999999998</v>
      </c>
      <c r="K9">
        <v>75.254194934707087</v>
      </c>
      <c r="M9" t="s">
        <v>60</v>
      </c>
    </row>
    <row r="10" spans="1:14">
      <c r="L10" t="s">
        <v>61</v>
      </c>
      <c r="M10">
        <v>8.6762490000000003</v>
      </c>
      <c r="N10">
        <v>1.503309</v>
      </c>
    </row>
    <row r="11" spans="1:14">
      <c r="L11" t="s">
        <v>40</v>
      </c>
      <c r="M11">
        <v>0</v>
      </c>
      <c r="N11">
        <v>0</v>
      </c>
    </row>
    <row r="12" spans="1:14">
      <c r="A12" t="s">
        <v>27</v>
      </c>
      <c r="B12">
        <v>6.0270000000000001</v>
      </c>
      <c r="C12">
        <v>2.8872804599999999</v>
      </c>
      <c r="D12">
        <v>0.15008759999999999</v>
      </c>
      <c r="E12">
        <v>0.26265339999999998</v>
      </c>
      <c r="F12">
        <v>3.6321210000000002</v>
      </c>
      <c r="G12">
        <v>3.6696430000000002</v>
      </c>
      <c r="H12">
        <v>-0.2101227</v>
      </c>
      <c r="J12">
        <v>6.9321424599999997</v>
      </c>
    </row>
    <row r="13" spans="1:14">
      <c r="A13" t="s">
        <v>28</v>
      </c>
      <c r="C13">
        <v>27.78458520065556</v>
      </c>
      <c r="D13">
        <v>1.4443078071334681</v>
      </c>
      <c r="E13">
        <v>2.5275396247934516</v>
      </c>
      <c r="F13">
        <v>34.952259325576662</v>
      </c>
      <c r="G13">
        <v>35.313337239669913</v>
      </c>
      <c r="H13">
        <v>-2.0220315073727853</v>
      </c>
      <c r="I13">
        <v>99.999997690456269</v>
      </c>
    </row>
    <row r="17" spans="1:11">
      <c r="A17" t="s">
        <v>32</v>
      </c>
      <c r="H17" t="s">
        <v>33</v>
      </c>
      <c r="K17" t="s">
        <v>17</v>
      </c>
    </row>
    <row r="18" spans="1:11">
      <c r="B18" t="s">
        <v>34</v>
      </c>
      <c r="C18" t="s">
        <v>35</v>
      </c>
      <c r="D18" t="s">
        <v>36</v>
      </c>
      <c r="H18" t="s">
        <v>34</v>
      </c>
      <c r="I18" t="s">
        <v>35</v>
      </c>
    </row>
    <row r="19" spans="1:11">
      <c r="A19" t="s">
        <v>26</v>
      </c>
      <c r="B19">
        <v>67.183080000000004</v>
      </c>
      <c r="H19">
        <v>1170.7660000000001</v>
      </c>
    </row>
    <row r="21" spans="1:11">
      <c r="A21" t="s">
        <v>13</v>
      </c>
      <c r="C21">
        <v>6.2144349999999999</v>
      </c>
      <c r="D21">
        <v>5.101182933559322</v>
      </c>
      <c r="H21">
        <v>93.216520000000003</v>
      </c>
      <c r="I21">
        <v>60.27</v>
      </c>
      <c r="K21">
        <v>0.93216520000000003</v>
      </c>
    </row>
    <row r="22" spans="1:11">
      <c r="A22" t="s">
        <v>63</v>
      </c>
      <c r="B22">
        <v>54.640329999999999</v>
      </c>
      <c r="H22">
        <v>241.38900000000001</v>
      </c>
    </row>
    <row r="23" spans="1:11">
      <c r="A23" t="s">
        <v>64</v>
      </c>
      <c r="C23">
        <v>71.67756</v>
      </c>
      <c r="D23">
        <v>58.837262887321906</v>
      </c>
      <c r="I23">
        <v>20.499780000000001</v>
      </c>
      <c r="K23">
        <v>21.503270000000001</v>
      </c>
    </row>
    <row r="25" spans="1:11">
      <c r="A25" t="s">
        <v>14</v>
      </c>
      <c r="C25">
        <v>3.075199</v>
      </c>
      <c r="D25">
        <v>2.5243087514952998</v>
      </c>
      <c r="I25">
        <v>0.87950680000000003</v>
      </c>
      <c r="K25">
        <v>0.92255960000000004</v>
      </c>
    </row>
    <row r="27" spans="1:11">
      <c r="A27" t="s">
        <v>15</v>
      </c>
      <c r="C27">
        <v>44.608400000000003</v>
      </c>
      <c r="D27">
        <v>36.61726428442612</v>
      </c>
    </row>
    <row r="29" spans="1:11">
      <c r="A29" t="s">
        <v>27</v>
      </c>
      <c r="B29">
        <v>121.82341</v>
      </c>
      <c r="C29">
        <v>125.575594</v>
      </c>
      <c r="D29">
        <v>103.08001885680264</v>
      </c>
    </row>
    <row r="32" spans="1:11">
      <c r="A32" t="s">
        <v>6</v>
      </c>
    </row>
    <row r="33" spans="1:3">
      <c r="A33" t="s">
        <v>37</v>
      </c>
      <c r="C33">
        <v>-3.7521909999999998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sqref="A1:Q47"/>
    </sheetView>
  </sheetViews>
  <sheetFormatPr defaultRowHeight="15"/>
  <sheetData>
    <row r="1" spans="1:17">
      <c r="A1" t="s">
        <v>29</v>
      </c>
    </row>
    <row r="2" spans="1:17">
      <c r="A2" t="s">
        <v>25</v>
      </c>
      <c r="B2">
        <v>19.05903</v>
      </c>
    </row>
    <row r="3" spans="1:17">
      <c r="A3" t="s">
        <v>26</v>
      </c>
      <c r="B3">
        <v>13.032029000000001</v>
      </c>
      <c r="J3" t="s">
        <v>30</v>
      </c>
      <c r="Q3" t="s">
        <v>2</v>
      </c>
    </row>
    <row r="4" spans="1:1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  <c r="K4" t="s">
        <v>43</v>
      </c>
      <c r="Q4" t="s">
        <v>36</v>
      </c>
    </row>
    <row r="5" spans="1:17">
      <c r="A5" t="s">
        <v>13</v>
      </c>
      <c r="B5">
        <v>6.0270000000000001</v>
      </c>
      <c r="C5">
        <v>2.5978500000000002</v>
      </c>
      <c r="J5">
        <v>2.5978500000000002</v>
      </c>
      <c r="K5">
        <v>33.262655229099359</v>
      </c>
    </row>
    <row r="7" spans="1:17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7">
      <c r="M8" t="s">
        <v>59</v>
      </c>
      <c r="N8" t="s">
        <v>55</v>
      </c>
    </row>
    <row r="9" spans="1:17">
      <c r="A9" t="s">
        <v>14</v>
      </c>
      <c r="M9" t="s">
        <v>60</v>
      </c>
    </row>
    <row r="10" spans="1:17">
      <c r="A10" t="s">
        <v>24</v>
      </c>
      <c r="C10">
        <v>9.0960940000000004E-2</v>
      </c>
      <c r="D10">
        <v>0</v>
      </c>
      <c r="E10">
        <v>0</v>
      </c>
      <c r="L10" t="s">
        <v>61</v>
      </c>
      <c r="M10">
        <v>7.7033925999999999</v>
      </c>
      <c r="N10">
        <v>0.4249578</v>
      </c>
    </row>
    <row r="11" spans="1:17">
      <c r="A11" t="s">
        <v>40</v>
      </c>
      <c r="C11">
        <v>3.6500959999999998E-3</v>
      </c>
      <c r="D11">
        <v>6.0834929999999999E-4</v>
      </c>
      <c r="E11">
        <v>1.8250479999999999E-3</v>
      </c>
      <c r="L11" t="s">
        <v>40</v>
      </c>
      <c r="M11">
        <v>2.6337419999999998</v>
      </c>
      <c r="N11">
        <v>1.0404139999999999</v>
      </c>
    </row>
    <row r="12" spans="1:17">
      <c r="A12" t="s">
        <v>44</v>
      </c>
      <c r="C12">
        <v>9.4611036000000009E-2</v>
      </c>
      <c r="D12">
        <v>6.0834929999999999E-4</v>
      </c>
      <c r="E12">
        <v>1.8250479999999999E-3</v>
      </c>
      <c r="J12">
        <v>9.704443330000001E-2</v>
      </c>
      <c r="K12">
        <v>1.2425488487638734</v>
      </c>
      <c r="Q12">
        <v>0.32297955431735892</v>
      </c>
    </row>
    <row r="14" spans="1:17">
      <c r="A14" t="s">
        <v>15</v>
      </c>
    </row>
    <row r="15" spans="1:17">
      <c r="A15" t="s">
        <v>24</v>
      </c>
      <c r="C15">
        <v>0.82872420000000002</v>
      </c>
      <c r="D15">
        <v>0.13749339999999999</v>
      </c>
      <c r="E15">
        <v>0.26123740000000001</v>
      </c>
      <c r="F15">
        <v>2.7842410000000002</v>
      </c>
      <c r="G15">
        <v>3.8016920000000001</v>
      </c>
      <c r="H15">
        <v>-0.1099947</v>
      </c>
    </row>
    <row r="16" spans="1:17">
      <c r="A16" t="s">
        <v>40</v>
      </c>
      <c r="C16">
        <v>0.1210615</v>
      </c>
      <c r="D16">
        <v>5.0253609999999997E-2</v>
      </c>
      <c r="E16">
        <v>9.5481869999999996E-2</v>
      </c>
      <c r="F16">
        <v>0.83672270000000004</v>
      </c>
      <c r="G16">
        <v>1.0854779999999999</v>
      </c>
      <c r="H16">
        <v>0.44474449999999999</v>
      </c>
    </row>
    <row r="17" spans="1:17">
      <c r="A17" t="s">
        <v>44</v>
      </c>
      <c r="C17">
        <v>0.94978570000000007</v>
      </c>
      <c r="D17">
        <v>0.18774700999999999</v>
      </c>
      <c r="E17">
        <v>0.35671927000000003</v>
      </c>
      <c r="F17">
        <v>3.6209637000000003</v>
      </c>
      <c r="G17">
        <v>4.8871700000000002</v>
      </c>
      <c r="H17">
        <v>0.33474979999999999</v>
      </c>
      <c r="J17">
        <v>5.1152156800000004</v>
      </c>
      <c r="K17">
        <v>65.494795922136774</v>
      </c>
      <c r="Q17">
        <v>99.677020445682643</v>
      </c>
    </row>
    <row r="19" spans="1:17">
      <c r="A19" t="s">
        <v>27</v>
      </c>
      <c r="B19">
        <v>6.0270000000000001</v>
      </c>
      <c r="C19">
        <v>3.6422467360000002</v>
      </c>
      <c r="D19">
        <v>0.1883553593</v>
      </c>
      <c r="E19">
        <v>0.35854431800000003</v>
      </c>
      <c r="F19">
        <v>3.6209637000000003</v>
      </c>
      <c r="G19">
        <v>4.8871700000000002</v>
      </c>
      <c r="H19">
        <v>0.33474979999999999</v>
      </c>
      <c r="J19">
        <v>7.8101101133000004</v>
      </c>
    </row>
    <row r="20" spans="1:17">
      <c r="A20" t="s">
        <v>28</v>
      </c>
      <c r="C20">
        <v>27.948424117226871</v>
      </c>
      <c r="D20">
        <v>1.4453264284479415</v>
      </c>
      <c r="E20">
        <v>2.7512547585644564</v>
      </c>
      <c r="F20">
        <v>27.785110821960263</v>
      </c>
      <c r="G20">
        <v>37.501221030125087</v>
      </c>
      <c r="H20">
        <v>2.568669851793608</v>
      </c>
      <c r="I20">
        <v>100.00000700811822</v>
      </c>
    </row>
    <row r="23" spans="1:17">
      <c r="A23" t="s">
        <v>32</v>
      </c>
      <c r="I23" t="s">
        <v>33</v>
      </c>
      <c r="M23" t="s">
        <v>17</v>
      </c>
    </row>
    <row r="24" spans="1:17">
      <c r="B24" t="s">
        <v>34</v>
      </c>
      <c r="C24" t="s">
        <v>35</v>
      </c>
      <c r="D24" t="s">
        <v>34</v>
      </c>
      <c r="E24" t="s">
        <v>35</v>
      </c>
      <c r="F24" t="s">
        <v>36</v>
      </c>
      <c r="I24" t="s">
        <v>34</v>
      </c>
      <c r="J24" t="s">
        <v>35</v>
      </c>
    </row>
    <row r="25" spans="1:17">
      <c r="A25" t="s">
        <v>26</v>
      </c>
      <c r="B25">
        <v>67.183080000000004</v>
      </c>
      <c r="D25">
        <v>67.183080000000004</v>
      </c>
      <c r="I25" t="s">
        <v>57</v>
      </c>
    </row>
    <row r="27" spans="1:17">
      <c r="A27" t="s">
        <v>13</v>
      </c>
      <c r="C27">
        <v>12.42887</v>
      </c>
      <c r="E27">
        <v>12.42887</v>
      </c>
      <c r="F27">
        <v>18.500000297694001</v>
      </c>
      <c r="I27">
        <v>1419.38393</v>
      </c>
      <c r="J27">
        <v>0</v>
      </c>
      <c r="M27">
        <v>1.86433</v>
      </c>
    </row>
    <row r="29" spans="1:17">
      <c r="A29" t="s">
        <v>39</v>
      </c>
      <c r="C29">
        <v>2.7377099999999999</v>
      </c>
      <c r="E29">
        <v>2.7377099999999999</v>
      </c>
      <c r="F29">
        <v>4.0749992408802926</v>
      </c>
      <c r="I29">
        <v>0</v>
      </c>
      <c r="J29">
        <v>0</v>
      </c>
      <c r="M29">
        <v>0.41065659999999998</v>
      </c>
    </row>
    <row r="31" spans="1:17">
      <c r="A31" t="s">
        <v>14</v>
      </c>
      <c r="E31">
        <v>5.974094</v>
      </c>
      <c r="F31">
        <v>8.8922597773129777</v>
      </c>
      <c r="N31">
        <v>1.3740418000000001</v>
      </c>
    </row>
    <row r="32" spans="1:17">
      <c r="A32" t="s">
        <v>24</v>
      </c>
      <c r="C32">
        <v>3.75299</v>
      </c>
      <c r="I32">
        <v>0</v>
      </c>
      <c r="J32">
        <v>0</v>
      </c>
      <c r="M32">
        <v>0.86318779999999995</v>
      </c>
    </row>
    <row r="33" spans="1:13">
      <c r="A33" t="s">
        <v>40</v>
      </c>
      <c r="C33">
        <v>2.221104</v>
      </c>
      <c r="I33">
        <v>0.63523589999999996</v>
      </c>
      <c r="J33">
        <v>9.7203470000000003</v>
      </c>
      <c r="M33">
        <v>0.51085400000000003</v>
      </c>
    </row>
    <row r="35" spans="1:13">
      <c r="A35" t="s">
        <v>15</v>
      </c>
      <c r="E35">
        <v>40.064720000000001</v>
      </c>
      <c r="F35">
        <v>59.635134322510964</v>
      </c>
    </row>
    <row r="36" spans="1:13">
      <c r="A36" t="s">
        <v>24</v>
      </c>
      <c r="C36">
        <v>18.497630000000001</v>
      </c>
    </row>
    <row r="37" spans="1:13">
      <c r="A37" t="s">
        <v>40</v>
      </c>
      <c r="C37">
        <v>21.56709</v>
      </c>
    </row>
    <row r="39" spans="1:13">
      <c r="A39" t="s">
        <v>6</v>
      </c>
      <c r="E39">
        <v>5.9776749999999996</v>
      </c>
      <c r="F39">
        <v>8.8975899884316103</v>
      </c>
    </row>
    <row r="40" spans="1:13">
      <c r="A40" t="s">
        <v>24</v>
      </c>
      <c r="C40">
        <v>-1.964191</v>
      </c>
    </row>
    <row r="41" spans="1:13">
      <c r="A41" t="s">
        <v>40</v>
      </c>
      <c r="C41">
        <v>7.9418660000000001</v>
      </c>
    </row>
    <row r="43" spans="1:13">
      <c r="A43" t="s">
        <v>27</v>
      </c>
      <c r="B43">
        <v>67.183080000000004</v>
      </c>
      <c r="C43">
        <v>67.183069000000003</v>
      </c>
      <c r="F43">
        <v>99.999983626829845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43"/>
  <sheetViews>
    <sheetView topLeftCell="A16" workbookViewId="0">
      <selection sqref="A1:R44"/>
    </sheetView>
  </sheetViews>
  <sheetFormatPr defaultRowHeight="15"/>
  <sheetData>
    <row r="1" spans="1:17">
      <c r="A1" t="s">
        <v>29</v>
      </c>
    </row>
    <row r="2" spans="1:17">
      <c r="A2" t="s">
        <v>25</v>
      </c>
      <c r="B2">
        <v>14.88987</v>
      </c>
    </row>
    <row r="3" spans="1:17">
      <c r="A3" t="s">
        <v>26</v>
      </c>
      <c r="B3">
        <v>8.8628660000000004</v>
      </c>
      <c r="J3" t="s">
        <v>30</v>
      </c>
      <c r="Q3" t="s">
        <v>2</v>
      </c>
    </row>
    <row r="4" spans="1:1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  <c r="K4" t="s">
        <v>43</v>
      </c>
      <c r="Q4" t="s">
        <v>36</v>
      </c>
    </row>
    <row r="5" spans="1:17">
      <c r="A5" t="s">
        <v>13</v>
      </c>
      <c r="B5">
        <v>6.0270000000000001</v>
      </c>
      <c r="C5">
        <v>1.6414329999999999</v>
      </c>
      <c r="J5">
        <v>1.6414329999999999</v>
      </c>
      <c r="K5">
        <v>31.495161806398336</v>
      </c>
    </row>
    <row r="7" spans="1:17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7">
      <c r="M8" t="s">
        <v>59</v>
      </c>
      <c r="N8" t="s">
        <v>55</v>
      </c>
    </row>
    <row r="9" spans="1:17">
      <c r="A9" t="s">
        <v>14</v>
      </c>
      <c r="M9" t="s">
        <v>60</v>
      </c>
    </row>
    <row r="10" spans="1:17">
      <c r="A10" t="s">
        <v>24</v>
      </c>
      <c r="C10">
        <v>5.9408059999999999E-2</v>
      </c>
      <c r="D10">
        <v>0</v>
      </c>
      <c r="E10">
        <v>0</v>
      </c>
      <c r="L10" t="s">
        <v>61</v>
      </c>
      <c r="M10">
        <v>5.1253542000000003</v>
      </c>
      <c r="N10">
        <v>0.4249578</v>
      </c>
    </row>
    <row r="11" spans="1:17">
      <c r="A11" t="s">
        <v>40</v>
      </c>
      <c r="C11">
        <v>2.3959950000000002E-3</v>
      </c>
      <c r="D11">
        <v>3.9933250000000003E-4</v>
      </c>
      <c r="E11">
        <v>1.197998E-3</v>
      </c>
      <c r="L11" t="s">
        <v>40</v>
      </c>
      <c r="M11">
        <v>2.0326778000000001</v>
      </c>
      <c r="N11">
        <v>1.0404139999999999</v>
      </c>
    </row>
    <row r="12" spans="1:17">
      <c r="A12" t="s">
        <v>44</v>
      </c>
      <c r="C12">
        <v>6.1804054999999997E-2</v>
      </c>
      <c r="D12">
        <v>3.9933250000000003E-4</v>
      </c>
      <c r="E12">
        <v>1.197998E-3</v>
      </c>
      <c r="J12">
        <v>6.3401385500000004E-2</v>
      </c>
      <c r="K12">
        <v>1.2165205007285327</v>
      </c>
      <c r="Q12">
        <v>0.30449562485196557</v>
      </c>
    </row>
    <row r="14" spans="1:17">
      <c r="A14" t="s">
        <v>15</v>
      </c>
    </row>
    <row r="15" spans="1:17">
      <c r="A15" t="s">
        <v>24</v>
      </c>
      <c r="C15">
        <v>0.54125319999999999</v>
      </c>
      <c r="D15">
        <v>9.1682020000000003E-2</v>
      </c>
      <c r="E15">
        <v>0.17419580000000001</v>
      </c>
      <c r="F15">
        <v>1.8565609999999999</v>
      </c>
      <c r="G15">
        <v>2.5350079999999999</v>
      </c>
      <c r="H15">
        <v>-7.334562E-2</v>
      </c>
    </row>
    <row r="16" spans="1:17">
      <c r="A16" t="s">
        <v>40</v>
      </c>
      <c r="C16">
        <v>7.9467179999999998E-2</v>
      </c>
      <c r="D16">
        <v>3.9064210000000002E-2</v>
      </c>
      <c r="E16">
        <v>7.4221999999999996E-2</v>
      </c>
      <c r="F16">
        <v>0.65041910000000003</v>
      </c>
      <c r="G16">
        <v>0.84378699999999995</v>
      </c>
      <c r="H16">
        <v>0.34571829999999998</v>
      </c>
    </row>
    <row r="17" spans="1:17">
      <c r="A17" t="s">
        <v>44</v>
      </c>
      <c r="C17">
        <v>0.62072037999999996</v>
      </c>
      <c r="D17">
        <v>0.13074623000000002</v>
      </c>
      <c r="E17">
        <v>0.24841780000000002</v>
      </c>
      <c r="F17">
        <v>2.5069800999999998</v>
      </c>
      <c r="G17">
        <v>3.3787949999999998</v>
      </c>
      <c r="H17">
        <v>0.27237267999999998</v>
      </c>
      <c r="J17">
        <v>3.5068645099999998</v>
      </c>
      <c r="K17">
        <v>67.288317692873136</v>
      </c>
      <c r="Q17">
        <v>99.695504375148047</v>
      </c>
    </row>
    <row r="19" spans="1:17">
      <c r="A19" t="s">
        <v>27</v>
      </c>
      <c r="B19">
        <v>6.0270000000000001</v>
      </c>
      <c r="C19">
        <v>2.3239574350000001</v>
      </c>
      <c r="D19">
        <v>0.13114556250000001</v>
      </c>
      <c r="E19">
        <v>0.24961579800000003</v>
      </c>
      <c r="F19">
        <v>2.5069800999999998</v>
      </c>
      <c r="G19">
        <v>3.3787949999999998</v>
      </c>
      <c r="H19">
        <v>0.27237267999999998</v>
      </c>
      <c r="J19">
        <v>5.2116988954999997</v>
      </c>
    </row>
    <row r="20" spans="1:17">
      <c r="A20" t="s">
        <v>28</v>
      </c>
      <c r="C20">
        <v>26.221285924891564</v>
      </c>
      <c r="D20">
        <v>1.4797195681396966</v>
      </c>
      <c r="E20">
        <v>2.8164230171143285</v>
      </c>
      <c r="F20">
        <v>28.286336496568939</v>
      </c>
      <c r="G20">
        <v>38.123051843500733</v>
      </c>
      <c r="H20">
        <v>3.0731896431696017</v>
      </c>
      <c r="I20">
        <v>100.00000649338486</v>
      </c>
    </row>
    <row r="23" spans="1:17">
      <c r="A23" t="s">
        <v>32</v>
      </c>
      <c r="I23" t="s">
        <v>33</v>
      </c>
      <c r="M23" t="s">
        <v>17</v>
      </c>
    </row>
    <row r="24" spans="1:17">
      <c r="B24" t="s">
        <v>34</v>
      </c>
      <c r="C24" t="s">
        <v>35</v>
      </c>
      <c r="D24" t="s">
        <v>34</v>
      </c>
      <c r="E24" t="s">
        <v>35</v>
      </c>
      <c r="F24" t="s">
        <v>36</v>
      </c>
      <c r="I24" t="s">
        <v>34</v>
      </c>
      <c r="J24" t="s">
        <v>35</v>
      </c>
    </row>
    <row r="25" spans="1:17">
      <c r="A25" t="s">
        <v>26</v>
      </c>
      <c r="B25">
        <v>67.183080000000004</v>
      </c>
      <c r="D25">
        <v>67.183080000000004</v>
      </c>
      <c r="I25" t="s">
        <v>57</v>
      </c>
    </row>
    <row r="27" spans="1:17">
      <c r="A27" t="s">
        <v>13</v>
      </c>
      <c r="C27">
        <v>6.2144349999999999</v>
      </c>
      <c r="E27">
        <v>6.2144349999999999</v>
      </c>
      <c r="F27">
        <v>9.2500001488470005</v>
      </c>
      <c r="I27">
        <v>1419.38393</v>
      </c>
      <c r="J27">
        <v>0</v>
      </c>
      <c r="M27">
        <v>0.93216520000000003</v>
      </c>
    </row>
    <row r="29" spans="1:17">
      <c r="A29" t="s">
        <v>39</v>
      </c>
      <c r="C29">
        <v>3.048432</v>
      </c>
      <c r="E29">
        <v>3.048432</v>
      </c>
      <c r="F29">
        <v>4.5374996204401468</v>
      </c>
      <c r="I29">
        <v>0</v>
      </c>
      <c r="J29">
        <v>0</v>
      </c>
      <c r="M29">
        <v>0.45726480000000003</v>
      </c>
    </row>
    <row r="31" spans="1:17">
      <c r="A31" t="s">
        <v>14</v>
      </c>
      <c r="E31">
        <v>8.7416079999999994</v>
      </c>
      <c r="F31">
        <v>13.011621378478031</v>
      </c>
      <c r="N31">
        <v>2.0105694000000001</v>
      </c>
    </row>
    <row r="32" spans="1:17">
      <c r="A32" t="s">
        <v>24</v>
      </c>
      <c r="C32">
        <v>6.2684150000000001</v>
      </c>
      <c r="I32">
        <v>0</v>
      </c>
      <c r="J32">
        <v>0</v>
      </c>
      <c r="M32">
        <v>1.441735</v>
      </c>
    </row>
    <row r="33" spans="1:13">
      <c r="A33" t="s">
        <v>40</v>
      </c>
      <c r="C33">
        <v>2.4731930000000002</v>
      </c>
      <c r="I33">
        <v>0.7073332</v>
      </c>
      <c r="J33">
        <v>9.7285609999999991</v>
      </c>
      <c r="M33">
        <v>0.56883439999999996</v>
      </c>
    </row>
    <row r="35" spans="1:13">
      <c r="A35" t="s">
        <v>15</v>
      </c>
      <c r="E35">
        <v>44.314810000000001</v>
      </c>
      <c r="F35">
        <v>65.96126584253058</v>
      </c>
    </row>
    <row r="36" spans="1:13">
      <c r="A36" t="s">
        <v>24</v>
      </c>
      <c r="C36">
        <v>17.630210000000002</v>
      </c>
    </row>
    <row r="37" spans="1:13">
      <c r="A37" t="s">
        <v>40</v>
      </c>
      <c r="C37">
        <v>26.6846</v>
      </c>
    </row>
    <row r="39" spans="1:13">
      <c r="A39" t="s">
        <v>6</v>
      </c>
      <c r="E39">
        <v>4.8637980000000001</v>
      </c>
      <c r="F39">
        <v>7.2396174751142697</v>
      </c>
    </row>
    <row r="40" spans="1:13">
      <c r="A40" t="s">
        <v>24</v>
      </c>
      <c r="C40">
        <v>-1.3097430000000001</v>
      </c>
    </row>
    <row r="41" spans="1:13">
      <c r="A41" t="s">
        <v>40</v>
      </c>
      <c r="C41">
        <v>6.1735410000000002</v>
      </c>
    </row>
    <row r="43" spans="1:13">
      <c r="A43" t="s">
        <v>27</v>
      </c>
      <c r="B43">
        <v>67.183080000000004</v>
      </c>
      <c r="C43">
        <v>67.183083000000011</v>
      </c>
      <c r="F43">
        <v>100.00000446541003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47"/>
  <sheetViews>
    <sheetView workbookViewId="0">
      <selection sqref="A1:R56"/>
    </sheetView>
  </sheetViews>
  <sheetFormatPr defaultRowHeight="15"/>
  <sheetData>
    <row r="1" spans="1:17">
      <c r="A1" t="s">
        <v>29</v>
      </c>
    </row>
    <row r="2" spans="1:17">
      <c r="A2" t="s">
        <v>18</v>
      </c>
    </row>
    <row r="3" spans="1:17">
      <c r="A3" t="s">
        <v>26</v>
      </c>
      <c r="C3">
        <v>13.032029000000001</v>
      </c>
      <c r="Q3" t="s">
        <v>36</v>
      </c>
    </row>
    <row r="4" spans="1:17">
      <c r="B4" t="s">
        <v>45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46</v>
      </c>
      <c r="J4" t="s">
        <v>27</v>
      </c>
      <c r="K4" t="s">
        <v>43</v>
      </c>
      <c r="Q4" t="s">
        <v>2</v>
      </c>
    </row>
    <row r="5" spans="1:17">
      <c r="A5" t="s">
        <v>13</v>
      </c>
      <c r="B5">
        <v>6.0270000000000001</v>
      </c>
      <c r="C5">
        <v>2.5978500000000002</v>
      </c>
      <c r="J5">
        <v>2.5978500000000002</v>
      </c>
      <c r="K5">
        <v>34.048360644487865</v>
      </c>
    </row>
    <row r="7" spans="1:17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7">
      <c r="M8" t="s">
        <v>59</v>
      </c>
    </row>
    <row r="9" spans="1:17">
      <c r="A9" t="s">
        <v>47</v>
      </c>
      <c r="C9">
        <v>0.28490880000000002</v>
      </c>
      <c r="D9">
        <v>0</v>
      </c>
      <c r="E9">
        <v>0</v>
      </c>
      <c r="M9" t="s">
        <v>60</v>
      </c>
      <c r="N9" t="s">
        <v>55</v>
      </c>
    </row>
    <row r="10" spans="1:17">
      <c r="A10" t="s">
        <v>48</v>
      </c>
      <c r="C10">
        <v>3.6500959999999998E-3</v>
      </c>
      <c r="D10">
        <v>6.0834929999999999E-4</v>
      </c>
      <c r="E10">
        <v>1.8250479999999999E-3</v>
      </c>
      <c r="J10">
        <v>0.29099229329999998</v>
      </c>
      <c r="K10">
        <v>3.8138501249283019</v>
      </c>
      <c r="L10" t="s">
        <v>61</v>
      </c>
      <c r="M10">
        <v>0.99334809999999996</v>
      </c>
      <c r="N10">
        <v>0.4249578</v>
      </c>
    </row>
    <row r="11" spans="1:17">
      <c r="A11" t="s">
        <v>44</v>
      </c>
      <c r="C11">
        <v>0.28855889600000001</v>
      </c>
      <c r="D11">
        <v>6.0834929999999999E-4</v>
      </c>
      <c r="E11">
        <v>1.8250479999999999E-3</v>
      </c>
      <c r="L11" t="s">
        <v>40</v>
      </c>
      <c r="M11">
        <v>2.6337419999999998</v>
      </c>
      <c r="N11">
        <v>1.0404139999999999</v>
      </c>
      <c r="Q11">
        <v>0.30699980139686389</v>
      </c>
    </row>
    <row r="12" spans="1:17">
      <c r="L12" t="s">
        <v>54</v>
      </c>
      <c r="M12">
        <v>6.5160960000000001</v>
      </c>
      <c r="N12">
        <v>0</v>
      </c>
    </row>
    <row r="13" spans="1:17">
      <c r="A13" t="s">
        <v>49</v>
      </c>
      <c r="C13">
        <v>1.424544E-2</v>
      </c>
      <c r="D13">
        <v>1.958205E-2</v>
      </c>
      <c r="E13">
        <v>3.72059E-2</v>
      </c>
      <c r="F13">
        <v>0.39653660000000002</v>
      </c>
      <c r="G13">
        <v>0.54144369999999997</v>
      </c>
      <c r="H13">
        <v>-1.5665640000000002E-2</v>
      </c>
    </row>
    <row r="14" spans="1:17">
      <c r="A14" t="s">
        <v>50</v>
      </c>
      <c r="C14">
        <v>0.1210615</v>
      </c>
      <c r="D14">
        <v>5.0253609999999997E-2</v>
      </c>
      <c r="E14">
        <v>9.5481869999999996E-2</v>
      </c>
      <c r="F14">
        <v>0.83672270000000004</v>
      </c>
      <c r="G14">
        <v>1.0854779999999999</v>
      </c>
      <c r="H14">
        <v>0.44474449999999999</v>
      </c>
    </row>
    <row r="15" spans="1:17">
      <c r="A15" t="s">
        <v>51</v>
      </c>
      <c r="C15">
        <v>0.13032189999999999</v>
      </c>
      <c r="D15">
        <v>0.12771550000000001</v>
      </c>
      <c r="E15">
        <v>0.2426594</v>
      </c>
      <c r="F15">
        <v>2.669254</v>
      </c>
      <c r="G15">
        <v>3.8697789999999999</v>
      </c>
      <c r="H15">
        <v>-0.52363349999999997</v>
      </c>
    </row>
    <row r="16" spans="1:17">
      <c r="A16" t="s">
        <v>44</v>
      </c>
      <c r="C16">
        <v>0.26562883999999998</v>
      </c>
      <c r="D16">
        <v>0.19755116</v>
      </c>
      <c r="E16">
        <v>0.37534716999999995</v>
      </c>
      <c r="F16">
        <v>3.9025132999999999</v>
      </c>
      <c r="G16">
        <v>5.4967006999999999</v>
      </c>
      <c r="H16">
        <v>-9.4554639999999968E-2</v>
      </c>
      <c r="J16">
        <v>4.7410404699999997</v>
      </c>
      <c r="K16">
        <v>62.137789230583842</v>
      </c>
      <c r="Q16">
        <v>99.69300019860313</v>
      </c>
    </row>
    <row r="18" spans="1:12">
      <c r="A18" t="s">
        <v>52</v>
      </c>
      <c r="B18">
        <v>6.0270000000000001</v>
      </c>
      <c r="C18">
        <v>3.1520377360000005</v>
      </c>
      <c r="D18">
        <v>0.19815950930000001</v>
      </c>
      <c r="E18">
        <v>0.37717221799999995</v>
      </c>
      <c r="F18">
        <v>3.9025132999999999</v>
      </c>
      <c r="G18">
        <v>5.4967006999999999</v>
      </c>
      <c r="H18">
        <v>-9.4554639999999968E-2</v>
      </c>
      <c r="J18">
        <v>7.6298827632999995</v>
      </c>
    </row>
    <row r="19" spans="1:12">
      <c r="C19">
        <v>24.186853298131858</v>
      </c>
      <c r="D19">
        <v>1.5205576146277757</v>
      </c>
      <c r="E19">
        <v>2.8941941274071743</v>
      </c>
      <c r="F19">
        <v>29.945554142029607</v>
      </c>
      <c r="G19">
        <v>42.178395244516409</v>
      </c>
      <c r="H19">
        <v>-0.72555578260300035</v>
      </c>
      <c r="I19">
        <v>99.999998644109823</v>
      </c>
    </row>
    <row r="24" spans="1:12">
      <c r="A24" t="s">
        <v>32</v>
      </c>
      <c r="H24" t="s">
        <v>33</v>
      </c>
      <c r="K24" t="s">
        <v>17</v>
      </c>
    </row>
    <row r="25" spans="1:12">
      <c r="B25" t="s">
        <v>34</v>
      </c>
      <c r="C25" t="s">
        <v>35</v>
      </c>
      <c r="D25" t="s">
        <v>34</v>
      </c>
      <c r="E25" t="s">
        <v>35</v>
      </c>
      <c r="F25" t="s">
        <v>36</v>
      </c>
      <c r="H25" t="s">
        <v>34</v>
      </c>
      <c r="I25" t="s">
        <v>35</v>
      </c>
    </row>
    <row r="26" spans="1:12">
      <c r="A26" t="s">
        <v>26</v>
      </c>
      <c r="B26">
        <v>67.183080000000004</v>
      </c>
      <c r="D26">
        <v>67.183080000000004</v>
      </c>
      <c r="H26" t="s">
        <v>57</v>
      </c>
    </row>
    <row r="28" spans="1:12">
      <c r="A28" t="s">
        <v>13</v>
      </c>
      <c r="C28">
        <v>12.42887</v>
      </c>
      <c r="E28">
        <v>12.42887</v>
      </c>
      <c r="F28">
        <v>18.500000297694001</v>
      </c>
      <c r="H28">
        <v>1386.0160000000001</v>
      </c>
      <c r="I28">
        <v>71.75</v>
      </c>
      <c r="K28">
        <v>1.86433</v>
      </c>
    </row>
    <row r="30" spans="1:12">
      <c r="A30" t="s">
        <v>39</v>
      </c>
      <c r="C30">
        <v>2.7377099999999999</v>
      </c>
      <c r="E30">
        <v>2.7377099999999999</v>
      </c>
      <c r="F30">
        <v>4.0749992408802926</v>
      </c>
      <c r="H30">
        <v>0.78298520000000005</v>
      </c>
      <c r="I30">
        <v>0</v>
      </c>
      <c r="K30">
        <v>0.41065659999999998</v>
      </c>
    </row>
    <row r="32" spans="1:12">
      <c r="A32" t="s">
        <v>14</v>
      </c>
      <c r="D32">
        <v>0</v>
      </c>
      <c r="E32">
        <v>2.221104</v>
      </c>
      <c r="F32">
        <v>3.3060467010443699</v>
      </c>
      <c r="L32">
        <v>0.51085400000000003</v>
      </c>
    </row>
    <row r="33" spans="1:11">
      <c r="A33" t="s">
        <v>53</v>
      </c>
      <c r="C33">
        <v>0</v>
      </c>
      <c r="H33">
        <v>0</v>
      </c>
      <c r="I33">
        <v>0</v>
      </c>
      <c r="K33">
        <v>0</v>
      </c>
    </row>
    <row r="34" spans="1:11">
      <c r="A34" t="s">
        <v>40</v>
      </c>
      <c r="C34">
        <v>2.221104</v>
      </c>
      <c r="H34">
        <v>0</v>
      </c>
      <c r="I34">
        <v>9.7203470000000003</v>
      </c>
      <c r="K34">
        <v>0.51085400000000003</v>
      </c>
    </row>
    <row r="36" spans="1:11">
      <c r="A36" t="s">
        <v>15</v>
      </c>
      <c r="E36">
        <v>42.133269999999996</v>
      </c>
      <c r="F36">
        <v>62.714108969103513</v>
      </c>
    </row>
    <row r="37" spans="1:11">
      <c r="A37" t="s">
        <v>53</v>
      </c>
      <c r="C37">
        <v>20.566179999999999</v>
      </c>
    </row>
    <row r="38" spans="1:11">
      <c r="A38" t="s">
        <v>40</v>
      </c>
      <c r="C38">
        <v>21.56709</v>
      </c>
    </row>
    <row r="40" spans="1:11">
      <c r="A40" t="s">
        <v>27</v>
      </c>
      <c r="C40">
        <v>59.520953999999996</v>
      </c>
      <c r="E40">
        <v>59.520953999999996</v>
      </c>
    </row>
    <row r="42" spans="1:11">
      <c r="A42" t="s">
        <v>6</v>
      </c>
    </row>
    <row r="43" spans="1:11">
      <c r="A43" t="s">
        <v>53</v>
      </c>
      <c r="C43">
        <v>-0.27974359999999998</v>
      </c>
    </row>
    <row r="44" spans="1:11">
      <c r="A44" t="s">
        <v>40</v>
      </c>
      <c r="C44">
        <v>7.9418660000000001</v>
      </c>
    </row>
    <row r="45" spans="1:11">
      <c r="A45" t="s">
        <v>54</v>
      </c>
      <c r="C45">
        <v>-9.3505979999999997</v>
      </c>
    </row>
    <row r="46" spans="1:11">
      <c r="A46" t="s">
        <v>37</v>
      </c>
      <c r="C46">
        <v>-1.6884755999999994</v>
      </c>
      <c r="E46">
        <v>-1.6884755999999994</v>
      </c>
      <c r="F46">
        <v>-2.5132452992628491</v>
      </c>
    </row>
    <row r="47" spans="1:11">
      <c r="B47">
        <v>76.533678000000009</v>
      </c>
      <c r="F47">
        <v>86.081909909459327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4"/>
  <sheetViews>
    <sheetView workbookViewId="0">
      <selection activeCell="N11" sqref="N11"/>
    </sheetView>
  </sheetViews>
  <sheetFormatPr defaultRowHeight="15"/>
  <sheetData>
    <row r="1" spans="1:14">
      <c r="A1" s="6" t="s">
        <v>29</v>
      </c>
    </row>
    <row r="2" spans="1:14">
      <c r="A2" t="s">
        <v>25</v>
      </c>
      <c r="B2">
        <f>[2]Pig!C4</f>
        <v>11.712160000000001</v>
      </c>
    </row>
    <row r="3" spans="1:14">
      <c r="A3" t="s">
        <v>26</v>
      </c>
      <c r="B3">
        <f>[2]Pig!E6+[2]Pig!E7</f>
        <v>6.971406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</row>
    <row r="5" spans="1:14">
      <c r="A5" t="s">
        <v>13</v>
      </c>
      <c r="B5">
        <f>[2]Pig!D5</f>
        <v>4.7407529999999998</v>
      </c>
      <c r="C5">
        <f>[2]House!D7</f>
        <v>1.337172</v>
      </c>
      <c r="J5">
        <f>C5</f>
        <v>1.337172</v>
      </c>
      <c r="K5">
        <f>100*J5/$J$17</f>
        <v>31.292952958666969</v>
      </c>
    </row>
    <row r="7" spans="1:14">
      <c r="A7" t="s">
        <v>39</v>
      </c>
      <c r="C7">
        <f>[2]Prestorage!D7</f>
        <v>0</v>
      </c>
      <c r="D7">
        <f>[2]Prestorage!D6</f>
        <v>0</v>
      </c>
      <c r="E7">
        <f>[2]Prestorage!D5</f>
        <v>0</v>
      </c>
      <c r="J7">
        <f>C7+D7+E7</f>
        <v>0</v>
      </c>
      <c r="K7">
        <f>100*J7/$J$17</f>
        <v>0</v>
      </c>
    </row>
    <row r="8" spans="1:14">
      <c r="M8" t="s">
        <v>59</v>
      </c>
    </row>
    <row r="9" spans="1:14">
      <c r="A9" t="s">
        <v>14</v>
      </c>
      <c r="M9" t="s">
        <v>60</v>
      </c>
      <c r="N9" t="s">
        <v>55</v>
      </c>
    </row>
    <row r="10" spans="1:14">
      <c r="A10" t="s">
        <v>24</v>
      </c>
      <c r="C10">
        <f>[2]Storage!D8</f>
        <v>5.016967E-2</v>
      </c>
      <c r="D10">
        <f>[2]Storage!D7</f>
        <v>0</v>
      </c>
      <c r="E10">
        <f>[2]Storage!D6</f>
        <v>0</v>
      </c>
      <c r="L10" t="s">
        <v>61</v>
      </c>
      <c r="M10">
        <f>[2]Storage!E9+[2]Storage!E11</f>
        <v>4.7638929000000001</v>
      </c>
      <c r="N10">
        <f>[2]Storage!E13</f>
        <v>0.95669190000000004</v>
      </c>
    </row>
    <row r="11" spans="1:14">
      <c r="A11" t="s">
        <v>40</v>
      </c>
      <c r="C11">
        <f>[2]Storage!J8</f>
        <v>1.4282699999999999E-3</v>
      </c>
      <c r="D11">
        <f>[2]Storage!J7</f>
        <v>8.5696229999999995E-4</v>
      </c>
      <c r="E11">
        <f>[2]Storage!J6</f>
        <v>1.6663159999999999E-3</v>
      </c>
      <c r="J11">
        <f>SUM(C10:E11)</f>
        <v>5.4121218300000003E-2</v>
      </c>
      <c r="K11">
        <f>100*J11/$J$17</f>
        <v>1.2665631185274939</v>
      </c>
      <c r="L11" t="s">
        <v>40</v>
      </c>
      <c r="M11">
        <f>[2]Storage!K9+[2]Storage!K11</f>
        <v>0.8162201</v>
      </c>
      <c r="N11">
        <f>[2]Storage!K13</f>
        <v>0.19594890000000001</v>
      </c>
    </row>
    <row r="13" spans="1:14">
      <c r="A13" t="s">
        <v>15</v>
      </c>
    </row>
    <row r="14" spans="1:14">
      <c r="A14" t="s">
        <v>24</v>
      </c>
      <c r="C14">
        <f>[2]Field!D7</f>
        <v>0.4570843</v>
      </c>
      <c r="D14">
        <f>[2]Field!D8</f>
        <v>8.6136169999999998E-2</v>
      </c>
      <c r="E14">
        <f>[2]Field!D9</f>
        <v>0.16365869999999999</v>
      </c>
      <c r="F14">
        <f>[2]Field!D10</f>
        <v>1.7442569999999999</v>
      </c>
      <c r="G14">
        <f>[2]Field!E11</f>
        <v>2.3816649999999999</v>
      </c>
      <c r="H14">
        <f>[2]Field!E12</f>
        <v>-6.8908940000000002E-2</v>
      </c>
    </row>
    <row r="15" spans="1:14">
      <c r="A15" t="s">
        <v>40</v>
      </c>
      <c r="C15">
        <f>[2]Field!J7</f>
        <v>0.1841341</v>
      </c>
      <c r="D15">
        <f>[2]Field!J8</f>
        <v>1.264172E-2</v>
      </c>
      <c r="E15">
        <f>[2]Field!J9</f>
        <v>2.4019269999999999E-2</v>
      </c>
      <c r="F15">
        <f>[2]Field!J10</f>
        <v>0.2098526</v>
      </c>
      <c r="G15">
        <f>[2]Field!K11</f>
        <v>0.27495740000000002</v>
      </c>
      <c r="H15">
        <f>[2]Field!K12</f>
        <v>0.11061509999999999</v>
      </c>
      <c r="J15">
        <f>SUM(C14:F15)</f>
        <v>2.8817838600000001</v>
      </c>
      <c r="K15">
        <f>100*J15/$J$17</f>
        <v>67.440483922805527</v>
      </c>
    </row>
    <row r="17" spans="1:20">
      <c r="A17" t="s">
        <v>27</v>
      </c>
      <c r="C17">
        <f t="shared" ref="C17:H17" si="0">SUM(C5:C15)</f>
        <v>2.0299883400000001</v>
      </c>
      <c r="D17">
        <f t="shared" si="0"/>
        <v>9.9634852299999993E-2</v>
      </c>
      <c r="E17">
        <f t="shared" si="0"/>
        <v>0.189344286</v>
      </c>
      <c r="F17">
        <f t="shared" si="0"/>
        <v>1.9541096</v>
      </c>
      <c r="G17">
        <f t="shared" si="0"/>
        <v>2.6566223999999998</v>
      </c>
      <c r="H17">
        <f t="shared" si="0"/>
        <v>4.1706159999999992E-2</v>
      </c>
      <c r="J17">
        <f>SUM(J5:J15)</f>
        <v>4.2730770783000001</v>
      </c>
    </row>
    <row r="18" spans="1:20">
      <c r="B18" s="1"/>
      <c r="C18" s="1">
        <f>100*C17/$B$3</f>
        <v>29.118779482933576</v>
      </c>
      <c r="D18" s="1">
        <f t="shared" ref="D18:H18" si="1">100*D17/$B$3</f>
        <v>1.4291930824284227</v>
      </c>
      <c r="E18" s="1">
        <f t="shared" si="1"/>
        <v>2.7160128961073275</v>
      </c>
      <c r="F18" s="1">
        <f t="shared" si="1"/>
        <v>28.030351409744316</v>
      </c>
      <c r="G18" s="1">
        <f t="shared" si="1"/>
        <v>38.107411905145099</v>
      </c>
      <c r="H18" s="1">
        <f t="shared" si="1"/>
        <v>0.59824603530478626</v>
      </c>
      <c r="I18" s="1">
        <f>SUM(B18:H18)</f>
        <v>99.999994811663527</v>
      </c>
    </row>
    <row r="21" spans="1:20">
      <c r="A21" s="6" t="s">
        <v>32</v>
      </c>
      <c r="H21" s="6" t="s">
        <v>33</v>
      </c>
      <c r="M21" s="6" t="s">
        <v>17</v>
      </c>
      <c r="O21" s="7" t="s">
        <v>115</v>
      </c>
      <c r="Q21" s="7" t="s">
        <v>124</v>
      </c>
      <c r="S21" t="s">
        <v>55</v>
      </c>
    </row>
    <row r="22" spans="1:20">
      <c r="B22" t="s">
        <v>34</v>
      </c>
      <c r="C22" t="s">
        <v>35</v>
      </c>
      <c r="D22" t="s">
        <v>34</v>
      </c>
      <c r="E22" t="s">
        <v>35</v>
      </c>
      <c r="F22" t="s">
        <v>31</v>
      </c>
      <c r="H22" t="s">
        <v>34</v>
      </c>
      <c r="I22" t="s">
        <v>35</v>
      </c>
      <c r="J22" t="s">
        <v>34</v>
      </c>
      <c r="K22" t="s">
        <v>35</v>
      </c>
      <c r="O22" t="s">
        <v>34</v>
      </c>
      <c r="P22" t="s">
        <v>35</v>
      </c>
      <c r="S22" t="s">
        <v>34</v>
      </c>
      <c r="T22" t="s">
        <v>35</v>
      </c>
    </row>
    <row r="23" spans="1:20">
      <c r="A23" t="s">
        <v>26</v>
      </c>
      <c r="B23" s="1">
        <f>[2]Pig!E14</f>
        <v>52.845260000000003</v>
      </c>
      <c r="C23" s="1"/>
      <c r="D23" s="1">
        <f>B23</f>
        <v>52.845260000000003</v>
      </c>
      <c r="E23" s="1"/>
      <c r="F23" s="1"/>
      <c r="G23" s="1"/>
      <c r="H23" s="1">
        <f>[2]Pig!E22</f>
        <v>920.90800000000002</v>
      </c>
      <c r="I23" s="1"/>
      <c r="J23" s="1">
        <f>H23</f>
        <v>920.90800000000002</v>
      </c>
      <c r="K23" s="1"/>
      <c r="O23">
        <f>[2]Pig!E17</f>
        <v>26.246739999999999</v>
      </c>
      <c r="Q23" s="1">
        <f>B23+H23+O23</f>
        <v>1000.0000000000001</v>
      </c>
      <c r="S23">
        <f>[2]Pig!E10</f>
        <v>1.152641</v>
      </c>
    </row>
    <row r="24" spans="1:20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>
      <c r="A25" t="s">
        <v>13</v>
      </c>
      <c r="B25" s="1"/>
      <c r="C25" s="1">
        <f>[2]House!D15</f>
        <v>9.7763729999999995</v>
      </c>
      <c r="D25" s="1"/>
      <c r="E25" s="1">
        <f>C25</f>
        <v>9.7763729999999995</v>
      </c>
      <c r="F25" s="1">
        <f>100*E25/$D$23</f>
        <v>18.499999810768269</v>
      </c>
      <c r="G25" s="1"/>
      <c r="H25" s="1">
        <f>[2]House!E18+[2]House!C19+[2]House!C20</f>
        <v>1116.4673150000001</v>
      </c>
      <c r="I25" s="1">
        <f>[2]House!D21</f>
        <v>0</v>
      </c>
      <c r="J25" s="1">
        <f>H25</f>
        <v>1116.4673150000001</v>
      </c>
      <c r="K25" s="1">
        <f>I25</f>
        <v>0</v>
      </c>
      <c r="M25">
        <f>[2]Sheet2!C23</f>
        <v>1.466456</v>
      </c>
    </row>
    <row r="26" spans="1:20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0">
      <c r="A27" t="s">
        <v>39</v>
      </c>
      <c r="B27" s="1"/>
      <c r="C27" s="1">
        <f>[2]Prestorage!D15</f>
        <v>2.1534439999999999</v>
      </c>
      <c r="D27" s="1"/>
      <c r="E27" s="1">
        <f>C27</f>
        <v>2.1534439999999999</v>
      </c>
      <c r="F27" s="1">
        <f>100*E27/$D$23</f>
        <v>4.0749993471505288</v>
      </c>
      <c r="G27" s="1"/>
      <c r="H27" s="1">
        <f>[2]Prestorage!D21</f>
        <v>0.61588509999999996</v>
      </c>
      <c r="I27" s="1">
        <f>[2]Prestorage!D20</f>
        <v>0</v>
      </c>
      <c r="J27" s="1">
        <f>H27</f>
        <v>0.61588509999999996</v>
      </c>
      <c r="K27" s="1">
        <f>I27</f>
        <v>0</v>
      </c>
      <c r="M27">
        <f>[2]Sheet3!C20</f>
        <v>0.32301669999999999</v>
      </c>
    </row>
    <row r="28" spans="1:20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0">
      <c r="A29" t="s">
        <v>14</v>
      </c>
      <c r="B29" s="1"/>
      <c r="C29" s="1"/>
      <c r="D29" s="1"/>
      <c r="E29" s="1">
        <f>C30+C31</f>
        <v>5.8284050000000001</v>
      </c>
      <c r="F29" s="1">
        <f>100*E29/$D$23</f>
        <v>11.029191643678166</v>
      </c>
      <c r="G29" s="1"/>
      <c r="H29" s="1"/>
      <c r="I29" s="1"/>
      <c r="J29" s="1">
        <f>H30+H31</f>
        <v>1.6669241000000001</v>
      </c>
      <c r="K29" s="1">
        <f>I30+I31</f>
        <v>6.0119590000000001</v>
      </c>
      <c r="N29" s="2">
        <f>M30+M31</f>
        <v>1.3405332999999999</v>
      </c>
      <c r="T29">
        <f>[2]Storage!E13+[2]Storage!K13</f>
        <v>1.1526408000000001</v>
      </c>
    </row>
    <row r="30" spans="1:20">
      <c r="A30" t="s">
        <v>24</v>
      </c>
      <c r="B30" s="1"/>
      <c r="C30" s="1">
        <f>[2]Storage!D15</f>
        <v>4.7686950000000001</v>
      </c>
      <c r="D30" s="1"/>
      <c r="E30" s="1"/>
      <c r="F30" s="1"/>
      <c r="G30" s="1"/>
      <c r="H30" s="1">
        <f>[2]Storage!C22</f>
        <v>1.363847</v>
      </c>
      <c r="I30" s="1">
        <f>[2]Storage!D23</f>
        <v>0</v>
      </c>
      <c r="J30" s="1"/>
      <c r="K30" s="1"/>
      <c r="M30">
        <f>[2]Sheet4!C23</f>
        <v>1.0968</v>
      </c>
    </row>
    <row r="31" spans="1:20">
      <c r="A31" t="s">
        <v>40</v>
      </c>
      <c r="B31" s="1"/>
      <c r="C31" s="1">
        <f>[2]Storage!J15</f>
        <v>1.0597099999999999</v>
      </c>
      <c r="D31" s="1"/>
      <c r="E31" s="1"/>
      <c r="F31" s="1"/>
      <c r="G31" s="1"/>
      <c r="H31" s="1">
        <f>[2]Storage!I22</f>
        <v>0.30307709999999999</v>
      </c>
      <c r="I31" s="1">
        <f>[2]Storage!J23</f>
        <v>6.0119590000000001</v>
      </c>
      <c r="J31" s="1"/>
      <c r="K31" s="1"/>
      <c r="M31">
        <f>[2]Sheet4!C27</f>
        <v>0.24373330000000001</v>
      </c>
    </row>
    <row r="32" spans="1:20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t="s">
        <v>15</v>
      </c>
      <c r="B33" s="1"/>
      <c r="C33" s="1"/>
      <c r="D33" s="1"/>
      <c r="E33" s="1">
        <f>C34+C35</f>
        <v>34.342289999999998</v>
      </c>
      <c r="F33" s="1">
        <f>100*E33/$D$23</f>
        <v>64.986509669930655</v>
      </c>
      <c r="G33" s="1"/>
      <c r="H33" s="1"/>
      <c r="I33" s="1"/>
      <c r="J33" s="1"/>
      <c r="K33" s="1"/>
    </row>
    <row r="34" spans="1:11">
      <c r="A34" t="s">
        <v>24</v>
      </c>
      <c r="B34" s="1"/>
      <c r="C34" s="1">
        <f>[2]Field!D18</f>
        <v>22.23855</v>
      </c>
      <c r="D34" s="1"/>
      <c r="E34" s="1"/>
      <c r="F34" s="1"/>
      <c r="G34" s="1"/>
      <c r="H34" s="1"/>
      <c r="I34" s="1"/>
      <c r="J34" s="1"/>
      <c r="K34" s="1"/>
    </row>
    <row r="35" spans="1:11">
      <c r="A35" t="s">
        <v>40</v>
      </c>
      <c r="B35" s="1"/>
      <c r="C35" s="1">
        <f>[2]Field!J18</f>
        <v>12.10374</v>
      </c>
      <c r="D35" s="1"/>
      <c r="E35" s="1"/>
      <c r="F35" s="1"/>
      <c r="G35" s="1"/>
      <c r="H35" s="1"/>
      <c r="I35" s="1"/>
      <c r="J35" s="1"/>
      <c r="K35" s="1"/>
    </row>
    <row r="36" spans="1:11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t="s">
        <v>27</v>
      </c>
      <c r="B37" s="1">
        <f>B23</f>
        <v>52.845260000000003</v>
      </c>
      <c r="C37" s="1">
        <f>SUM(C25:C35)</f>
        <v>52.100512000000002</v>
      </c>
      <c r="D37" s="1"/>
      <c r="E37" s="1"/>
      <c r="F37" s="1"/>
      <c r="G37" s="1"/>
      <c r="H37" s="1"/>
      <c r="I37" s="1"/>
      <c r="J37" s="1"/>
      <c r="K37" s="1"/>
    </row>
    <row r="38" spans="1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t="s">
        <v>6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t="s">
        <v>24</v>
      </c>
      <c r="B40" s="1"/>
      <c r="C40" s="1">
        <f>[2]Field!E19</f>
        <v>-1.2305170000000001</v>
      </c>
      <c r="D40" s="1"/>
      <c r="E40" s="1"/>
      <c r="F40" s="1"/>
      <c r="G40" s="1"/>
      <c r="H40" s="1"/>
      <c r="I40" s="1"/>
      <c r="J40" s="1"/>
      <c r="K40" s="1"/>
    </row>
    <row r="41" spans="1:11">
      <c r="A41" t="s">
        <v>40</v>
      </c>
      <c r="B41" s="1"/>
      <c r="C41" s="1">
        <f>[2]Field!K19</f>
        <v>1.9752689999999999</v>
      </c>
      <c r="D41" s="1"/>
      <c r="E41" s="1"/>
      <c r="F41" s="1"/>
      <c r="G41" s="1"/>
      <c r="H41" s="1"/>
      <c r="I41" s="1"/>
      <c r="J41" s="1"/>
      <c r="K41" s="1"/>
    </row>
    <row r="42" spans="1:11">
      <c r="A42" t="s">
        <v>37</v>
      </c>
      <c r="B42" s="1"/>
      <c r="C42" s="1"/>
      <c r="D42" s="1"/>
      <c r="E42" s="1">
        <f>C40+C41</f>
        <v>0.74475199999999986</v>
      </c>
      <c r="F42" s="1">
        <f>100*E42/$D$23</f>
        <v>1.4093070977415947</v>
      </c>
      <c r="G42" s="1"/>
      <c r="H42" s="1"/>
      <c r="I42" s="1"/>
      <c r="J42" s="1"/>
      <c r="K42" s="1"/>
    </row>
    <row r="43" spans="1:11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t="s">
        <v>38</v>
      </c>
      <c r="B44" s="1"/>
      <c r="C44" s="1"/>
      <c r="D44" s="1"/>
      <c r="E44" s="1"/>
      <c r="F44" s="1">
        <f>SUM(F25:F42)</f>
        <v>100.0000075692692</v>
      </c>
      <c r="G44" s="1"/>
      <c r="H44" s="1"/>
      <c r="I44" s="1"/>
      <c r="J44" s="1"/>
      <c r="K4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47"/>
  <sheetViews>
    <sheetView workbookViewId="0">
      <selection sqref="A1:P48"/>
    </sheetView>
  </sheetViews>
  <sheetFormatPr defaultRowHeight="15"/>
  <sheetData>
    <row r="1" spans="1:17">
      <c r="A1" t="s">
        <v>29</v>
      </c>
    </row>
    <row r="2" spans="1:17">
      <c r="A2" t="s">
        <v>18</v>
      </c>
    </row>
    <row r="3" spans="1:17">
      <c r="A3" t="s">
        <v>26</v>
      </c>
      <c r="C3">
        <v>8.8628660000000004</v>
      </c>
      <c r="Q3" t="s">
        <v>36</v>
      </c>
    </row>
    <row r="4" spans="1:17">
      <c r="B4" t="s">
        <v>45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46</v>
      </c>
      <c r="J4" t="s">
        <v>27</v>
      </c>
      <c r="K4" t="s">
        <v>43</v>
      </c>
      <c r="Q4" t="s">
        <v>2</v>
      </c>
    </row>
    <row r="5" spans="1:17">
      <c r="A5" t="s">
        <v>13</v>
      </c>
      <c r="B5">
        <v>6.0270000000000001</v>
      </c>
      <c r="C5">
        <v>1.6414329999999999</v>
      </c>
      <c r="J5">
        <v>1.6414329999999999</v>
      </c>
      <c r="K5">
        <v>32.229587074446876</v>
      </c>
    </row>
    <row r="7" spans="1:17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7">
      <c r="M8" t="s">
        <v>59</v>
      </c>
    </row>
    <row r="9" spans="1:17">
      <c r="A9" t="s">
        <v>47</v>
      </c>
      <c r="C9">
        <v>0.18114759999999999</v>
      </c>
      <c r="D9">
        <v>0</v>
      </c>
      <c r="E9">
        <v>0</v>
      </c>
      <c r="M9" t="s">
        <v>60</v>
      </c>
      <c r="N9" t="s">
        <v>55</v>
      </c>
    </row>
    <row r="10" spans="1:17">
      <c r="A10" t="s">
        <v>48</v>
      </c>
      <c r="C10">
        <v>1.038265E-2</v>
      </c>
      <c r="D10">
        <v>3.9933250000000003E-4</v>
      </c>
      <c r="E10">
        <v>1.197998E-3</v>
      </c>
      <c r="J10">
        <v>0.19312758049999998</v>
      </c>
      <c r="K10">
        <v>3.7920659400670016</v>
      </c>
      <c r="L10" t="s">
        <v>61</v>
      </c>
      <c r="M10">
        <v>0.86062228299999999</v>
      </c>
      <c r="N10">
        <v>0.4249578</v>
      </c>
    </row>
    <row r="11" spans="1:17">
      <c r="A11" t="s">
        <v>44</v>
      </c>
      <c r="C11">
        <v>0.19153024999999999</v>
      </c>
      <c r="D11">
        <v>3.9933250000000003E-4</v>
      </c>
      <c r="E11">
        <v>1.197998E-3</v>
      </c>
      <c r="L11" t="s">
        <v>40</v>
      </c>
      <c r="M11">
        <v>2.0246911000000001</v>
      </c>
      <c r="N11">
        <v>1.0404139999999999</v>
      </c>
      <c r="Q11">
        <v>22.516443417739048</v>
      </c>
    </row>
    <row r="12" spans="1:17">
      <c r="L12" t="s">
        <v>54</v>
      </c>
      <c r="M12">
        <v>4.1429919999999996</v>
      </c>
      <c r="N12">
        <v>0</v>
      </c>
    </row>
    <row r="13" spans="1:17">
      <c r="A13" t="s">
        <v>49</v>
      </c>
      <c r="C13">
        <v>9.0573790000000008E-3</v>
      </c>
      <c r="D13">
        <v>1.7031299999999999E-2</v>
      </c>
      <c r="E13">
        <v>3.2359470000000001E-2</v>
      </c>
      <c r="F13">
        <v>0.34488380000000002</v>
      </c>
      <c r="G13">
        <v>0.47091539999999998</v>
      </c>
      <c r="H13">
        <v>-1.362504E-2</v>
      </c>
    </row>
    <row r="14" spans="1:17">
      <c r="A14" t="s">
        <v>50</v>
      </c>
      <c r="C14">
        <v>7.8668509999999997E-2</v>
      </c>
      <c r="D14">
        <v>3.8920450000000002E-2</v>
      </c>
      <c r="E14">
        <v>7.3948860000000005E-2</v>
      </c>
      <c r="F14">
        <v>0.64802550000000003</v>
      </c>
      <c r="G14">
        <v>0.84068180000000003</v>
      </c>
      <c r="H14">
        <v>0.34444599999999997</v>
      </c>
    </row>
    <row r="15" spans="1:17">
      <c r="A15" t="s">
        <v>51</v>
      </c>
      <c r="C15">
        <v>8.2859849999999999E-2</v>
      </c>
      <c r="D15">
        <v>8.1202650000000001E-2</v>
      </c>
      <c r="E15">
        <v>0.15428500000000001</v>
      </c>
      <c r="F15">
        <v>1.6971350000000001</v>
      </c>
      <c r="G15">
        <v>2.4604400000000002</v>
      </c>
      <c r="H15">
        <v>-0.33293089999999997</v>
      </c>
    </row>
    <row r="16" spans="1:17">
      <c r="A16" t="s">
        <v>44</v>
      </c>
      <c r="C16">
        <v>0.17058573900000001</v>
      </c>
      <c r="D16">
        <v>0.13715440000000001</v>
      </c>
      <c r="E16">
        <v>0.26059333000000001</v>
      </c>
      <c r="F16">
        <v>2.6900443000000003</v>
      </c>
      <c r="G16">
        <v>3.7720372000000002</v>
      </c>
      <c r="H16">
        <v>-2.1099399999999768E-3</v>
      </c>
      <c r="J16">
        <v>3.258377769</v>
      </c>
      <c r="K16">
        <v>63.978346985486127</v>
      </c>
      <c r="Q16">
        <v>77.48355658226096</v>
      </c>
    </row>
    <row r="18" spans="1:12">
      <c r="A18" t="s">
        <v>52</v>
      </c>
      <c r="B18">
        <v>6.0270000000000001</v>
      </c>
      <c r="C18">
        <v>2.003548989</v>
      </c>
      <c r="D18">
        <v>0.1375537325</v>
      </c>
      <c r="E18">
        <v>0.26179132799999999</v>
      </c>
      <c r="F18">
        <v>2.6900443000000003</v>
      </c>
      <c r="G18">
        <v>3.7720372000000002</v>
      </c>
      <c r="H18">
        <v>-2.1099399999999768E-3</v>
      </c>
      <c r="J18">
        <v>5.0929383494999998</v>
      </c>
    </row>
    <row r="19" spans="1:12">
      <c r="C19">
        <v>22.606107200537611</v>
      </c>
      <c r="D19">
        <v>1.5520231548124499</v>
      </c>
      <c r="E19">
        <v>2.9537999107737831</v>
      </c>
      <c r="F19">
        <v>30.351855708977208</v>
      </c>
      <c r="G19">
        <v>42.560016139248866</v>
      </c>
      <c r="H19">
        <v>-2.3806520373883311E-2</v>
      </c>
      <c r="I19">
        <v>99.999995593976024</v>
      </c>
    </row>
    <row r="24" spans="1:12">
      <c r="A24" t="s">
        <v>32</v>
      </c>
      <c r="H24" t="s">
        <v>33</v>
      </c>
      <c r="K24" t="s">
        <v>17</v>
      </c>
    </row>
    <row r="25" spans="1:12">
      <c r="B25" t="s">
        <v>34</v>
      </c>
      <c r="C25" t="s">
        <v>35</v>
      </c>
      <c r="D25" t="s">
        <v>34</v>
      </c>
      <c r="E25" t="s">
        <v>35</v>
      </c>
      <c r="F25" t="s">
        <v>36</v>
      </c>
      <c r="H25" t="s">
        <v>34</v>
      </c>
      <c r="I25" t="s">
        <v>35</v>
      </c>
    </row>
    <row r="26" spans="1:12">
      <c r="A26" t="s">
        <v>26</v>
      </c>
      <c r="B26">
        <v>67.183080000000004</v>
      </c>
      <c r="D26">
        <v>67.183080000000004</v>
      </c>
      <c r="H26" t="s">
        <v>57</v>
      </c>
    </row>
    <row r="28" spans="1:12">
      <c r="A28" t="s">
        <v>13</v>
      </c>
      <c r="C28">
        <v>6.2144349999999999</v>
      </c>
      <c r="E28">
        <v>6.2144349999999999</v>
      </c>
      <c r="F28">
        <v>9.2500001488470005</v>
      </c>
      <c r="H28">
        <v>1386.0160000000001</v>
      </c>
      <c r="I28">
        <v>71.75</v>
      </c>
      <c r="K28">
        <v>0.93216520000000003</v>
      </c>
    </row>
    <row r="30" spans="1:12">
      <c r="A30" t="s">
        <v>39</v>
      </c>
      <c r="C30">
        <v>3.048432</v>
      </c>
      <c r="E30">
        <v>3.048432</v>
      </c>
      <c r="F30">
        <v>4.5374996204401468</v>
      </c>
      <c r="H30">
        <v>0.87185159999999995</v>
      </c>
      <c r="I30">
        <v>0</v>
      </c>
      <c r="K30">
        <v>0.45726480000000003</v>
      </c>
    </row>
    <row r="32" spans="1:12">
      <c r="A32" t="s">
        <v>14</v>
      </c>
      <c r="D32">
        <v>0</v>
      </c>
      <c r="E32">
        <v>2.4731930000000002</v>
      </c>
      <c r="F32">
        <v>3.6812736182979409</v>
      </c>
      <c r="L32">
        <v>0.56883439999999996</v>
      </c>
    </row>
    <row r="33" spans="1:11">
      <c r="A33" t="s">
        <v>53</v>
      </c>
      <c r="C33">
        <v>0</v>
      </c>
      <c r="H33">
        <v>0</v>
      </c>
      <c r="I33">
        <v>0</v>
      </c>
      <c r="K33">
        <v>0</v>
      </c>
    </row>
    <row r="34" spans="1:11">
      <c r="A34" t="s">
        <v>40</v>
      </c>
      <c r="C34">
        <v>2.4731930000000002</v>
      </c>
      <c r="H34">
        <v>0</v>
      </c>
      <c r="I34">
        <v>9.7285609999999991</v>
      </c>
      <c r="K34">
        <v>0.56883439999999996</v>
      </c>
    </row>
    <row r="36" spans="1:11">
      <c r="A36" t="s">
        <v>15</v>
      </c>
      <c r="E36">
        <v>49.539500000000004</v>
      </c>
      <c r="F36">
        <v>73.738060237786073</v>
      </c>
    </row>
    <row r="37" spans="1:11">
      <c r="A37" t="s">
        <v>53</v>
      </c>
      <c r="C37">
        <v>22.832190000000001</v>
      </c>
    </row>
    <row r="38" spans="1:11">
      <c r="A38" t="s">
        <v>40</v>
      </c>
      <c r="C38">
        <v>26.70731</v>
      </c>
    </row>
    <row r="40" spans="1:11">
      <c r="A40" t="s">
        <v>27</v>
      </c>
      <c r="C40">
        <v>61.275559999999999</v>
      </c>
      <c r="E40">
        <v>61.275560000000006</v>
      </c>
    </row>
    <row r="42" spans="1:11">
      <c r="A42" t="s">
        <v>6</v>
      </c>
    </row>
    <row r="43" spans="1:11">
      <c r="A43" t="s">
        <v>53</v>
      </c>
      <c r="C43">
        <v>-0.2433043</v>
      </c>
    </row>
    <row r="44" spans="1:11">
      <c r="A44" t="s">
        <v>40</v>
      </c>
      <c r="C44">
        <v>6.1508209999999996</v>
      </c>
    </row>
    <row r="45" spans="1:11">
      <c r="A45" t="s">
        <v>54</v>
      </c>
      <c r="C45">
        <v>-5.9451939999999999</v>
      </c>
    </row>
    <row r="46" spans="1:11">
      <c r="A46" t="s">
        <v>37</v>
      </c>
      <c r="C46">
        <v>-3.7677300000000358E-2</v>
      </c>
      <c r="E46">
        <v>-3.7677300000000358E-2</v>
      </c>
      <c r="F46">
        <v>-5.6081531242688422E-2</v>
      </c>
    </row>
    <row r="47" spans="1:11">
      <c r="B47">
        <v>73.128274000000005</v>
      </c>
      <c r="F47">
        <v>91.150752094128478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sqref="A1:O122"/>
    </sheetView>
  </sheetViews>
  <sheetFormatPr defaultRowHeight="15"/>
  <sheetData>
    <row r="1" spans="1:17">
      <c r="A1" t="s">
        <v>29</v>
      </c>
    </row>
    <row r="2" spans="1:17">
      <c r="A2" t="s">
        <v>25</v>
      </c>
      <c r="B2">
        <v>19.05903</v>
      </c>
    </row>
    <row r="3" spans="1:17">
      <c r="A3" t="s">
        <v>26</v>
      </c>
      <c r="B3">
        <v>13.032029000000001</v>
      </c>
      <c r="Q3" t="s">
        <v>2</v>
      </c>
    </row>
    <row r="4" spans="1:1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  <c r="Q4" t="s">
        <v>36</v>
      </c>
    </row>
    <row r="5" spans="1:17">
      <c r="A5" t="s">
        <v>13</v>
      </c>
      <c r="B5">
        <v>6.0270000000000001</v>
      </c>
      <c r="C5">
        <v>2.5978500000000002</v>
      </c>
      <c r="J5">
        <v>2.5978500000000002</v>
      </c>
      <c r="K5">
        <v>32.761869219069766</v>
      </c>
    </row>
    <row r="7" spans="1:17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7">
      <c r="M8" t="s">
        <v>59</v>
      </c>
    </row>
    <row r="9" spans="1:17">
      <c r="A9" t="s">
        <v>14</v>
      </c>
      <c r="M9" t="s">
        <v>60</v>
      </c>
      <c r="N9" t="s">
        <v>55</v>
      </c>
    </row>
    <row r="10" spans="1:17">
      <c r="A10" t="s">
        <v>24</v>
      </c>
      <c r="C10">
        <v>9.62842E-2</v>
      </c>
      <c r="D10">
        <v>0</v>
      </c>
      <c r="E10">
        <v>0</v>
      </c>
      <c r="L10" t="s">
        <v>61</v>
      </c>
      <c r="M10">
        <v>8.8640170000000005</v>
      </c>
      <c r="N10">
        <v>1.216259</v>
      </c>
    </row>
    <row r="11" spans="1:17">
      <c r="A11" t="s">
        <v>40</v>
      </c>
      <c r="C11">
        <v>2.741875E-3</v>
      </c>
      <c r="D11">
        <v>4.569792E-4</v>
      </c>
      <c r="E11">
        <v>4.8439799999999998E-2</v>
      </c>
      <c r="J11">
        <v>0.14792285420000001</v>
      </c>
      <c r="K11">
        <v>1.8654769150689703</v>
      </c>
      <c r="L11" t="s">
        <v>40</v>
      </c>
      <c r="M11">
        <v>1.4222386999999999</v>
      </c>
      <c r="N11">
        <v>0.24911320000000001</v>
      </c>
    </row>
    <row r="12" spans="1:17">
      <c r="Q12">
        <v>0.32297955431735892</v>
      </c>
    </row>
    <row r="13" spans="1:17">
      <c r="A13" t="s">
        <v>15</v>
      </c>
    </row>
    <row r="14" spans="1:17">
      <c r="A14" t="s">
        <v>24</v>
      </c>
      <c r="C14">
        <v>0.87722310000000003</v>
      </c>
      <c r="D14">
        <v>0.15973589999999999</v>
      </c>
      <c r="E14">
        <v>0.3034982</v>
      </c>
      <c r="F14">
        <v>3.2346520000000001</v>
      </c>
      <c r="G14">
        <v>4.4166970000000001</v>
      </c>
      <c r="H14">
        <v>-0.12778870000000001</v>
      </c>
    </row>
    <row r="15" spans="1:17">
      <c r="A15" t="s">
        <v>40</v>
      </c>
      <c r="C15">
        <v>8.623198E-2</v>
      </c>
      <c r="D15">
        <v>2.6720130000000002E-2</v>
      </c>
      <c r="E15">
        <v>5.0768250000000001E-2</v>
      </c>
      <c r="F15">
        <v>0.44489020000000001</v>
      </c>
      <c r="G15">
        <v>0.57715490000000003</v>
      </c>
      <c r="H15">
        <v>0.23647319999999999</v>
      </c>
      <c r="J15">
        <v>5.1837197599999998</v>
      </c>
      <c r="K15">
        <v>65.372653865861267</v>
      </c>
    </row>
    <row r="17" spans="1:17">
      <c r="A17" t="s">
        <v>27</v>
      </c>
      <c r="C17">
        <v>3.6603311550000002</v>
      </c>
      <c r="D17">
        <v>0.18691300920000001</v>
      </c>
      <c r="E17">
        <v>0.40270624999999999</v>
      </c>
      <c r="F17">
        <v>3.6795422000000002</v>
      </c>
      <c r="G17">
        <v>4.9938519000000001</v>
      </c>
      <c r="H17">
        <v>0.10868449999999999</v>
      </c>
      <c r="J17">
        <v>7.9294926142</v>
      </c>
      <c r="Q17">
        <v>99.677020445682643</v>
      </c>
    </row>
    <row r="18" spans="1:17">
      <c r="C18">
        <v>28.087193137768491</v>
      </c>
      <c r="D18">
        <v>1.4342586960173276</v>
      </c>
      <c r="E18">
        <v>3.0901270247326789</v>
      </c>
      <c r="F18">
        <v>28.234607212737171</v>
      </c>
      <c r="G18">
        <v>38.319834156292927</v>
      </c>
      <c r="H18">
        <v>0.8339798814137076</v>
      </c>
      <c r="I18">
        <v>100.00000010896231</v>
      </c>
    </row>
    <row r="21" spans="1:17">
      <c r="A21" t="s">
        <v>32</v>
      </c>
      <c r="H21" t="s">
        <v>33</v>
      </c>
      <c r="M21" t="s">
        <v>17</v>
      </c>
    </row>
    <row r="22" spans="1:17">
      <c r="B22" t="s">
        <v>34</v>
      </c>
      <c r="C22" t="s">
        <v>35</v>
      </c>
      <c r="D22" t="s">
        <v>34</v>
      </c>
      <c r="E22" t="s">
        <v>35</v>
      </c>
      <c r="F22" t="s">
        <v>31</v>
      </c>
      <c r="H22" t="s">
        <v>34</v>
      </c>
      <c r="I22" t="s">
        <v>35</v>
      </c>
      <c r="J22" t="s">
        <v>34</v>
      </c>
      <c r="K22" t="s">
        <v>35</v>
      </c>
    </row>
    <row r="23" spans="1:17">
      <c r="A23" t="s">
        <v>26</v>
      </c>
      <c r="B23">
        <v>67.183080000000004</v>
      </c>
      <c r="D23">
        <v>67.183080000000004</v>
      </c>
      <c r="H23" t="s">
        <v>57</v>
      </c>
      <c r="J23" t="s">
        <v>57</v>
      </c>
    </row>
    <row r="25" spans="1:17">
      <c r="A25" t="s">
        <v>13</v>
      </c>
      <c r="C25">
        <v>12.42887</v>
      </c>
      <c r="E25">
        <v>12.42887</v>
      </c>
      <c r="F25">
        <v>18.500000297694001</v>
      </c>
      <c r="H25">
        <v>1419.38393</v>
      </c>
      <c r="I25">
        <v>0</v>
      </c>
      <c r="J25">
        <v>1419.38393</v>
      </c>
      <c r="K25">
        <v>0</v>
      </c>
      <c r="M25">
        <v>1.86433</v>
      </c>
    </row>
    <row r="27" spans="1:17">
      <c r="A27" t="s">
        <v>39</v>
      </c>
      <c r="C27">
        <v>2.7377099999999999</v>
      </c>
      <c r="E27">
        <v>2.7377099999999999</v>
      </c>
      <c r="F27">
        <v>4.0749992408802926</v>
      </c>
      <c r="H27">
        <v>0.78298520000000005</v>
      </c>
      <c r="I27">
        <v>0</v>
      </c>
      <c r="J27">
        <v>0.78298520000000005</v>
      </c>
      <c r="K27">
        <v>0</v>
      </c>
      <c r="M27">
        <v>0.41065659999999998</v>
      </c>
    </row>
    <row r="29" spans="1:17">
      <c r="A29" t="s">
        <v>14</v>
      </c>
      <c r="E29">
        <v>7.4097499999999998</v>
      </c>
      <c r="F29">
        <v>11.029190683130336</v>
      </c>
      <c r="J29">
        <v>2.119189</v>
      </c>
      <c r="K29">
        <v>7.6431060000000004</v>
      </c>
      <c r="N29">
        <v>1.7042423</v>
      </c>
    </row>
    <row r="30" spans="1:17">
      <c r="A30" t="s">
        <v>24</v>
      </c>
      <c r="C30">
        <v>6.0625229999999997</v>
      </c>
      <c r="H30">
        <v>1.7338819999999999</v>
      </c>
      <c r="I30">
        <v>0</v>
      </c>
      <c r="M30">
        <v>1.39438</v>
      </c>
    </row>
    <row r="31" spans="1:17">
      <c r="A31" t="s">
        <v>40</v>
      </c>
      <c r="C31">
        <v>1.347227</v>
      </c>
      <c r="H31">
        <v>0.38530700000000001</v>
      </c>
      <c r="I31">
        <v>7.6431060000000004</v>
      </c>
      <c r="M31">
        <v>0.30986229999999998</v>
      </c>
    </row>
    <row r="33" spans="1:6">
      <c r="A33" t="s">
        <v>15</v>
      </c>
      <c r="E33">
        <v>42.665949999999995</v>
      </c>
      <c r="F33">
        <v>63.506987175937738</v>
      </c>
    </row>
    <row r="34" spans="1:6">
      <c r="A34" t="s">
        <v>24</v>
      </c>
      <c r="C34">
        <v>28.989809999999999</v>
      </c>
    </row>
    <row r="35" spans="1:6">
      <c r="A35" t="s">
        <v>40</v>
      </c>
      <c r="C35">
        <v>13.67614</v>
      </c>
    </row>
    <row r="37" spans="1:6">
      <c r="A37" t="s">
        <v>27</v>
      </c>
      <c r="B37">
        <v>67.183080000000004</v>
      </c>
      <c r="C37">
        <v>65.242279999999994</v>
      </c>
    </row>
    <row r="39" spans="1:6">
      <c r="A39" t="s">
        <v>6</v>
      </c>
    </row>
    <row r="40" spans="1:6">
      <c r="A40" t="s">
        <v>24</v>
      </c>
      <c r="C40">
        <v>-2.2819410000000002</v>
      </c>
    </row>
    <row r="41" spans="1:6">
      <c r="A41" t="s">
        <v>40</v>
      </c>
      <c r="C41">
        <v>4.2227350000000001</v>
      </c>
    </row>
    <row r="42" spans="1:6">
      <c r="A42" t="s">
        <v>37</v>
      </c>
      <c r="E42">
        <v>1.9407939999999999</v>
      </c>
      <c r="F42">
        <v>2.8888136715375357</v>
      </c>
    </row>
    <row r="44" spans="1:6">
      <c r="A44" t="s">
        <v>38</v>
      </c>
      <c r="F44">
        <v>99.999991069179899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sqref="A1:O45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14.88987</v>
      </c>
    </row>
    <row r="3" spans="1:14">
      <c r="A3" t="s">
        <v>26</v>
      </c>
      <c r="B3">
        <v>8.8628660000000004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</row>
    <row r="5" spans="1:14">
      <c r="A5" t="s">
        <v>13</v>
      </c>
      <c r="B5">
        <v>6.0270000000000001</v>
      </c>
      <c r="C5">
        <v>1.6414329999999999</v>
      </c>
      <c r="J5">
        <v>1.6414329999999999</v>
      </c>
      <c r="K5">
        <v>30.908216523100908</v>
      </c>
    </row>
    <row r="7" spans="1:14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4">
      <c r="M8" t="s">
        <v>59</v>
      </c>
    </row>
    <row r="9" spans="1:14">
      <c r="A9" t="s">
        <v>14</v>
      </c>
      <c r="M9" t="s">
        <v>60</v>
      </c>
      <c r="N9" t="s">
        <v>55</v>
      </c>
    </row>
    <row r="10" spans="1:14">
      <c r="A10" t="s">
        <v>24</v>
      </c>
      <c r="C10">
        <v>6.4286179999999998E-2</v>
      </c>
      <c r="D10">
        <v>0</v>
      </c>
      <c r="E10">
        <v>0</v>
      </c>
      <c r="L10" t="s">
        <v>61</v>
      </c>
      <c r="M10">
        <v>6.0790939999999996</v>
      </c>
      <c r="N10">
        <v>1.216259</v>
      </c>
    </row>
    <row r="11" spans="1:14">
      <c r="A11" t="s">
        <v>40</v>
      </c>
      <c r="C11">
        <v>1.7729079999999999E-3</v>
      </c>
      <c r="D11">
        <v>2.9548470000000001E-4</v>
      </c>
      <c r="E11">
        <v>3.1321380000000003E-2</v>
      </c>
      <c r="J11">
        <v>9.7675952700000013E-2</v>
      </c>
      <c r="K11">
        <v>1.839240160976271</v>
      </c>
      <c r="L11" t="s">
        <v>40</v>
      </c>
      <c r="M11">
        <v>1.0446639</v>
      </c>
      <c r="N11">
        <v>0.24911320000000001</v>
      </c>
    </row>
    <row r="13" spans="1:14">
      <c r="A13" t="s">
        <v>15</v>
      </c>
    </row>
    <row r="14" spans="1:14">
      <c r="A14" t="s">
        <v>24</v>
      </c>
      <c r="C14">
        <v>0.58569660000000001</v>
      </c>
      <c r="D14">
        <v>0.1098679</v>
      </c>
      <c r="E14">
        <v>0.20874909999999999</v>
      </c>
      <c r="F14">
        <v>2.2248260000000002</v>
      </c>
      <c r="G14">
        <v>3.0378479999999999</v>
      </c>
      <c r="H14">
        <v>-8.7894349999999996E-2</v>
      </c>
    </row>
    <row r="15" spans="1:14">
      <c r="A15" t="s">
        <v>40</v>
      </c>
      <c r="C15">
        <v>5.5757960000000002E-2</v>
      </c>
      <c r="D15">
        <v>1.977812E-2</v>
      </c>
      <c r="E15">
        <v>3.7578430000000003E-2</v>
      </c>
      <c r="F15">
        <v>0.32930569999999998</v>
      </c>
      <c r="G15">
        <v>0.42720740000000001</v>
      </c>
      <c r="H15">
        <v>0.17503640000000001</v>
      </c>
      <c r="J15">
        <v>3.5715598100000001</v>
      </c>
      <c r="K15">
        <v>67.252543315922821</v>
      </c>
    </row>
    <row r="17" spans="1:14">
      <c r="A17" t="s">
        <v>27</v>
      </c>
      <c r="C17">
        <v>2.3489466480000001</v>
      </c>
      <c r="D17">
        <v>0.12994150470000002</v>
      </c>
      <c r="E17">
        <v>0.27764891000000003</v>
      </c>
      <c r="F17">
        <v>2.5541317000000001</v>
      </c>
      <c r="G17">
        <v>3.4650553999999998</v>
      </c>
      <c r="H17">
        <v>8.7142050000000013E-2</v>
      </c>
      <c r="J17">
        <v>5.3106687626999998</v>
      </c>
    </row>
    <row r="18" spans="1:14">
      <c r="C18">
        <v>26.50324001288071</v>
      </c>
      <c r="D18">
        <v>1.4661341455461474</v>
      </c>
      <c r="E18">
        <v>3.132721514688364</v>
      </c>
      <c r="F18">
        <v>28.818349504550785</v>
      </c>
      <c r="G18">
        <v>39.096330690320713</v>
      </c>
      <c r="H18">
        <v>0.98322653191416876</v>
      </c>
      <c r="I18">
        <v>100.00000239990089</v>
      </c>
    </row>
    <row r="21" spans="1:14">
      <c r="A21" t="s">
        <v>32</v>
      </c>
      <c r="H21" t="s">
        <v>33</v>
      </c>
      <c r="M21" t="s">
        <v>17</v>
      </c>
    </row>
    <row r="22" spans="1:14">
      <c r="B22" t="s">
        <v>34</v>
      </c>
      <c r="C22" t="s">
        <v>35</v>
      </c>
      <c r="D22" t="s">
        <v>34</v>
      </c>
      <c r="E22" t="s">
        <v>35</v>
      </c>
      <c r="F22" t="s">
        <v>31</v>
      </c>
      <c r="H22" t="s">
        <v>34</v>
      </c>
      <c r="I22" t="s">
        <v>35</v>
      </c>
      <c r="J22" t="s">
        <v>34</v>
      </c>
      <c r="K22" t="s">
        <v>35</v>
      </c>
    </row>
    <row r="23" spans="1:14">
      <c r="A23" t="s">
        <v>26</v>
      </c>
      <c r="B23">
        <v>67.183080000000004</v>
      </c>
      <c r="D23">
        <v>67.183080000000004</v>
      </c>
      <c r="H23" t="s">
        <v>57</v>
      </c>
      <c r="J23" t="s">
        <v>57</v>
      </c>
    </row>
    <row r="25" spans="1:14">
      <c r="A25" t="s">
        <v>13</v>
      </c>
      <c r="C25">
        <v>6.2144349999999999</v>
      </c>
      <c r="E25">
        <v>6.2144349999999999</v>
      </c>
      <c r="F25">
        <v>9.2500001488470005</v>
      </c>
      <c r="H25">
        <v>1419.38393</v>
      </c>
      <c r="I25">
        <v>0</v>
      </c>
      <c r="J25">
        <v>1419.38393</v>
      </c>
      <c r="K25">
        <v>0</v>
      </c>
      <c r="M25">
        <v>0.93216520000000003</v>
      </c>
    </row>
    <row r="27" spans="1:14">
      <c r="A27" t="s">
        <v>39</v>
      </c>
      <c r="C27">
        <v>3.048432</v>
      </c>
      <c r="E27">
        <v>3.048432</v>
      </c>
      <c r="F27">
        <v>4.5374996204401468</v>
      </c>
      <c r="H27">
        <v>0.87185159999999995</v>
      </c>
      <c r="I27">
        <v>0</v>
      </c>
      <c r="J27">
        <v>0.87185159999999995</v>
      </c>
      <c r="K27">
        <v>0</v>
      </c>
      <c r="M27">
        <v>0.45726480000000003</v>
      </c>
    </row>
    <row r="29" spans="1:14">
      <c r="A29" t="s">
        <v>14</v>
      </c>
      <c r="E29">
        <v>11.626033</v>
      </c>
      <c r="F29">
        <v>17.305001497400834</v>
      </c>
      <c r="J29">
        <v>3.3250462000000001</v>
      </c>
      <c r="K29">
        <v>7.6502059999999998</v>
      </c>
      <c r="N29">
        <v>2.6739877000000001</v>
      </c>
    </row>
    <row r="30" spans="1:14">
      <c r="A30" t="s">
        <v>24</v>
      </c>
      <c r="C30">
        <v>10.1259</v>
      </c>
      <c r="H30">
        <v>2.8960080000000001</v>
      </c>
      <c r="I30">
        <v>0</v>
      </c>
      <c r="M30">
        <v>2.3289569999999999</v>
      </c>
    </row>
    <row r="31" spans="1:14">
      <c r="A31" t="s">
        <v>40</v>
      </c>
      <c r="C31">
        <v>1.5001329999999999</v>
      </c>
      <c r="H31">
        <v>0.42903819999999998</v>
      </c>
      <c r="I31">
        <v>7.6502059999999998</v>
      </c>
      <c r="M31">
        <v>0.34503070000000002</v>
      </c>
    </row>
    <row r="33" spans="1:6">
      <c r="A33" t="s">
        <v>15</v>
      </c>
      <c r="E33">
        <v>44.73807</v>
      </c>
      <c r="F33">
        <v>66.591275660478786</v>
      </c>
    </row>
    <row r="34" spans="1:6">
      <c r="A34" t="s">
        <v>24</v>
      </c>
      <c r="C34">
        <v>27.93337</v>
      </c>
    </row>
    <row r="35" spans="1:6">
      <c r="A35" t="s">
        <v>40</v>
      </c>
      <c r="C35">
        <v>16.8047</v>
      </c>
    </row>
    <row r="37" spans="1:6">
      <c r="A37" t="s">
        <v>27</v>
      </c>
      <c r="B37">
        <v>67.183080000000004</v>
      </c>
      <c r="C37">
        <v>65.62697</v>
      </c>
    </row>
    <row r="39" spans="1:6">
      <c r="A39" t="s">
        <v>6</v>
      </c>
    </row>
    <row r="40" spans="1:6">
      <c r="A40" t="s">
        <v>24</v>
      </c>
      <c r="C40">
        <v>-1.569542</v>
      </c>
    </row>
    <row r="41" spans="1:6">
      <c r="A41" t="s">
        <v>40</v>
      </c>
      <c r="C41">
        <v>3.1256490000000001</v>
      </c>
    </row>
    <row r="42" spans="1:6">
      <c r="A42" t="s">
        <v>37</v>
      </c>
      <c r="E42">
        <v>1.5561070000000001</v>
      </c>
      <c r="F42">
        <v>2.3162186074231785</v>
      </c>
    </row>
    <row r="44" spans="1:6">
      <c r="A44" t="s">
        <v>38</v>
      </c>
      <c r="F44">
        <v>99.999995534589956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3"/>
  <sheetViews>
    <sheetView topLeftCell="A16" workbookViewId="0">
      <selection sqref="A1:O54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19.05903</v>
      </c>
      <c r="C2" t="s">
        <v>41</v>
      </c>
      <c r="D2" t="s">
        <v>65</v>
      </c>
    </row>
    <row r="3" spans="1:14">
      <c r="A3" t="s">
        <v>26</v>
      </c>
      <c r="B3">
        <v>13.032029000000001</v>
      </c>
      <c r="C3">
        <v>9.2709659999999999E-2</v>
      </c>
      <c r="D3">
        <v>13.124738660000002</v>
      </c>
      <c r="J3" t="s">
        <v>30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  <c r="K4" t="s">
        <v>43</v>
      </c>
    </row>
    <row r="5" spans="1:14">
      <c r="A5" t="s">
        <v>13</v>
      </c>
      <c r="B5">
        <v>6.0270000000000001</v>
      </c>
      <c r="C5">
        <v>2.5978500000000002</v>
      </c>
      <c r="J5">
        <v>2.5978500000000002</v>
      </c>
      <c r="K5">
        <v>32.223453569227367</v>
      </c>
    </row>
    <row r="7" spans="1:14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4">
      <c r="M8" t="s">
        <v>59</v>
      </c>
    </row>
    <row r="9" spans="1:14">
      <c r="A9" t="s">
        <v>14</v>
      </c>
      <c r="M9" t="s">
        <v>60</v>
      </c>
      <c r="N9" t="s">
        <v>55</v>
      </c>
    </row>
    <row r="10" spans="1:14">
      <c r="A10" t="s">
        <v>24</v>
      </c>
      <c r="C10">
        <v>9.62842E-2</v>
      </c>
      <c r="D10">
        <v>0</v>
      </c>
      <c r="E10">
        <v>0</v>
      </c>
      <c r="M10">
        <v>8.8640170000000005</v>
      </c>
      <c r="N10">
        <v>1.216259</v>
      </c>
    </row>
    <row r="11" spans="1:14">
      <c r="A11" t="s">
        <v>40</v>
      </c>
      <c r="C11">
        <v>5.1547110000000002E-3</v>
      </c>
      <c r="D11">
        <v>1.030942E-2</v>
      </c>
      <c r="E11">
        <v>3.0928270000000001E-2</v>
      </c>
      <c r="M11">
        <v>1.5201942000000002</v>
      </c>
      <c r="N11">
        <v>0.2644512</v>
      </c>
    </row>
    <row r="12" spans="1:14">
      <c r="A12" t="s">
        <v>44</v>
      </c>
      <c r="C12">
        <v>0.10143891100000001</v>
      </c>
      <c r="D12">
        <v>1.030942E-2</v>
      </c>
      <c r="E12">
        <v>3.0928270000000001E-2</v>
      </c>
      <c r="J12">
        <v>0.14267660100000001</v>
      </c>
      <c r="K12">
        <v>1.7697453000514574</v>
      </c>
    </row>
    <row r="14" spans="1:14">
      <c r="A14" t="s">
        <v>15</v>
      </c>
    </row>
    <row r="15" spans="1:14">
      <c r="A15" t="s">
        <v>24</v>
      </c>
      <c r="C15">
        <v>0.87722310000000003</v>
      </c>
      <c r="D15">
        <v>0.15973589999999999</v>
      </c>
      <c r="E15">
        <v>0.39933970000000002</v>
      </c>
      <c r="F15">
        <v>3.2346520000000001</v>
      </c>
      <c r="G15">
        <v>4.4166970000000001</v>
      </c>
      <c r="H15">
        <v>-0.2236302</v>
      </c>
    </row>
    <row r="16" spans="1:14">
      <c r="A16" t="s">
        <v>40</v>
      </c>
      <c r="C16">
        <v>0.12422850000000001</v>
      </c>
      <c r="D16">
        <v>2.7919320000000001E-2</v>
      </c>
      <c r="E16">
        <v>6.9798299999999994E-2</v>
      </c>
      <c r="F16">
        <v>0.42856159999999999</v>
      </c>
      <c r="G16">
        <v>0.53325900000000004</v>
      </c>
      <c r="H16">
        <v>0.3364278</v>
      </c>
    </row>
    <row r="17" spans="1:14">
      <c r="A17" t="s">
        <v>44</v>
      </c>
      <c r="C17">
        <v>1.0014516</v>
      </c>
      <c r="D17">
        <v>0.18765521999999998</v>
      </c>
      <c r="E17">
        <v>0.469138</v>
      </c>
      <c r="F17">
        <v>3.6632136000000002</v>
      </c>
      <c r="G17">
        <v>4.9499560000000002</v>
      </c>
      <c r="H17">
        <v>0.1127976</v>
      </c>
      <c r="J17">
        <v>5.3214584199999999</v>
      </c>
      <c r="K17">
        <v>66.006801130721186</v>
      </c>
    </row>
    <row r="19" spans="1:14">
      <c r="A19" t="s">
        <v>27</v>
      </c>
      <c r="C19">
        <v>3.7007405110000002</v>
      </c>
      <c r="D19">
        <v>0.19796463999999997</v>
      </c>
      <c r="E19">
        <v>0.50006627000000003</v>
      </c>
      <c r="F19">
        <v>3.6632136000000002</v>
      </c>
      <c r="G19">
        <v>4.9499560000000002</v>
      </c>
      <c r="H19">
        <v>0.1127976</v>
      </c>
      <c r="J19">
        <v>8.0619850209999999</v>
      </c>
    </row>
    <row r="20" spans="1:14">
      <c r="A20" t="s">
        <v>28</v>
      </c>
      <c r="C20">
        <v>28.196679620590629</v>
      </c>
      <c r="D20">
        <v>1.5083320523808428</v>
      </c>
      <c r="E20">
        <v>3.8101045891606344</v>
      </c>
      <c r="F20">
        <v>27.910754605455889</v>
      </c>
      <c r="G20">
        <v>37.714701436957981</v>
      </c>
      <c r="H20">
        <v>0.85942739830523973</v>
      </c>
      <c r="I20">
        <v>99.999999702851227</v>
      </c>
    </row>
    <row r="23" spans="1:14">
      <c r="A23" t="s">
        <v>32</v>
      </c>
      <c r="I23" t="s">
        <v>33</v>
      </c>
      <c r="M23" t="s">
        <v>17</v>
      </c>
    </row>
    <row r="24" spans="1:14">
      <c r="B24" t="s">
        <v>34</v>
      </c>
      <c r="C24" t="s">
        <v>35</v>
      </c>
      <c r="D24" t="s">
        <v>34</v>
      </c>
      <c r="E24" t="s">
        <v>35</v>
      </c>
      <c r="F24" t="s">
        <v>36</v>
      </c>
      <c r="I24" t="s">
        <v>34</v>
      </c>
      <c r="J24" t="s">
        <v>35</v>
      </c>
    </row>
    <row r="25" spans="1:14">
      <c r="A25" t="s">
        <v>26</v>
      </c>
      <c r="B25">
        <v>67.183080000000004</v>
      </c>
      <c r="D25">
        <v>67.183080000000004</v>
      </c>
      <c r="I25" t="s">
        <v>57</v>
      </c>
    </row>
    <row r="27" spans="1:14">
      <c r="A27" t="s">
        <v>13</v>
      </c>
      <c r="C27">
        <v>12.42887</v>
      </c>
      <c r="E27">
        <v>12.42887</v>
      </c>
      <c r="F27">
        <v>14.953364241366593</v>
      </c>
      <c r="I27">
        <v>1419.38393</v>
      </c>
      <c r="J27">
        <v>63.824657000000002</v>
      </c>
      <c r="M27">
        <v>1.86433</v>
      </c>
    </row>
    <row r="29" spans="1:14">
      <c r="A29" t="s">
        <v>39</v>
      </c>
      <c r="C29">
        <v>2.7377099999999999</v>
      </c>
      <c r="E29">
        <v>2.7377099999999999</v>
      </c>
      <c r="F29">
        <v>3.2937809163046783</v>
      </c>
      <c r="I29">
        <v>0</v>
      </c>
      <c r="J29">
        <v>0.78298520000000005</v>
      </c>
      <c r="M29">
        <v>0.41065659999999998</v>
      </c>
    </row>
    <row r="31" spans="1:14">
      <c r="A31" t="s">
        <v>14</v>
      </c>
      <c r="E31">
        <v>27.170873</v>
      </c>
      <c r="F31">
        <v>32.689694294405932</v>
      </c>
      <c r="N31">
        <v>2.6608809999999998</v>
      </c>
    </row>
    <row r="32" spans="1:14">
      <c r="A32" t="s">
        <v>24</v>
      </c>
      <c r="C32">
        <v>6.0625229999999997</v>
      </c>
      <c r="I32">
        <v>0</v>
      </c>
      <c r="J32">
        <v>1.7338819999999999</v>
      </c>
      <c r="M32">
        <v>1.39438</v>
      </c>
    </row>
    <row r="33" spans="1:13">
      <c r="A33" t="s">
        <v>40</v>
      </c>
      <c r="B33">
        <v>15.934469999999999</v>
      </c>
      <c r="C33">
        <v>21.108350000000002</v>
      </c>
      <c r="I33">
        <v>16.323129000000002</v>
      </c>
      <c r="J33">
        <v>151.3468</v>
      </c>
      <c r="M33">
        <v>1.2665010000000001</v>
      </c>
    </row>
    <row r="35" spans="1:13">
      <c r="A35" t="s">
        <v>15</v>
      </c>
      <c r="E35">
        <v>38.765861000000001</v>
      </c>
      <c r="F35">
        <v>46.639802304086196</v>
      </c>
    </row>
    <row r="36" spans="1:13">
      <c r="A36" t="s">
        <v>24</v>
      </c>
      <c r="C36">
        <v>30.701270000000001</v>
      </c>
    </row>
    <row r="37" spans="1:13">
      <c r="A37" t="s">
        <v>40</v>
      </c>
      <c r="C37">
        <v>8.0645910000000001</v>
      </c>
    </row>
    <row r="39" spans="1:13">
      <c r="A39" t="s">
        <v>6</v>
      </c>
      <c r="E39">
        <v>2.0142430000000004</v>
      </c>
      <c r="F39">
        <v>2.4233666656440187</v>
      </c>
    </row>
    <row r="40" spans="1:13">
      <c r="A40" t="s">
        <v>24</v>
      </c>
      <c r="C40">
        <v>-3.9933969999999999</v>
      </c>
    </row>
    <row r="41" spans="1:13">
      <c r="A41" t="s">
        <v>40</v>
      </c>
      <c r="C41">
        <v>6.0076400000000003</v>
      </c>
    </row>
    <row r="43" spans="1:13">
      <c r="A43" t="s">
        <v>27</v>
      </c>
      <c r="B43">
        <v>83.117550000000008</v>
      </c>
      <c r="C43">
        <v>83.117557000000005</v>
      </c>
      <c r="F43">
        <v>100.00000842180742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sqref="A1:O43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14.88987</v>
      </c>
      <c r="C2" t="s">
        <v>41</v>
      </c>
      <c r="D2" t="s">
        <v>65</v>
      </c>
    </row>
    <row r="3" spans="1:14">
      <c r="A3" t="s">
        <v>26</v>
      </c>
      <c r="B3">
        <v>8.8628660000000004</v>
      </c>
      <c r="C3">
        <v>9.3898430000000005E-2</v>
      </c>
      <c r="D3">
        <v>8.9567644299999998</v>
      </c>
      <c r="J3" t="s">
        <v>30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  <c r="K4" t="s">
        <v>43</v>
      </c>
    </row>
    <row r="5" spans="1:14">
      <c r="A5" t="s">
        <v>13</v>
      </c>
      <c r="B5">
        <v>6.0270000000000001</v>
      </c>
      <c r="C5">
        <v>1.6414329999999999</v>
      </c>
      <c r="J5">
        <v>1.6414329999999999</v>
      </c>
      <c r="K5">
        <v>30.290914449263685</v>
      </c>
    </row>
    <row r="7" spans="1:14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4">
      <c r="M8" t="s">
        <v>59</v>
      </c>
    </row>
    <row r="9" spans="1:14">
      <c r="A9" t="s">
        <v>14</v>
      </c>
      <c r="M9" t="s">
        <v>60</v>
      </c>
      <c r="N9" t="s">
        <v>55</v>
      </c>
    </row>
    <row r="10" spans="1:14">
      <c r="A10" t="s">
        <v>24</v>
      </c>
      <c r="C10">
        <v>6.4286179999999998E-2</v>
      </c>
      <c r="D10">
        <v>0</v>
      </c>
      <c r="E10">
        <v>0</v>
      </c>
      <c r="M10">
        <v>6.0790939999999996</v>
      </c>
      <c r="N10">
        <v>1.216259</v>
      </c>
    </row>
    <row r="11" spans="1:14">
      <c r="A11" t="s">
        <v>40</v>
      </c>
      <c r="C11">
        <v>3.6995769999999999E-3</v>
      </c>
      <c r="D11">
        <v>7.3991530000000003E-3</v>
      </c>
      <c r="E11">
        <v>2.2197459999999999E-2</v>
      </c>
      <c r="M11">
        <v>1.1386560000000001</v>
      </c>
      <c r="N11">
        <v>0.26464789999999999</v>
      </c>
    </row>
    <row r="12" spans="1:14">
      <c r="A12" t="s">
        <v>44</v>
      </c>
      <c r="C12">
        <v>6.7985756999999994E-2</v>
      </c>
      <c r="D12">
        <v>7.3991530000000003E-3</v>
      </c>
      <c r="E12">
        <v>2.2197459999999999E-2</v>
      </c>
      <c r="J12">
        <v>9.7582370000000002E-2</v>
      </c>
      <c r="K12">
        <v>1.8007796976339547</v>
      </c>
    </row>
    <row r="14" spans="1:14">
      <c r="A14" t="s">
        <v>15</v>
      </c>
    </row>
    <row r="15" spans="1:14">
      <c r="A15" t="s">
        <v>24</v>
      </c>
      <c r="C15">
        <v>0.58569660000000001</v>
      </c>
      <c r="D15">
        <v>0.1098679</v>
      </c>
      <c r="E15">
        <v>0.27466980000000002</v>
      </c>
      <c r="F15">
        <v>2.2248260000000002</v>
      </c>
      <c r="G15">
        <v>3.0378479999999999</v>
      </c>
      <c r="H15">
        <v>-0.15381510000000001</v>
      </c>
    </row>
    <row r="16" spans="1:14">
      <c r="A16" t="s">
        <v>40</v>
      </c>
      <c r="C16">
        <v>8.9159799999999997E-2</v>
      </c>
      <c r="D16">
        <v>2.0989919999999999E-2</v>
      </c>
      <c r="E16">
        <v>5.2474809999999997E-2</v>
      </c>
      <c r="F16">
        <v>0.32219530000000002</v>
      </c>
      <c r="G16">
        <v>0.40090750000000003</v>
      </c>
      <c r="H16">
        <v>0.2529286</v>
      </c>
    </row>
    <row r="17" spans="1:14">
      <c r="A17" t="s">
        <v>44</v>
      </c>
      <c r="C17">
        <v>0.67485640000000002</v>
      </c>
      <c r="D17">
        <v>0.13085782000000001</v>
      </c>
      <c r="E17">
        <v>0.32714461</v>
      </c>
      <c r="F17">
        <v>2.5470213000000004</v>
      </c>
      <c r="G17">
        <v>3.4387555000000001</v>
      </c>
      <c r="H17">
        <v>9.9113499999999993E-2</v>
      </c>
      <c r="J17">
        <v>3.6798801300000004</v>
      </c>
      <c r="K17">
        <v>67.908305853102348</v>
      </c>
    </row>
    <row r="19" spans="1:14">
      <c r="A19" t="s">
        <v>27</v>
      </c>
      <c r="C19">
        <v>2.3842751569999998</v>
      </c>
      <c r="D19">
        <v>0.13825697300000001</v>
      </c>
      <c r="E19">
        <v>0.34934207</v>
      </c>
      <c r="F19">
        <v>2.5470213000000004</v>
      </c>
      <c r="G19">
        <v>3.4387555000000001</v>
      </c>
      <c r="H19">
        <v>9.9113499999999993E-2</v>
      </c>
      <c r="J19">
        <v>5.4188955000000005</v>
      </c>
    </row>
    <row r="20" spans="1:14">
      <c r="A20" t="s">
        <v>28</v>
      </c>
      <c r="C20">
        <v>26.619826563865541</v>
      </c>
      <c r="D20">
        <v>1.5436039887006385</v>
      </c>
      <c r="E20">
        <v>3.9003154847961099</v>
      </c>
      <c r="F20">
        <v>28.436845915796855</v>
      </c>
      <c r="G20">
        <v>38.392831773962378</v>
      </c>
      <c r="H20">
        <v>1.1065770544107074</v>
      </c>
      <c r="I20">
        <v>100.00000078153224</v>
      </c>
    </row>
    <row r="23" spans="1:14">
      <c r="A23" t="s">
        <v>32</v>
      </c>
      <c r="I23" t="s">
        <v>33</v>
      </c>
      <c r="M23" t="s">
        <v>17</v>
      </c>
    </row>
    <row r="24" spans="1:14">
      <c r="B24" t="s">
        <v>34</v>
      </c>
      <c r="C24" t="s">
        <v>35</v>
      </c>
      <c r="D24" t="s">
        <v>34</v>
      </c>
      <c r="E24" t="s">
        <v>35</v>
      </c>
      <c r="F24" t="s">
        <v>36</v>
      </c>
      <c r="I24" t="s">
        <v>34</v>
      </c>
      <c r="J24" t="s">
        <v>35</v>
      </c>
    </row>
    <row r="25" spans="1:14">
      <c r="A25" t="s">
        <v>26</v>
      </c>
      <c r="B25">
        <v>67.183080000000004</v>
      </c>
      <c r="D25">
        <v>67.183080000000004</v>
      </c>
      <c r="I25" t="s">
        <v>57</v>
      </c>
    </row>
    <row r="27" spans="1:14">
      <c r="A27" t="s">
        <v>13</v>
      </c>
      <c r="C27">
        <v>6.2144349999999999</v>
      </c>
      <c r="E27">
        <v>6.2144349999999999</v>
      </c>
      <c r="F27">
        <v>7.4583479703468001</v>
      </c>
      <c r="I27">
        <v>1419.38393</v>
      </c>
      <c r="J27">
        <v>62.047328</v>
      </c>
      <c r="M27">
        <v>0.93216520000000003</v>
      </c>
    </row>
    <row r="29" spans="1:14">
      <c r="A29" t="s">
        <v>39</v>
      </c>
      <c r="C29">
        <v>3.048432</v>
      </c>
      <c r="E29">
        <v>3.048432</v>
      </c>
      <c r="F29">
        <v>3.6586216799983005</v>
      </c>
      <c r="I29">
        <v>0</v>
      </c>
      <c r="J29">
        <v>0.87185159999999995</v>
      </c>
      <c r="M29">
        <v>0.45726480000000003</v>
      </c>
    </row>
    <row r="31" spans="1:14">
      <c r="A31" t="s">
        <v>14</v>
      </c>
      <c r="E31">
        <v>32.667459999999998</v>
      </c>
      <c r="F31">
        <v>39.206345224849123</v>
      </c>
      <c r="N31">
        <v>3.681451</v>
      </c>
    </row>
    <row r="32" spans="1:14">
      <c r="A32" t="s">
        <v>24</v>
      </c>
      <c r="C32">
        <v>10.1259</v>
      </c>
      <c r="I32">
        <v>0</v>
      </c>
      <c r="J32">
        <v>2.8960080000000001</v>
      </c>
      <c r="M32">
        <v>2.3289569999999999</v>
      </c>
    </row>
    <row r="33" spans="1:13">
      <c r="A33" t="s">
        <v>40</v>
      </c>
      <c r="B33">
        <v>16.13879</v>
      </c>
      <c r="C33">
        <v>22.54156</v>
      </c>
      <c r="I33">
        <v>17.352035999999998</v>
      </c>
      <c r="J33">
        <v>161.62299999999999</v>
      </c>
      <c r="M33">
        <v>1.3524940000000001</v>
      </c>
    </row>
    <row r="35" spans="1:13">
      <c r="A35" t="s">
        <v>15</v>
      </c>
      <c r="E35">
        <v>39.621659999999999</v>
      </c>
      <c r="F35">
        <v>47.552533326484387</v>
      </c>
    </row>
    <row r="36" spans="1:13">
      <c r="A36" t="s">
        <v>24</v>
      </c>
      <c r="C36">
        <v>29.110530000000001</v>
      </c>
    </row>
    <row r="37" spans="1:13">
      <c r="A37" t="s">
        <v>40</v>
      </c>
      <c r="C37">
        <v>10.51113</v>
      </c>
    </row>
    <row r="39" spans="1:13">
      <c r="A39" t="s">
        <v>6</v>
      </c>
      <c r="E39">
        <v>1.7698839999999998</v>
      </c>
      <c r="F39">
        <v>2.1241529984864713</v>
      </c>
    </row>
    <row r="40" spans="1:13">
      <c r="A40" t="s">
        <v>24</v>
      </c>
      <c r="C40">
        <v>-2.7466979999999999</v>
      </c>
    </row>
    <row r="41" spans="1:13">
      <c r="A41" t="s">
        <v>40</v>
      </c>
      <c r="C41">
        <v>4.5165819999999997</v>
      </c>
    </row>
    <row r="43" spans="1:13">
      <c r="A43" t="s">
        <v>27</v>
      </c>
      <c r="B43">
        <v>83.321870000000004</v>
      </c>
      <c r="C43">
        <v>83.321871000000002</v>
      </c>
      <c r="F43">
        <v>100.00000120016509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sqref="A1:R44"/>
    </sheetView>
  </sheetViews>
  <sheetFormatPr defaultRowHeight="15"/>
  <sheetData>
    <row r="1" spans="1:17">
      <c r="A1" s="13" t="s">
        <v>29</v>
      </c>
      <c r="J1" s="1"/>
      <c r="K1" s="1"/>
    </row>
    <row r="2" spans="1:17">
      <c r="A2" t="s">
        <v>25</v>
      </c>
      <c r="B2">
        <f>[8]Pig!C4</f>
        <v>11.712160000000001</v>
      </c>
      <c r="J2" s="1"/>
      <c r="K2" s="1"/>
    </row>
    <row r="3" spans="1:17">
      <c r="A3" t="s">
        <v>26</v>
      </c>
      <c r="B3">
        <f>[8]Pig!E6+[8]Pig!E7</f>
        <v>6.971406</v>
      </c>
      <c r="J3" s="1" t="s">
        <v>30</v>
      </c>
      <c r="K3" s="1"/>
      <c r="Q3" t="s">
        <v>2</v>
      </c>
    </row>
    <row r="4" spans="1:1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s="1" t="s">
        <v>27</v>
      </c>
      <c r="K4" s="1" t="s">
        <v>43</v>
      </c>
      <c r="Q4" t="s">
        <v>36</v>
      </c>
    </row>
    <row r="5" spans="1:17">
      <c r="A5" t="s">
        <v>13</v>
      </c>
      <c r="B5">
        <f>[8]Pig!D5</f>
        <v>4.7407529999999998</v>
      </c>
      <c r="C5">
        <f>[8]House!D7</f>
        <v>1.337172</v>
      </c>
      <c r="J5" s="1">
        <f>C5</f>
        <v>1.337172</v>
      </c>
      <c r="K5" s="1">
        <f>100*J5/$J$19</f>
        <v>30.75488248352891</v>
      </c>
    </row>
    <row r="6" spans="1:17">
      <c r="J6" s="1"/>
      <c r="K6" s="1"/>
    </row>
    <row r="7" spans="1:17">
      <c r="A7" t="s">
        <v>39</v>
      </c>
      <c r="C7">
        <f>[8]Prestorage!D8</f>
        <v>0</v>
      </c>
      <c r="D7">
        <f>[8]Prestorage!D7</f>
        <v>0</v>
      </c>
      <c r="E7">
        <f>[8]Prestorage!D6</f>
        <v>0</v>
      </c>
      <c r="J7" s="1">
        <f>SUM(B7:H7)</f>
        <v>0</v>
      </c>
      <c r="K7" s="1">
        <f>100*J7/$J$19</f>
        <v>0</v>
      </c>
    </row>
    <row r="8" spans="1:17">
      <c r="J8" s="1"/>
      <c r="K8" s="1"/>
      <c r="M8" t="s">
        <v>59</v>
      </c>
      <c r="N8" t="s">
        <v>55</v>
      </c>
    </row>
    <row r="9" spans="1:17">
      <c r="A9" t="s">
        <v>14</v>
      </c>
      <c r="J9" s="1"/>
      <c r="K9" s="1"/>
      <c r="M9" t="s">
        <v>60</v>
      </c>
    </row>
    <row r="10" spans="1:17">
      <c r="A10" t="s">
        <v>24</v>
      </c>
      <c r="C10">
        <f>[8]Storage!D8</f>
        <v>4.7201760000000002E-2</v>
      </c>
      <c r="D10">
        <f>[8]Storage!D7</f>
        <v>0</v>
      </c>
      <c r="E10">
        <f>[8]Storage!D6</f>
        <v>0</v>
      </c>
      <c r="J10" s="1"/>
      <c r="K10" s="1"/>
      <c r="L10" t="s">
        <v>61</v>
      </c>
      <c r="M10">
        <f>[8]Storage!E9+[8]Storage!E11</f>
        <v>4.0736954000000001</v>
      </c>
      <c r="N10">
        <f>[8]Storage!E13</f>
        <v>0.3342658</v>
      </c>
    </row>
    <row r="11" spans="1:17">
      <c r="A11" t="s">
        <v>40</v>
      </c>
      <c r="C11">
        <f>[8]Storage!J8</f>
        <v>3.3450939999999998E-2</v>
      </c>
      <c r="D11">
        <f>[8]Storage!J7</f>
        <v>4.0141129999999997E-2</v>
      </c>
      <c r="E11">
        <f>[8]Storage!J6</f>
        <v>8.0282259999999994E-2</v>
      </c>
      <c r="J11" s="1"/>
      <c r="K11" s="1"/>
      <c r="L11" t="s">
        <v>40</v>
      </c>
      <c r="M11">
        <f>[8]Storage!K9+[8]Storage!K11</f>
        <v>1.3594626999999999</v>
      </c>
      <c r="N11">
        <f>[8]Storage!K13</f>
        <v>0.81837499999999996</v>
      </c>
    </row>
    <row r="12" spans="1:17">
      <c r="A12" t="s">
        <v>44</v>
      </c>
      <c r="C12">
        <f>C10+C11</f>
        <v>8.0652699999999994E-2</v>
      </c>
      <c r="D12">
        <f>D10+D11</f>
        <v>4.0141129999999997E-2</v>
      </c>
      <c r="E12">
        <f>E10+E11</f>
        <v>8.0282259999999994E-2</v>
      </c>
      <c r="J12" s="1">
        <f>SUM(B12:H12)</f>
        <v>0.20107608999999999</v>
      </c>
      <c r="K12" s="1">
        <f>100*J12/$J$19</f>
        <v>4.6247390150238585</v>
      </c>
      <c r="Q12">
        <f>100*D12/$D$19</f>
        <v>29.760472014192693</v>
      </c>
    </row>
    <row r="13" spans="1:17">
      <c r="J13" s="1"/>
      <c r="K13" s="1"/>
    </row>
    <row r="14" spans="1:17">
      <c r="A14" t="s">
        <v>15</v>
      </c>
      <c r="J14" s="1"/>
      <c r="K14" s="1"/>
    </row>
    <row r="15" spans="1:17">
      <c r="A15" t="s">
        <v>24</v>
      </c>
      <c r="C15">
        <f>[8]Field!D7</f>
        <v>0.43004439999999999</v>
      </c>
      <c r="D15">
        <f>[8]Field!D8</f>
        <v>7.2873019999999997E-2</v>
      </c>
      <c r="E15">
        <f>[8]Field!D9</f>
        <v>0.13845869999999999</v>
      </c>
      <c r="F15">
        <f>[8]Field!D10</f>
        <v>1.475679</v>
      </c>
      <c r="G15">
        <f>[8]Field!E11</f>
        <v>2.014939</v>
      </c>
      <c r="H15">
        <f>[8]Field!E12</f>
        <v>-5.8298419999999997E-2</v>
      </c>
      <c r="J15" s="1"/>
      <c r="K15" s="1"/>
    </row>
    <row r="16" spans="1:17">
      <c r="A16" t="s">
        <v>40</v>
      </c>
      <c r="C16">
        <f>[8]Field!J7</f>
        <v>0.26613569999999998</v>
      </c>
      <c r="D16">
        <f>[8]Field!J8</f>
        <v>2.186654E-2</v>
      </c>
      <c r="E16">
        <f>[8]Field!J9</f>
        <v>4.1546430000000002E-2</v>
      </c>
      <c r="F16">
        <f>[8]Field!J10</f>
        <v>0.36298459999999999</v>
      </c>
      <c r="G16">
        <f>[8]Field!K11</f>
        <v>0.4755973</v>
      </c>
      <c r="H16">
        <f>[8]Field!K12</f>
        <v>0.19133220000000001</v>
      </c>
      <c r="J16" s="1"/>
      <c r="K16" s="1"/>
    </row>
    <row r="17" spans="1:17">
      <c r="A17" t="s">
        <v>44</v>
      </c>
      <c r="C17">
        <f t="shared" ref="C17:H17" si="0">C15+C16</f>
        <v>0.69618009999999997</v>
      </c>
      <c r="D17">
        <f t="shared" si="0"/>
        <v>9.473956E-2</v>
      </c>
      <c r="E17">
        <f t="shared" si="0"/>
        <v>0.18000512999999999</v>
      </c>
      <c r="F17">
        <f t="shared" si="0"/>
        <v>1.8386635999999998</v>
      </c>
      <c r="G17">
        <f t="shared" si="0"/>
        <v>2.4905363</v>
      </c>
      <c r="H17">
        <f t="shared" si="0"/>
        <v>0.13303378000000002</v>
      </c>
      <c r="J17" s="1">
        <f>SUM(B17:F17)</f>
        <v>2.8095883899999996</v>
      </c>
      <c r="K17" s="1">
        <f>100*J17/$J$19</f>
        <v>64.62037850144722</v>
      </c>
      <c r="Q17">
        <f>100*D17/$D$19</f>
        <v>70.2395279858073</v>
      </c>
    </row>
    <row r="18" spans="1:17">
      <c r="J18" s="1"/>
      <c r="K18" s="1"/>
    </row>
    <row r="19" spans="1:17">
      <c r="A19" t="s">
        <v>27</v>
      </c>
      <c r="B19">
        <f>SUM(B5:B16)</f>
        <v>4.7407529999999998</v>
      </c>
      <c r="C19">
        <f t="shared" ref="C19:H19" si="1">C5+C12+C17</f>
        <v>2.1140048</v>
      </c>
      <c r="D19">
        <f t="shared" si="1"/>
        <v>0.13488069</v>
      </c>
      <c r="E19">
        <f t="shared" si="1"/>
        <v>0.26028739000000001</v>
      </c>
      <c r="F19">
        <f t="shared" si="1"/>
        <v>1.8386635999999998</v>
      </c>
      <c r="G19">
        <f t="shared" si="1"/>
        <v>2.4905363</v>
      </c>
      <c r="H19">
        <f t="shared" si="1"/>
        <v>0.13303378000000002</v>
      </c>
      <c r="J19" s="1">
        <f>J5+J7+J12+J17</f>
        <v>4.3478364799999998</v>
      </c>
      <c r="K19" s="1"/>
    </row>
    <row r="20" spans="1:17">
      <c r="A20" t="s">
        <v>28</v>
      </c>
      <c r="B20" s="1"/>
      <c r="C20" s="1">
        <f>100*C19/$B$3</f>
        <v>30.323937524223954</v>
      </c>
      <c r="D20" s="1">
        <f t="shared" ref="D20:H20" si="2">100*D19/$B$3</f>
        <v>1.9347702601168257</v>
      </c>
      <c r="E20" s="1">
        <f t="shared" si="2"/>
        <v>3.7336426826955713</v>
      </c>
      <c r="F20" s="1">
        <f t="shared" si="2"/>
        <v>26.374358343209387</v>
      </c>
      <c r="G20" s="1">
        <f t="shared" si="2"/>
        <v>35.725021609701116</v>
      </c>
      <c r="H20" s="1">
        <f t="shared" si="2"/>
        <v>1.9082776128660419</v>
      </c>
      <c r="I20" s="1">
        <f>SUM(B20:H20)</f>
        <v>100.0000080328129</v>
      </c>
      <c r="J20" s="1"/>
      <c r="K20" s="1"/>
    </row>
    <row r="21" spans="1:17">
      <c r="J21" s="1"/>
      <c r="K21" s="1"/>
    </row>
    <row r="22" spans="1:17">
      <c r="J22" s="1"/>
      <c r="K22" s="1"/>
    </row>
    <row r="23" spans="1:17">
      <c r="A23" s="13" t="s">
        <v>32</v>
      </c>
      <c r="I23" s="6" t="s">
        <v>33</v>
      </c>
      <c r="K23" s="1"/>
      <c r="M23" s="6" t="s">
        <v>17</v>
      </c>
    </row>
    <row r="24" spans="1:17">
      <c r="B24" t="s">
        <v>34</v>
      </c>
      <c r="C24" t="s">
        <v>35</v>
      </c>
      <c r="D24" t="s">
        <v>34</v>
      </c>
      <c r="E24" t="s">
        <v>35</v>
      </c>
      <c r="F24" t="s">
        <v>36</v>
      </c>
      <c r="I24" t="s">
        <v>34</v>
      </c>
      <c r="J24" t="s">
        <v>35</v>
      </c>
      <c r="K24" s="1"/>
    </row>
    <row r="25" spans="1:17">
      <c r="A25" s="1" t="s">
        <v>26</v>
      </c>
      <c r="B25" s="1">
        <f>[8]Pig!E14</f>
        <v>52.845260000000003</v>
      </c>
      <c r="C25" s="1"/>
      <c r="D25" s="1">
        <f>B25</f>
        <v>52.845260000000003</v>
      </c>
      <c r="E25" s="1"/>
      <c r="F25" s="1"/>
      <c r="G25" s="1"/>
      <c r="I25" s="1">
        <f>[8]Pig!E22</f>
        <v>920.90800000000002</v>
      </c>
      <c r="J25" s="1"/>
      <c r="K25" s="1"/>
    </row>
    <row r="26" spans="1:17">
      <c r="A26" s="1"/>
      <c r="B26" s="1"/>
      <c r="C26" s="1"/>
      <c r="D26" s="1"/>
      <c r="E26" s="1"/>
      <c r="F26" s="1"/>
      <c r="G26" s="1"/>
      <c r="I26" s="1"/>
      <c r="J26" s="1"/>
      <c r="K26" s="1"/>
    </row>
    <row r="27" spans="1:17">
      <c r="A27" s="1" t="s">
        <v>13</v>
      </c>
      <c r="B27" s="1"/>
      <c r="C27" s="1">
        <f>[8]House!D15</f>
        <v>9.7763729999999995</v>
      </c>
      <c r="D27" s="1"/>
      <c r="E27" s="1">
        <f>C27</f>
        <v>9.7763729999999995</v>
      </c>
      <c r="F27" s="1">
        <f>100*E27/$B$25</f>
        <v>18.499999810768269</v>
      </c>
      <c r="G27" s="1"/>
      <c r="I27" s="1">
        <f>[8]House!E18+[8]House!C19+[8]House!C20</f>
        <v>1116.4673150000001</v>
      </c>
      <c r="J27" s="1">
        <f>[8]House!D24</f>
        <v>0</v>
      </c>
      <c r="K27" s="1"/>
      <c r="M27">
        <f>[8]Sheet2!B23</f>
        <v>1.466456</v>
      </c>
    </row>
    <row r="28" spans="1:17">
      <c r="A28" s="1"/>
      <c r="B28" s="1"/>
      <c r="C28" s="1"/>
      <c r="D28" s="1"/>
      <c r="E28" s="1"/>
      <c r="F28" s="1"/>
      <c r="G28" s="1"/>
      <c r="I28" s="1"/>
      <c r="J28" s="1"/>
      <c r="K28" s="1"/>
    </row>
    <row r="29" spans="1:17">
      <c r="A29" s="1" t="s">
        <v>39</v>
      </c>
      <c r="B29" s="1"/>
      <c r="C29" s="1">
        <f>[8]Prestorage!D15</f>
        <v>2.1534439999999999</v>
      </c>
      <c r="D29" s="1"/>
      <c r="E29" s="1">
        <f>C29</f>
        <v>2.1534439999999999</v>
      </c>
      <c r="F29" s="1">
        <f>100*E29/$B$25</f>
        <v>4.0749993471505288</v>
      </c>
      <c r="G29" s="1"/>
      <c r="I29" s="1">
        <v>0</v>
      </c>
      <c r="J29" s="1">
        <v>0</v>
      </c>
      <c r="K29" s="1"/>
      <c r="M29">
        <f>[8]Sheet3!C20</f>
        <v>0.32301669999999999</v>
      </c>
    </row>
    <row r="30" spans="1:17">
      <c r="A30" s="1"/>
      <c r="B30" s="1"/>
      <c r="C30" s="1"/>
      <c r="D30" s="1"/>
      <c r="E30" s="1"/>
      <c r="F30" s="1"/>
      <c r="G30" s="1"/>
      <c r="I30" s="1"/>
      <c r="J30" s="1"/>
      <c r="K30" s="1"/>
    </row>
    <row r="31" spans="1:17">
      <c r="A31" s="14" t="s">
        <v>14</v>
      </c>
      <c r="B31" s="1"/>
      <c r="C31" s="1"/>
      <c r="D31" s="1"/>
      <c r="E31" s="1">
        <f>C32+C33</f>
        <v>9.9404070000000004</v>
      </c>
      <c r="F31" s="1">
        <f>100*E31/$B$25</f>
        <v>18.810404187622503</v>
      </c>
      <c r="G31" s="1"/>
      <c r="I31" s="1"/>
      <c r="J31" s="1"/>
      <c r="K31" s="1"/>
      <c r="N31" s="2">
        <f>M32+M33</f>
        <v>2.2862933000000001</v>
      </c>
    </row>
    <row r="32" spans="1:17">
      <c r="A32" s="1" t="s">
        <v>24</v>
      </c>
      <c r="B32" s="1"/>
      <c r="C32" s="1">
        <f>[8]Storage!D15</f>
        <v>2.9520490000000001</v>
      </c>
      <c r="D32" s="1"/>
      <c r="E32" s="1"/>
      <c r="F32" s="1"/>
      <c r="G32" s="1"/>
      <c r="I32" s="1">
        <f>[8]Storage!C22</f>
        <v>0</v>
      </c>
      <c r="J32" s="1">
        <f>[8]Storage!D23</f>
        <v>0</v>
      </c>
      <c r="K32" s="1"/>
      <c r="M32">
        <f>[8]Sheet4!C23</f>
        <v>0.67897130000000006</v>
      </c>
    </row>
    <row r="33" spans="1:13">
      <c r="A33" s="1" t="s">
        <v>40</v>
      </c>
      <c r="B33" s="1"/>
      <c r="C33" s="1">
        <f>[8]Storage!J15</f>
        <v>6.9883579999999998</v>
      </c>
      <c r="D33" s="1"/>
      <c r="E33" s="1"/>
      <c r="F33" s="1"/>
      <c r="G33" s="1"/>
      <c r="I33" s="1">
        <f>[8]Storage!J22</f>
        <v>1.9986699999999999</v>
      </c>
      <c r="J33" s="1">
        <f>[8]Storage!J23</f>
        <v>7.5709379999999999</v>
      </c>
      <c r="K33" s="1"/>
      <c r="M33">
        <f>[8]Sheet4!C27</f>
        <v>1.6073219999999999</v>
      </c>
    </row>
    <row r="34" spans="1:13">
      <c r="A34" s="1"/>
      <c r="B34" s="1"/>
      <c r="C34" s="1"/>
      <c r="D34" s="1"/>
      <c r="E34" s="1"/>
      <c r="F34" s="1"/>
      <c r="G34" s="1"/>
      <c r="H34" s="1"/>
      <c r="J34" s="1"/>
      <c r="K34" s="1"/>
    </row>
    <row r="35" spans="1:13">
      <c r="A35" s="14" t="s">
        <v>15</v>
      </c>
      <c r="B35" s="1"/>
      <c r="C35" s="1"/>
      <c r="D35" s="1"/>
      <c r="E35" s="1">
        <f>C36+C37</f>
        <v>28.599440000000001</v>
      </c>
      <c r="F35" s="1">
        <f>100*E35/$B$25</f>
        <v>54.119215233305688</v>
      </c>
      <c r="G35" s="1"/>
      <c r="H35" s="1"/>
      <c r="J35" s="1"/>
      <c r="K35" s="1"/>
    </row>
    <row r="36" spans="1:13">
      <c r="A36" s="1" t="s">
        <v>24</v>
      </c>
      <c r="B36" s="1"/>
      <c r="C36" s="1">
        <f>[8]Field!D18</f>
        <v>14.04602</v>
      </c>
      <c r="D36" s="1"/>
      <c r="E36" s="1"/>
      <c r="F36" s="1"/>
      <c r="G36" s="1"/>
      <c r="H36" s="1"/>
      <c r="J36" s="1"/>
      <c r="K36" s="1"/>
    </row>
    <row r="37" spans="1:13">
      <c r="A37" s="1" t="s">
        <v>40</v>
      </c>
      <c r="B37" s="1"/>
      <c r="C37" s="1">
        <f>[8]Field!J18</f>
        <v>14.553419999999999</v>
      </c>
      <c r="D37" s="1"/>
      <c r="E37" s="1"/>
      <c r="F37" s="1"/>
      <c r="G37" s="1"/>
      <c r="H37" s="1"/>
      <c r="J37" s="1"/>
      <c r="K37" s="1"/>
    </row>
    <row r="38" spans="1:13">
      <c r="A38" s="1"/>
      <c r="B38" s="1"/>
      <c r="C38" s="1"/>
      <c r="D38" s="1"/>
      <c r="E38" s="1"/>
      <c r="F38" s="1"/>
      <c r="G38" s="1"/>
      <c r="H38" s="1"/>
      <c r="J38" s="1"/>
      <c r="K38" s="1"/>
    </row>
    <row r="39" spans="1:13">
      <c r="A39" s="14" t="s">
        <v>6</v>
      </c>
      <c r="B39" s="1"/>
      <c r="C39" s="1"/>
      <c r="D39" s="1"/>
      <c r="E39" s="1">
        <f>C40+C41</f>
        <v>2.375604</v>
      </c>
      <c r="F39" s="1">
        <f>100*E39/$B$25</f>
        <v>4.4953965596914465</v>
      </c>
      <c r="G39" s="1"/>
      <c r="H39" s="1"/>
      <c r="J39" s="1"/>
      <c r="K39" s="1"/>
    </row>
    <row r="40" spans="1:13">
      <c r="A40" s="1" t="s">
        <v>24</v>
      </c>
      <c r="B40" s="1"/>
      <c r="C40" s="1">
        <f>[8]Field!E19</f>
        <v>-1.0410429999999999</v>
      </c>
      <c r="D40" s="1"/>
      <c r="E40" s="1"/>
      <c r="F40" s="1"/>
      <c r="G40" s="1"/>
      <c r="H40" s="1"/>
      <c r="J40" s="1"/>
      <c r="K40" s="1"/>
    </row>
    <row r="41" spans="1:13">
      <c r="A41" s="1" t="s">
        <v>40</v>
      </c>
      <c r="B41" s="1"/>
      <c r="C41" s="1">
        <f>[8]Field!K19</f>
        <v>3.4166470000000002</v>
      </c>
      <c r="D41" s="1"/>
      <c r="E41" s="1"/>
      <c r="F41" s="1"/>
      <c r="G41" s="1"/>
      <c r="H41" s="1"/>
      <c r="J41" s="1"/>
      <c r="K41" s="1"/>
    </row>
    <row r="42" spans="1:13">
      <c r="A42" s="1"/>
      <c r="B42" s="1"/>
      <c r="C42" s="1"/>
      <c r="D42" s="1"/>
      <c r="E42" s="1"/>
      <c r="F42" s="1"/>
      <c r="G42" s="1"/>
      <c r="H42" s="1"/>
      <c r="J42" s="1"/>
      <c r="K42" s="1"/>
    </row>
    <row r="43" spans="1:13">
      <c r="A43" s="1" t="s">
        <v>27</v>
      </c>
      <c r="B43" s="1">
        <f>SUM(B25:B41)</f>
        <v>52.845260000000003</v>
      </c>
      <c r="C43" s="1">
        <f>SUM(C25:C41)</f>
        <v>52.84526799999999</v>
      </c>
      <c r="D43" s="1"/>
      <c r="E43" s="1"/>
      <c r="F43" s="1">
        <f>SUM(F27:F39)</f>
        <v>100.00001513853843</v>
      </c>
      <c r="G43" s="1"/>
      <c r="H43" s="1"/>
      <c r="J43" s="1"/>
      <c r="K43" s="1"/>
    </row>
    <row r="44" spans="1:13">
      <c r="A44" s="1"/>
      <c r="B44" s="1"/>
      <c r="C44" s="1"/>
      <c r="D44" s="1"/>
      <c r="E44" s="1"/>
      <c r="F44" s="1"/>
      <c r="G44" s="1"/>
      <c r="H44" s="1"/>
      <c r="J44" s="1"/>
      <c r="K4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sqref="A1:O48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14.88987</v>
      </c>
    </row>
    <row r="3" spans="1:14">
      <c r="A3" t="s">
        <v>26</v>
      </c>
      <c r="B3">
        <v>8.8628660000000004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</row>
    <row r="5" spans="1:14">
      <c r="A5" t="s">
        <v>13</v>
      </c>
      <c r="B5">
        <v>6.0270000000000001</v>
      </c>
      <c r="C5">
        <v>1.6999690000000001</v>
      </c>
      <c r="J5">
        <v>1.6999690000000001</v>
      </c>
      <c r="K5">
        <v>31.449723899596599</v>
      </c>
    </row>
    <row r="7" spans="1:14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4">
      <c r="M8" t="s">
        <v>59</v>
      </c>
    </row>
    <row r="9" spans="1:14">
      <c r="A9" t="s">
        <v>14</v>
      </c>
      <c r="M9" t="s">
        <v>60</v>
      </c>
      <c r="N9" t="s">
        <v>55</v>
      </c>
    </row>
    <row r="10" spans="1:14">
      <c r="A10" t="s">
        <v>24</v>
      </c>
      <c r="C10">
        <v>6.3781560000000001E-2</v>
      </c>
      <c r="D10">
        <v>0</v>
      </c>
      <c r="E10">
        <v>0</v>
      </c>
      <c r="L10" t="s">
        <v>61</v>
      </c>
      <c r="M10">
        <v>6.0564179999999999</v>
      </c>
      <c r="N10">
        <v>1.216259</v>
      </c>
    </row>
    <row r="11" spans="1:14">
      <c r="A11" t="s">
        <v>40</v>
      </c>
      <c r="C11">
        <v>3.5201879999999998E-2</v>
      </c>
      <c r="D11">
        <v>3.3793799999999999E-2</v>
      </c>
      <c r="E11">
        <v>6.7587599999999998E-2</v>
      </c>
      <c r="J11">
        <v>0.20036484000000002</v>
      </c>
      <c r="K11">
        <v>3.7067845926524829</v>
      </c>
      <c r="L11" t="s">
        <v>40</v>
      </c>
      <c r="M11">
        <v>0.9061148</v>
      </c>
      <c r="N11">
        <v>0.24911320000000001</v>
      </c>
    </row>
    <row r="13" spans="1:14">
      <c r="A13" t="s">
        <v>15</v>
      </c>
    </row>
    <row r="14" spans="1:14">
      <c r="A14" t="s">
        <v>24</v>
      </c>
      <c r="C14">
        <v>0.58109909999999998</v>
      </c>
      <c r="D14">
        <v>0.1095064</v>
      </c>
      <c r="E14">
        <v>0.2080621</v>
      </c>
      <c r="F14">
        <v>2.2175039999999999</v>
      </c>
      <c r="G14">
        <v>3.0278510000000001</v>
      </c>
      <c r="H14">
        <v>-8.7605100000000005E-2</v>
      </c>
    </row>
    <row r="15" spans="1:14">
      <c r="A15" t="s">
        <v>40</v>
      </c>
      <c r="C15">
        <v>5.6745419999999998E-2</v>
      </c>
      <c r="D15">
        <v>1.6987390000000002E-2</v>
      </c>
      <c r="E15">
        <v>3.2276039999999999E-2</v>
      </c>
      <c r="F15">
        <v>0.28283999999999998</v>
      </c>
      <c r="G15">
        <v>0.36692760000000002</v>
      </c>
      <c r="H15">
        <v>0.15033840000000001</v>
      </c>
      <c r="J15">
        <v>3.50502045</v>
      </c>
      <c r="K15">
        <v>64.843491507750926</v>
      </c>
    </row>
    <row r="17" spans="1:14">
      <c r="A17" t="s">
        <v>27</v>
      </c>
      <c r="C17">
        <v>2.4367969600000001</v>
      </c>
      <c r="D17">
        <v>0.16028758999999998</v>
      </c>
      <c r="E17">
        <v>0.30792574</v>
      </c>
      <c r="F17">
        <v>2.5003440000000001</v>
      </c>
      <c r="G17">
        <v>3.3947786</v>
      </c>
      <c r="H17">
        <v>6.2733300000000006E-2</v>
      </c>
      <c r="J17">
        <v>5.40535429</v>
      </c>
    </row>
    <row r="18" spans="1:14">
      <c r="C18">
        <v>27.494457887550144</v>
      </c>
      <c r="D18">
        <v>1.8085299946992313</v>
      </c>
      <c r="E18">
        <v>3.4743359540807681</v>
      </c>
      <c r="F18">
        <v>28.211461168430166</v>
      </c>
      <c r="G18">
        <v>38.303395312532089</v>
      </c>
      <c r="H18">
        <v>0.70782182648366798</v>
      </c>
      <c r="I18">
        <v>100.00000214377606</v>
      </c>
    </row>
    <row r="21" spans="1:14">
      <c r="A21" t="s">
        <v>32</v>
      </c>
      <c r="H21" t="s">
        <v>33</v>
      </c>
      <c r="M21" t="s">
        <v>17</v>
      </c>
    </row>
    <row r="22" spans="1:14">
      <c r="B22" t="s">
        <v>34</v>
      </c>
      <c r="C22" t="s">
        <v>35</v>
      </c>
      <c r="D22" t="s">
        <v>34</v>
      </c>
      <c r="E22" t="s">
        <v>35</v>
      </c>
      <c r="F22" t="s">
        <v>31</v>
      </c>
      <c r="H22" t="s">
        <v>34</v>
      </c>
      <c r="I22" t="s">
        <v>35</v>
      </c>
      <c r="J22" t="s">
        <v>34</v>
      </c>
      <c r="K22" t="s">
        <v>35</v>
      </c>
    </row>
    <row r="23" spans="1:14">
      <c r="A23" t="s">
        <v>26</v>
      </c>
      <c r="B23">
        <v>67.183080000000004</v>
      </c>
      <c r="D23">
        <v>67.183080000000004</v>
      </c>
      <c r="H23" t="s">
        <v>57</v>
      </c>
      <c r="J23" t="s">
        <v>57</v>
      </c>
    </row>
    <row r="25" spans="1:14">
      <c r="A25" t="s">
        <v>13</v>
      </c>
      <c r="C25">
        <v>12.42887</v>
      </c>
      <c r="E25">
        <v>12.42887</v>
      </c>
      <c r="F25">
        <v>18.500000297694001</v>
      </c>
      <c r="H25">
        <v>1419.38393</v>
      </c>
      <c r="I25">
        <v>0</v>
      </c>
      <c r="J25">
        <v>1419.38393</v>
      </c>
      <c r="K25">
        <v>0</v>
      </c>
      <c r="M25">
        <v>1.86433</v>
      </c>
    </row>
    <row r="27" spans="1:14">
      <c r="A27" t="s">
        <v>39</v>
      </c>
      <c r="C27">
        <v>2.7377099999999999</v>
      </c>
      <c r="E27">
        <v>2.7377099999999999</v>
      </c>
      <c r="F27">
        <v>4.0749992408802926</v>
      </c>
      <c r="H27">
        <v>0.78298520000000005</v>
      </c>
      <c r="I27">
        <v>0</v>
      </c>
      <c r="J27">
        <v>0.78298520000000005</v>
      </c>
      <c r="K27">
        <v>0</v>
      </c>
      <c r="M27">
        <v>0.41065659999999998</v>
      </c>
    </row>
    <row r="29" spans="1:14">
      <c r="A29" t="s">
        <v>14</v>
      </c>
      <c r="E29">
        <v>11.451432</v>
      </c>
      <c r="F29">
        <v>17.045113144559611</v>
      </c>
      <c r="J29">
        <v>3.2751099999999997</v>
      </c>
      <c r="K29">
        <v>7.5853099999999998</v>
      </c>
      <c r="N29">
        <v>2.633829</v>
      </c>
    </row>
    <row r="30" spans="1:14">
      <c r="A30" t="s">
        <v>24</v>
      </c>
      <c r="C30">
        <v>6.0625229999999997</v>
      </c>
      <c r="H30">
        <v>1.7338819999999999</v>
      </c>
      <c r="I30">
        <v>0</v>
      </c>
      <c r="M30">
        <v>1.39438</v>
      </c>
    </row>
    <row r="31" spans="1:14">
      <c r="A31" t="s">
        <v>40</v>
      </c>
      <c r="C31">
        <v>5.3889089999999999</v>
      </c>
      <c r="H31">
        <v>1.541228</v>
      </c>
      <c r="I31">
        <v>7.5853099999999998</v>
      </c>
      <c r="M31">
        <v>1.239449</v>
      </c>
    </row>
    <row r="33" spans="1:6">
      <c r="A33" t="s">
        <v>15</v>
      </c>
      <c r="E33">
        <v>39.444829999999996</v>
      </c>
      <c r="F33">
        <v>58.712446645792355</v>
      </c>
    </row>
    <row r="34" spans="1:6">
      <c r="A34" t="s">
        <v>24</v>
      </c>
      <c r="C34">
        <v>28.27225</v>
      </c>
    </row>
    <row r="35" spans="1:6">
      <c r="A35" t="s">
        <v>40</v>
      </c>
      <c r="C35">
        <v>11.17258</v>
      </c>
    </row>
    <row r="37" spans="1:6">
      <c r="A37" t="s">
        <v>27</v>
      </c>
      <c r="B37">
        <v>67.183080000000004</v>
      </c>
      <c r="C37">
        <v>66.062842000000003</v>
      </c>
    </row>
    <row r="39" spans="1:6">
      <c r="A39" t="s">
        <v>6</v>
      </c>
    </row>
    <row r="40" spans="1:6">
      <c r="A40" t="s">
        <v>24</v>
      </c>
      <c r="C40">
        <v>-1.5643769999999999</v>
      </c>
    </row>
    <row r="41" spans="1:6">
      <c r="A41" t="s">
        <v>40</v>
      </c>
      <c r="C41">
        <v>2.6846139999999998</v>
      </c>
    </row>
    <row r="42" spans="1:6">
      <c r="A42" t="s">
        <v>37</v>
      </c>
      <c r="E42">
        <v>1.1202369999999999</v>
      </c>
      <c r="F42">
        <v>1.6674391826037149</v>
      </c>
    </row>
    <row r="44" spans="1:6">
      <c r="A44" t="s">
        <v>38</v>
      </c>
      <c r="F44">
        <v>99.999998511529981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sqref="A1:N46"/>
    </sheetView>
  </sheetViews>
  <sheetFormatPr defaultRowHeight="15"/>
  <sheetData>
    <row r="1" spans="1:14">
      <c r="A1" t="s">
        <v>29</v>
      </c>
    </row>
    <row r="2" spans="1:14">
      <c r="A2" t="s">
        <v>25</v>
      </c>
      <c r="B2">
        <v>14.88987</v>
      </c>
      <c r="C2" t="s">
        <v>41</v>
      </c>
      <c r="D2" t="s">
        <v>65</v>
      </c>
    </row>
    <row r="3" spans="1:14">
      <c r="A3" t="s">
        <v>26</v>
      </c>
      <c r="B3">
        <v>8.8628660000000004</v>
      </c>
      <c r="C3">
        <v>9.2709659999999999E-2</v>
      </c>
      <c r="D3">
        <v>8.9555756600000009</v>
      </c>
      <c r="J3" t="s">
        <v>30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27</v>
      </c>
      <c r="K4" t="s">
        <v>43</v>
      </c>
    </row>
    <row r="5" spans="1:14">
      <c r="A5" t="s">
        <v>13</v>
      </c>
      <c r="B5">
        <v>6.0270000000000001</v>
      </c>
      <c r="C5">
        <v>1.6999690000000001</v>
      </c>
      <c r="J5">
        <v>1.6999690000000001</v>
      </c>
      <c r="K5">
        <v>30.379763473813181</v>
      </c>
    </row>
    <row r="7" spans="1:14">
      <c r="A7" t="s">
        <v>39</v>
      </c>
      <c r="C7">
        <v>0</v>
      </c>
      <c r="D7">
        <v>0</v>
      </c>
      <c r="E7">
        <v>0</v>
      </c>
      <c r="J7">
        <v>0</v>
      </c>
      <c r="K7">
        <v>0</v>
      </c>
    </row>
    <row r="8" spans="1:14">
      <c r="M8" t="s">
        <v>59</v>
      </c>
    </row>
    <row r="9" spans="1:14">
      <c r="A9" t="s">
        <v>14</v>
      </c>
      <c r="M9" t="s">
        <v>60</v>
      </c>
      <c r="N9" t="s">
        <v>55</v>
      </c>
    </row>
    <row r="10" spans="1:14">
      <c r="A10" t="s">
        <v>24</v>
      </c>
      <c r="C10">
        <v>6.3781560000000001E-2</v>
      </c>
      <c r="D10">
        <v>0</v>
      </c>
      <c r="E10">
        <v>0</v>
      </c>
      <c r="M10">
        <v>6.0564179999999999</v>
      </c>
      <c r="N10">
        <v>1.216259</v>
      </c>
    </row>
    <row r="11" spans="1:14">
      <c r="A11" t="s">
        <v>40</v>
      </c>
      <c r="C11">
        <v>3.6407169999999999E-3</v>
      </c>
      <c r="D11">
        <v>7.2814329999999997E-2</v>
      </c>
      <c r="E11">
        <v>0.218443</v>
      </c>
      <c r="M11">
        <v>0.84050970000000003</v>
      </c>
      <c r="N11">
        <v>0.2644512</v>
      </c>
    </row>
    <row r="12" spans="1:14">
      <c r="A12" t="s">
        <v>44</v>
      </c>
      <c r="C12">
        <v>6.7422277000000003E-2</v>
      </c>
      <c r="D12">
        <v>7.2814329999999997E-2</v>
      </c>
      <c r="E12">
        <v>0.218443</v>
      </c>
      <c r="J12">
        <v>0.35867960700000001</v>
      </c>
      <c r="K12">
        <v>6.4098825469995431</v>
      </c>
    </row>
    <row r="14" spans="1:14">
      <c r="A14" t="s">
        <v>15</v>
      </c>
    </row>
    <row r="15" spans="1:14">
      <c r="A15" t="s">
        <v>24</v>
      </c>
      <c r="C15">
        <v>0.58109909999999998</v>
      </c>
      <c r="D15">
        <v>0.1095064</v>
      </c>
      <c r="E15">
        <v>0.27376590000000001</v>
      </c>
      <c r="F15">
        <v>2.2175039999999999</v>
      </c>
      <c r="G15">
        <v>3.0278510000000001</v>
      </c>
      <c r="H15">
        <v>-0.1533089</v>
      </c>
    </row>
    <row r="16" spans="1:14">
      <c r="A16" t="s">
        <v>40</v>
      </c>
      <c r="C16">
        <v>6.1528109999999997E-2</v>
      </c>
      <c r="D16">
        <v>1.5579630000000001E-2</v>
      </c>
      <c r="E16">
        <v>3.8949079999999997E-2</v>
      </c>
      <c r="F16">
        <v>0.23914740000000001</v>
      </c>
      <c r="G16">
        <v>0.29757099999999997</v>
      </c>
      <c r="H16">
        <v>0.1877346</v>
      </c>
    </row>
    <row r="17" spans="1:14">
      <c r="A17" t="s">
        <v>44</v>
      </c>
      <c r="C17">
        <v>0.64262721</v>
      </c>
      <c r="D17">
        <v>0.12508603000000001</v>
      </c>
      <c r="E17">
        <v>0.31271497999999998</v>
      </c>
      <c r="F17">
        <v>2.4566514000000002</v>
      </c>
      <c r="G17">
        <v>3.3254220000000001</v>
      </c>
      <c r="H17">
        <v>3.4425700000000004E-2</v>
      </c>
      <c r="J17">
        <v>3.5370796200000001</v>
      </c>
      <c r="K17">
        <v>63.210353979187275</v>
      </c>
    </row>
    <row r="19" spans="1:14">
      <c r="A19" t="s">
        <v>27</v>
      </c>
      <c r="C19">
        <v>2.4100184869999999</v>
      </c>
      <c r="D19">
        <v>0.19790036</v>
      </c>
      <c r="E19">
        <v>0.53115797999999992</v>
      </c>
      <c r="F19">
        <v>2.4566514000000002</v>
      </c>
      <c r="G19">
        <v>3.3254220000000001</v>
      </c>
      <c r="H19">
        <v>3.4425700000000004E-2</v>
      </c>
      <c r="J19">
        <v>5.5957282270000004</v>
      </c>
    </row>
    <row r="20" spans="1:14">
      <c r="A20" t="s">
        <v>28</v>
      </c>
      <c r="C20">
        <v>26.910815993262453</v>
      </c>
      <c r="D20">
        <v>2.2098005478745515</v>
      </c>
      <c r="E20">
        <v>5.9310311270375653</v>
      </c>
      <c r="F20">
        <v>27.431529733734614</v>
      </c>
      <c r="G20">
        <v>37.132420363025552</v>
      </c>
      <c r="H20">
        <v>0.38440521644814063</v>
      </c>
      <c r="I20">
        <v>100.00000298138288</v>
      </c>
    </row>
    <row r="23" spans="1:14">
      <c r="A23" t="s">
        <v>32</v>
      </c>
      <c r="I23" t="s">
        <v>33</v>
      </c>
      <c r="M23" t="s">
        <v>17</v>
      </c>
    </row>
    <row r="24" spans="1:14">
      <c r="B24" t="s">
        <v>34</v>
      </c>
      <c r="C24" t="s">
        <v>35</v>
      </c>
      <c r="D24" t="s">
        <v>34</v>
      </c>
      <c r="E24" t="s">
        <v>35</v>
      </c>
      <c r="F24" t="s">
        <v>36</v>
      </c>
      <c r="I24" t="s">
        <v>34</v>
      </c>
      <c r="J24" t="s">
        <v>35</v>
      </c>
    </row>
    <row r="25" spans="1:14">
      <c r="A25" t="s">
        <v>26</v>
      </c>
      <c r="B25">
        <v>67.183080000000004</v>
      </c>
      <c r="D25">
        <v>67.183080000000004</v>
      </c>
      <c r="I25" t="s">
        <v>57</v>
      </c>
    </row>
    <row r="27" spans="1:14">
      <c r="A27" t="s">
        <v>13</v>
      </c>
      <c r="C27">
        <v>12.42887</v>
      </c>
      <c r="E27">
        <v>12.42887</v>
      </c>
      <c r="F27">
        <v>14.953364241366593</v>
      </c>
      <c r="I27">
        <v>1419.38393</v>
      </c>
      <c r="J27">
        <v>63.824657000000002</v>
      </c>
      <c r="M27">
        <v>1.86433</v>
      </c>
    </row>
    <row r="29" spans="1:14">
      <c r="A29" t="s">
        <v>39</v>
      </c>
      <c r="C29">
        <v>2.7377099999999999</v>
      </c>
      <c r="E29">
        <v>2.7377099999999999</v>
      </c>
      <c r="F29">
        <v>3.2937809163046783</v>
      </c>
      <c r="I29">
        <v>0</v>
      </c>
      <c r="J29">
        <v>0.78298520000000005</v>
      </c>
      <c r="M29">
        <v>0.41065659999999998</v>
      </c>
    </row>
    <row r="31" spans="1:14">
      <c r="A31" t="s">
        <v>14</v>
      </c>
      <c r="E31">
        <v>27.170873</v>
      </c>
      <c r="F31">
        <v>32.689694294405932</v>
      </c>
      <c r="N31">
        <v>22.50273</v>
      </c>
    </row>
    <row r="32" spans="1:14">
      <c r="A32" t="s">
        <v>24</v>
      </c>
      <c r="C32">
        <v>6.0625229999999997</v>
      </c>
      <c r="I32">
        <v>0</v>
      </c>
      <c r="J32">
        <v>1.7338819999999999</v>
      </c>
      <c r="M32">
        <v>1.39438</v>
      </c>
    </row>
    <row r="33" spans="1:13">
      <c r="A33" t="s">
        <v>40</v>
      </c>
      <c r="B33">
        <v>15.934469999999999</v>
      </c>
      <c r="C33">
        <v>21.108350000000002</v>
      </c>
      <c r="I33">
        <v>16.323129000000002</v>
      </c>
      <c r="J33">
        <v>151.3468</v>
      </c>
      <c r="M33">
        <v>21.108350000000002</v>
      </c>
    </row>
    <row r="35" spans="1:13">
      <c r="A35" t="s">
        <v>15</v>
      </c>
      <c r="E35">
        <v>40.16536</v>
      </c>
      <c r="F35">
        <v>48.323561028928303</v>
      </c>
    </row>
    <row r="36" spans="1:13">
      <c r="A36" t="s">
        <v>24</v>
      </c>
      <c r="C36">
        <v>29.445530000000002</v>
      </c>
    </row>
    <row r="37" spans="1:13">
      <c r="A37" t="s">
        <v>40</v>
      </c>
      <c r="C37">
        <v>10.71983</v>
      </c>
    </row>
    <row r="39" spans="1:13">
      <c r="A39" t="s">
        <v>6</v>
      </c>
      <c r="E39">
        <v>0.61474399999999996</v>
      </c>
      <c r="F39">
        <v>0.73960794080191239</v>
      </c>
    </row>
    <row r="40" spans="1:13">
      <c r="A40" t="s">
        <v>24</v>
      </c>
      <c r="C40">
        <v>-2.7376589999999998</v>
      </c>
    </row>
    <row r="41" spans="1:13">
      <c r="A41" t="s">
        <v>40</v>
      </c>
      <c r="C41">
        <v>3.3524029999999998</v>
      </c>
    </row>
    <row r="43" spans="1:13">
      <c r="A43" t="s">
        <v>27</v>
      </c>
      <c r="B43">
        <v>83.117550000000008</v>
      </c>
      <c r="C43">
        <v>83.117557000000005</v>
      </c>
      <c r="F43">
        <v>100.00000842180742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47"/>
  <sheetViews>
    <sheetView workbookViewId="0">
      <selection sqref="A1:Q47"/>
    </sheetView>
  </sheetViews>
  <sheetFormatPr defaultRowHeight="15"/>
  <sheetData>
    <row r="1" spans="1:17">
      <c r="A1" s="6" t="s">
        <v>29</v>
      </c>
    </row>
    <row r="2" spans="1:17">
      <c r="A2" t="s">
        <v>18</v>
      </c>
    </row>
    <row r="3" spans="1:17">
      <c r="A3" t="s">
        <v>26</v>
      </c>
      <c r="C3">
        <f>[9]Pig!C27</f>
        <v>6.971406</v>
      </c>
      <c r="Q3" t="s">
        <v>36</v>
      </c>
    </row>
    <row r="4" spans="1:17">
      <c r="B4" t="s">
        <v>45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46</v>
      </c>
      <c r="J4" t="s">
        <v>27</v>
      </c>
      <c r="K4" t="s">
        <v>43</v>
      </c>
      <c r="Q4" t="s">
        <v>2</v>
      </c>
    </row>
    <row r="5" spans="1:17">
      <c r="A5" t="s">
        <v>13</v>
      </c>
      <c r="B5">
        <f>[9]Pig!D27</f>
        <v>4.7407529999999998</v>
      </c>
      <c r="C5">
        <f>[9]House!D7</f>
        <v>1.337172</v>
      </c>
      <c r="J5" s="1">
        <f>C5</f>
        <v>1.337172</v>
      </c>
      <c r="K5" s="1">
        <f>100*J5/$J$18</f>
        <v>33.052765866003419</v>
      </c>
    </row>
    <row r="6" spans="1:17">
      <c r="J6" s="1"/>
      <c r="K6" s="1"/>
    </row>
    <row r="7" spans="1:17">
      <c r="A7" t="s">
        <v>39</v>
      </c>
      <c r="C7">
        <f>[9]Prestorage!D8</f>
        <v>0</v>
      </c>
      <c r="D7">
        <f>[9]Prestorage!D7</f>
        <v>0</v>
      </c>
      <c r="E7">
        <f>[9]Prestorage!D6</f>
        <v>0</v>
      </c>
      <c r="J7" s="1">
        <f>C7+D7+E7</f>
        <v>0</v>
      </c>
      <c r="K7" s="1">
        <f>100*J7/$J$18</f>
        <v>0</v>
      </c>
    </row>
    <row r="8" spans="1:17">
      <c r="J8" s="1"/>
      <c r="K8" s="1"/>
      <c r="M8" t="s">
        <v>59</v>
      </c>
    </row>
    <row r="9" spans="1:17">
      <c r="A9" t="s">
        <v>47</v>
      </c>
      <c r="C9">
        <f>[9]Storage!D11</f>
        <v>3.343695E-2</v>
      </c>
      <c r="D9">
        <f>[9]Storage!D9</f>
        <v>0</v>
      </c>
      <c r="E9">
        <f>[9]Storage!D10</f>
        <v>0</v>
      </c>
      <c r="J9" s="1"/>
      <c r="K9" s="1"/>
      <c r="M9" t="s">
        <v>60</v>
      </c>
      <c r="N9" t="s">
        <v>55</v>
      </c>
    </row>
    <row r="10" spans="1:17">
      <c r="A10" t="s">
        <v>48</v>
      </c>
      <c r="C10">
        <f>[9]Storage!J13</f>
        <v>1.91639E-3</v>
      </c>
      <c r="D10">
        <f>[9]Storage!J12</f>
        <v>1.149834E-3</v>
      </c>
      <c r="E10">
        <f>[9]Storage!J7</f>
        <v>2.2357879999999998E-3</v>
      </c>
      <c r="J10" s="1">
        <f>SUM(C9:E10)</f>
        <v>3.8738962000000002E-2</v>
      </c>
      <c r="K10" s="1">
        <f>100*J10/$J$18</f>
        <v>0.95756554944166017</v>
      </c>
      <c r="L10" t="s">
        <v>61</v>
      </c>
      <c r="M10">
        <f>[9]Storage!E12+[9]Storage!E13</f>
        <v>0.60297743999999998</v>
      </c>
      <c r="N10">
        <f>[9]Storage!E15</f>
        <v>0.3342658</v>
      </c>
    </row>
    <row r="11" spans="1:17">
      <c r="A11" t="s">
        <v>44</v>
      </c>
      <c r="C11">
        <f>C9+C10</f>
        <v>3.5353339999999997E-2</v>
      </c>
      <c r="D11">
        <f t="shared" ref="D11:E11" si="0">D9+D10</f>
        <v>1.149834E-3</v>
      </c>
      <c r="E11">
        <f t="shared" si="0"/>
        <v>2.2357879999999998E-3</v>
      </c>
      <c r="J11" s="1"/>
      <c r="K11" s="1"/>
      <c r="L11" t="s">
        <v>40</v>
      </c>
      <c r="M11">
        <f>[9]Storage!K14+[9]Storage!K16</f>
        <v>1.5080350999999999</v>
      </c>
      <c r="N11">
        <f>[9]Storage!K18</f>
        <v>0.81837499999999996</v>
      </c>
      <c r="Q11">
        <f>100*D11/$D$18</f>
        <v>1.0777210545975076</v>
      </c>
    </row>
    <row r="12" spans="1:17">
      <c r="J12" s="1"/>
      <c r="K12" s="1"/>
      <c r="L12" t="s">
        <v>54</v>
      </c>
      <c r="M12">
        <f>[9]Storage!E4</f>
        <v>3.484483</v>
      </c>
      <c r="N12">
        <v>0</v>
      </c>
    </row>
    <row r="13" spans="1:17">
      <c r="A13" t="s">
        <v>49</v>
      </c>
      <c r="C13">
        <f>[9]Field!D8</f>
        <v>1.6718480000000001E-3</v>
      </c>
      <c r="D13">
        <f>[9]Field!D7</f>
        <v>1.202611E-2</v>
      </c>
      <c r="E13">
        <f>[9]Field!D9</f>
        <v>2.2849609999999999E-2</v>
      </c>
      <c r="F13">
        <f>[9]Field!D10</f>
        <v>0.24352879999999999</v>
      </c>
      <c r="G13">
        <f>[9]Field!E11</f>
        <v>0.33252199999999998</v>
      </c>
      <c r="H13">
        <f>[9]Field!E12</f>
        <v>-9.62089E-3</v>
      </c>
      <c r="J13" s="1"/>
      <c r="K13" s="1"/>
    </row>
    <row r="14" spans="1:17">
      <c r="A14" t="s">
        <v>50</v>
      </c>
      <c r="C14">
        <f>[9]Field!J9</f>
        <v>0.2470629</v>
      </c>
      <c r="D14">
        <f>[9]Field!J10</f>
        <v>2.5219439999999999E-2</v>
      </c>
      <c r="E14">
        <f>[9]Field!J11</f>
        <v>4.7916939999999998E-2</v>
      </c>
      <c r="F14">
        <f>[9]Field!J12</f>
        <v>0.41864269999999998</v>
      </c>
      <c r="G14">
        <f>[9]Field!K13</f>
        <v>0.54852290000000004</v>
      </c>
      <c r="H14">
        <f>[9]Field!K14</f>
        <v>0.22067010000000001</v>
      </c>
      <c r="J14" s="1"/>
      <c r="K14" s="1"/>
    </row>
    <row r="15" spans="1:17">
      <c r="A15" t="s">
        <v>51</v>
      </c>
      <c r="C15">
        <f>[9]Field!P9</f>
        <v>6.9689650000000006E-2</v>
      </c>
      <c r="D15">
        <f>[9]Field!P10</f>
        <v>6.829586E-2</v>
      </c>
      <c r="E15">
        <f>[9]Field!P11</f>
        <v>8.5369819999999999E-2</v>
      </c>
      <c r="F15">
        <f>[9]Field!P12</f>
        <v>1.4273830000000001</v>
      </c>
      <c r="G15">
        <f>[9]Field!O13</f>
        <v>2.0693649999999999</v>
      </c>
      <c r="H15">
        <f>[9]Field!O14</f>
        <v>-0.23562069999999999</v>
      </c>
      <c r="J15" s="1"/>
      <c r="K15" s="1"/>
    </row>
    <row r="16" spans="1:17">
      <c r="A16" t="s">
        <v>44</v>
      </c>
      <c r="C16">
        <f>C13+C14+C15</f>
        <v>0.318424398</v>
      </c>
      <c r="D16">
        <f t="shared" ref="D16:H16" si="1">D13+D14+D15</f>
        <v>0.10554141</v>
      </c>
      <c r="E16">
        <f t="shared" si="1"/>
        <v>0.15613637</v>
      </c>
      <c r="F16">
        <f t="shared" si="1"/>
        <v>2.0895545000000002</v>
      </c>
      <c r="G16">
        <f t="shared" si="1"/>
        <v>2.9504098999999999</v>
      </c>
      <c r="H16">
        <f t="shared" si="1"/>
        <v>-2.4571489999999974E-2</v>
      </c>
      <c r="J16" s="1">
        <f>SUM(C13:F15)</f>
        <v>2.6696566779999999</v>
      </c>
      <c r="K16" s="1">
        <f>100*J16/$J$18</f>
        <v>65.989668584554934</v>
      </c>
      <c r="Q16">
        <f>100*D16/$D$18</f>
        <v>98.922278945402482</v>
      </c>
    </row>
    <row r="17" spans="1:13">
      <c r="J17" s="1"/>
      <c r="K17" s="1"/>
    </row>
    <row r="18" spans="1:13">
      <c r="A18" t="s">
        <v>52</v>
      </c>
      <c r="B18">
        <f>B5</f>
        <v>4.7407529999999998</v>
      </c>
      <c r="C18">
        <f>C5+C11+C16</f>
        <v>1.690949738</v>
      </c>
      <c r="D18">
        <f t="shared" ref="D18:H18" si="2">D5+D11+D16</f>
        <v>0.106691244</v>
      </c>
      <c r="E18">
        <f t="shared" si="2"/>
        <v>0.15837215799999999</v>
      </c>
      <c r="F18">
        <f t="shared" si="2"/>
        <v>2.0895545000000002</v>
      </c>
      <c r="G18">
        <f t="shared" si="2"/>
        <v>2.9504098999999999</v>
      </c>
      <c r="H18">
        <f t="shared" si="2"/>
        <v>-2.4571489999999974E-2</v>
      </c>
      <c r="J18" s="1">
        <f>J5+J10+J16</f>
        <v>4.0455676399999998</v>
      </c>
      <c r="K18" s="1"/>
    </row>
    <row r="19" spans="1:13">
      <c r="B19" s="1"/>
      <c r="C19" s="1">
        <f t="shared" ref="C19:H19" si="3">100*C18/$C$3</f>
        <v>24.255505101840289</v>
      </c>
      <c r="D19" s="1">
        <f t="shared" si="3"/>
        <v>1.5304121435475142</v>
      </c>
      <c r="E19" s="1">
        <f t="shared" si="3"/>
        <v>2.2717391298111167</v>
      </c>
      <c r="F19" s="1">
        <f t="shared" si="3"/>
        <v>29.973214872294054</v>
      </c>
      <c r="G19" s="1">
        <f t="shared" si="3"/>
        <v>42.32159050842828</v>
      </c>
      <c r="H19" s="1">
        <f t="shared" si="3"/>
        <v>-0.35246103870582168</v>
      </c>
      <c r="I19" s="1">
        <f>SUM(B19:H19)</f>
        <v>100.00000071721543</v>
      </c>
      <c r="J19" s="1"/>
      <c r="K19" s="1"/>
      <c r="L19" s="1"/>
      <c r="M19" s="1"/>
    </row>
    <row r="24" spans="1:13">
      <c r="A24" s="6" t="s">
        <v>32</v>
      </c>
      <c r="H24" s="6" t="s">
        <v>33</v>
      </c>
      <c r="K24" s="6" t="s">
        <v>17</v>
      </c>
    </row>
    <row r="25" spans="1:13">
      <c r="B25" t="s">
        <v>34</v>
      </c>
      <c r="C25" t="s">
        <v>35</v>
      </c>
      <c r="D25" t="s">
        <v>34</v>
      </c>
      <c r="E25" t="s">
        <v>35</v>
      </c>
      <c r="F25" t="s">
        <v>36</v>
      </c>
      <c r="H25" t="s">
        <v>34</v>
      </c>
      <c r="I25" t="s">
        <v>35</v>
      </c>
    </row>
    <row r="26" spans="1:13">
      <c r="A26" t="s">
        <v>26</v>
      </c>
      <c r="B26">
        <f>[9]Pig!E14</f>
        <v>52.845260000000003</v>
      </c>
      <c r="D26" s="1">
        <f>B26</f>
        <v>52.845260000000003</v>
      </c>
      <c r="E26" s="1"/>
      <c r="F26" s="1"/>
      <c r="G26" s="1"/>
      <c r="H26" s="1">
        <f>[9]Pig!E22</f>
        <v>920.90800000000002</v>
      </c>
      <c r="I26" s="1"/>
    </row>
    <row r="27" spans="1:13">
      <c r="D27" s="1"/>
      <c r="E27" s="1"/>
      <c r="F27" s="1"/>
      <c r="G27" s="1"/>
      <c r="H27" s="1"/>
      <c r="I27" s="1"/>
    </row>
    <row r="28" spans="1:13">
      <c r="A28" t="s">
        <v>13</v>
      </c>
      <c r="C28">
        <f>[9]House!D17</f>
        <v>9.7763729999999995</v>
      </c>
      <c r="D28" s="1"/>
      <c r="E28" s="1">
        <f>C28</f>
        <v>9.7763729999999995</v>
      </c>
      <c r="F28" s="1">
        <f>100*E28/$B$26</f>
        <v>18.499999810768269</v>
      </c>
      <c r="G28" s="1"/>
      <c r="H28" s="1">
        <f>[9]House!C20+[9]House!C21+[9]House!C22</f>
        <v>1090.2205750000001</v>
      </c>
      <c r="I28" s="1">
        <f>[9]House!C23</f>
        <v>56.437525000000001</v>
      </c>
      <c r="K28">
        <f>[9]Sheet2!B23</f>
        <v>1.466456</v>
      </c>
    </row>
    <row r="29" spans="1:13">
      <c r="D29" s="1"/>
      <c r="E29" s="1"/>
      <c r="F29" s="1"/>
      <c r="G29" s="1"/>
      <c r="H29" s="1"/>
      <c r="I29" s="1"/>
    </row>
    <row r="30" spans="1:13">
      <c r="A30" t="s">
        <v>39</v>
      </c>
      <c r="C30">
        <f>[9]Prestorage!D15</f>
        <v>2.1534439999999999</v>
      </c>
      <c r="D30" s="1"/>
      <c r="E30" s="1">
        <f>C30</f>
        <v>2.1534439999999999</v>
      </c>
      <c r="F30" s="1">
        <f>100*E30/$B$26</f>
        <v>4.0749993471505288</v>
      </c>
      <c r="G30" s="1"/>
      <c r="H30" s="1">
        <f>[9]Prestorage!D21</f>
        <v>0.61588509999999996</v>
      </c>
      <c r="I30" s="1">
        <f>[9]Prestorage!D20</f>
        <v>0</v>
      </c>
      <c r="K30">
        <f>[9]Sheet3!B20</f>
        <v>0.32301669999999999</v>
      </c>
    </row>
    <row r="31" spans="1:13">
      <c r="D31" s="1"/>
      <c r="E31" s="1"/>
      <c r="F31" s="1"/>
      <c r="G31" s="1"/>
      <c r="H31" s="1"/>
      <c r="I31" s="1"/>
    </row>
    <row r="32" spans="1:13">
      <c r="A32" t="s">
        <v>14</v>
      </c>
      <c r="D32" s="1">
        <f>B34</f>
        <v>0</v>
      </c>
      <c r="E32" s="1">
        <f>C33+C34</f>
        <v>1.7470889999999999</v>
      </c>
      <c r="F32" s="1">
        <f>100*E32/$B$26</f>
        <v>3.3060467485636362</v>
      </c>
      <c r="G32" s="1"/>
      <c r="H32" s="1"/>
      <c r="I32" s="1"/>
      <c r="L32" s="2">
        <f>K33+K34</f>
        <v>0.40183059999999998</v>
      </c>
    </row>
    <row r="33" spans="1:11">
      <c r="A33" t="s">
        <v>53</v>
      </c>
      <c r="C33">
        <f>[9]Storage!D17</f>
        <v>0</v>
      </c>
      <c r="D33" s="1"/>
      <c r="E33" s="1"/>
      <c r="F33" s="1"/>
      <c r="G33" s="1"/>
      <c r="H33" s="1">
        <f>[9]Storage!C25</f>
        <v>0</v>
      </c>
      <c r="I33" s="1">
        <f>[9]Storage!D26</f>
        <v>0</v>
      </c>
      <c r="K33">
        <f>[9]Sheet4!C19</f>
        <v>0</v>
      </c>
    </row>
    <row r="34" spans="1:11">
      <c r="A34" t="s">
        <v>40</v>
      </c>
      <c r="C34">
        <f>[9]Storage!J21</f>
        <v>1.7470889999999999</v>
      </c>
      <c r="D34" s="1"/>
      <c r="E34" s="1"/>
      <c r="F34" s="1"/>
      <c r="G34" s="1"/>
      <c r="H34" s="1">
        <f>[9]Storage!I28</f>
        <v>0</v>
      </c>
      <c r="I34" s="1">
        <f>[9]Storage!J29</f>
        <v>7.6458880000000002</v>
      </c>
      <c r="K34">
        <f>[9]Sheet4!C23</f>
        <v>0.40183059999999998</v>
      </c>
    </row>
    <row r="35" spans="1:11">
      <c r="D35" s="1"/>
      <c r="E35" s="1"/>
      <c r="F35" s="1"/>
      <c r="G35" s="1"/>
      <c r="H35" s="1"/>
      <c r="I35" s="1"/>
    </row>
    <row r="36" spans="1:11">
      <c r="A36" t="s">
        <v>15</v>
      </c>
      <c r="D36" s="1"/>
      <c r="E36" s="1">
        <f>C37+C38</f>
        <v>35.399610000000003</v>
      </c>
      <c r="F36" s="1">
        <f>100*E36/$B$26</f>
        <v>66.987294603148896</v>
      </c>
      <c r="G36" s="1"/>
      <c r="H36" s="1"/>
      <c r="I36" s="1"/>
    </row>
    <row r="37" spans="1:11">
      <c r="A37" t="s">
        <v>53</v>
      </c>
      <c r="C37">
        <f>[9]Field!D18</f>
        <v>16.128820000000001</v>
      </c>
      <c r="H37" s="1"/>
      <c r="I37" s="1"/>
    </row>
    <row r="38" spans="1:11">
      <c r="A38" t="s">
        <v>40</v>
      </c>
      <c r="C38">
        <f>[9]Field!J20</f>
        <v>19.270790000000002</v>
      </c>
      <c r="H38" s="1"/>
      <c r="I38" s="1"/>
    </row>
    <row r="39" spans="1:11">
      <c r="H39" s="1"/>
      <c r="I39" s="1"/>
    </row>
    <row r="40" spans="1:11">
      <c r="A40" t="s">
        <v>27</v>
      </c>
      <c r="C40">
        <f>SUM(C28:C38)</f>
        <v>49.076515999999998</v>
      </c>
      <c r="E40">
        <f>SUM(E28:E38)</f>
        <v>49.076515999999998</v>
      </c>
      <c r="H40" s="1"/>
      <c r="I40" s="1"/>
    </row>
    <row r="41" spans="1:11">
      <c r="H41" s="1"/>
      <c r="I41" s="1"/>
    </row>
    <row r="42" spans="1:11">
      <c r="A42" t="s">
        <v>6</v>
      </c>
      <c r="H42" s="1"/>
      <c r="I42" s="1"/>
    </row>
    <row r="43" spans="1:11">
      <c r="A43" t="s">
        <v>53</v>
      </c>
      <c r="C43">
        <f>[9]Field!E19</f>
        <v>-0.1718016</v>
      </c>
      <c r="H43" s="1"/>
      <c r="I43" s="1"/>
    </row>
    <row r="44" spans="1:11">
      <c r="A44" t="s">
        <v>40</v>
      </c>
      <c r="C44">
        <f>[9]Field!K21</f>
        <v>3.9405380000000001</v>
      </c>
      <c r="H44" s="1"/>
      <c r="I44" s="1"/>
    </row>
    <row r="45" spans="1:11">
      <c r="A45" t="s">
        <v>54</v>
      </c>
      <c r="C45">
        <f>[9]Field!P19</f>
        <v>-4.2075129999999996</v>
      </c>
      <c r="H45" s="1"/>
      <c r="I45" s="1"/>
    </row>
    <row r="46" spans="1:11">
      <c r="A46" t="s">
        <v>37</v>
      </c>
      <c r="C46">
        <f>C43+C44+C45</f>
        <v>-0.43877659999999974</v>
      </c>
      <c r="E46" s="1">
        <f>C46</f>
        <v>-0.43877659999999974</v>
      </c>
      <c r="F46" s="1">
        <f>100*E46/$B$26</f>
        <v>-0.8303045533317458</v>
      </c>
      <c r="H46" s="1"/>
      <c r="I46" s="1"/>
    </row>
    <row r="47" spans="1:11">
      <c r="B47">
        <f>B26-C45</f>
        <v>57.052773000000002</v>
      </c>
      <c r="F47" s="1">
        <f>SUM(F28:F46)</f>
        <v>92.038035956299595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G18" sqref="G18"/>
    </sheetView>
  </sheetViews>
  <sheetFormatPr defaultRowHeight="15"/>
  <sheetData>
    <row r="1" spans="1:19">
      <c r="A1" t="s">
        <v>97</v>
      </c>
    </row>
    <row r="2" spans="1:19">
      <c r="B2" t="s">
        <v>103</v>
      </c>
      <c r="C2" t="s">
        <v>99</v>
      </c>
      <c r="D2" t="s">
        <v>36</v>
      </c>
      <c r="E2" t="s">
        <v>66</v>
      </c>
      <c r="F2" t="s">
        <v>100</v>
      </c>
      <c r="G2" t="s">
        <v>36</v>
      </c>
      <c r="H2" t="s">
        <v>104</v>
      </c>
      <c r="I2" t="s">
        <v>98</v>
      </c>
      <c r="J2" t="s">
        <v>36</v>
      </c>
      <c r="K2" t="s">
        <v>105</v>
      </c>
      <c r="L2" t="s">
        <v>101</v>
      </c>
      <c r="M2" t="s">
        <v>36</v>
      </c>
      <c r="N2" t="s">
        <v>106</v>
      </c>
      <c r="O2" t="s">
        <v>102</v>
      </c>
      <c r="P2" t="s">
        <v>36</v>
      </c>
      <c r="Q2" t="s">
        <v>9</v>
      </c>
      <c r="R2" t="s">
        <v>132</v>
      </c>
      <c r="S2" t="s">
        <v>36</v>
      </c>
    </row>
    <row r="3" spans="1:19">
      <c r="A3" t="s">
        <v>1</v>
      </c>
      <c r="B3">
        <f>Baseline!C12</f>
        <v>2.06326528</v>
      </c>
      <c r="C3">
        <f>BaseHiN!C12</f>
        <v>2.8327063399999997</v>
      </c>
      <c r="D3" s="5">
        <f>100*(C3-B3)/B3</f>
        <v>37.292396060675223</v>
      </c>
      <c r="E3">
        <f>Biogas!C12</f>
        <v>2.28785251</v>
      </c>
      <c r="F3">
        <f>BiogasHiN!C12</f>
        <v>4.3633890000000006</v>
      </c>
      <c r="G3" s="5">
        <f>100*(F3-E3)/E3</f>
        <v>90.719855450821896</v>
      </c>
      <c r="H3">
        <f>Sep_C!C19</f>
        <v>2.0633974500000001</v>
      </c>
      <c r="I3">
        <f>SepCHiN!C19</f>
        <v>3.6422467360000002</v>
      </c>
      <c r="J3" s="5">
        <f>100*(I3-H3)/H3</f>
        <v>76.516973789998616</v>
      </c>
      <c r="K3">
        <f>'N strip'!C18</f>
        <v>1.8079262899999999</v>
      </c>
      <c r="L3">
        <f>N_StripHiN!C18</f>
        <v>3.1520377360000005</v>
      </c>
      <c r="M3" s="5">
        <f>100*(L3-K3)/K3</f>
        <v>74.345478210840142</v>
      </c>
      <c r="N3">
        <f>Sep_S!C17</f>
        <v>2.0299883400000001</v>
      </c>
      <c r="O3">
        <f>SepSHiN!C17</f>
        <v>3.6603311550000002</v>
      </c>
      <c r="P3" s="5">
        <f>100*(O3-N3)/N3</f>
        <v>80.31291524561172</v>
      </c>
      <c r="Q3">
        <f>Sep_S_C!C19</f>
        <v>2.1164523060000002</v>
      </c>
      <c r="R3">
        <f>Sep_S_CHiN!C19</f>
        <v>3.7007405110000002</v>
      </c>
      <c r="S3" s="5">
        <f>100*(R3-Q3)/Q3</f>
        <v>74.855842511010025</v>
      </c>
    </row>
    <row r="4" spans="1:19">
      <c r="A4" t="s">
        <v>2</v>
      </c>
      <c r="B4">
        <f>Baseline!D12</f>
        <v>9.8162819999999998E-2</v>
      </c>
      <c r="C4">
        <f>BaseHiN!D12</f>
        <v>0.1296226</v>
      </c>
      <c r="D4" s="5">
        <f>100*(C4-B4)/B4</f>
        <v>32.048569916797426</v>
      </c>
      <c r="E4">
        <f>Biogas!D12</f>
        <v>0.1001061</v>
      </c>
      <c r="F4">
        <f>BiogasHiN!D12</f>
        <v>0.20378470000000001</v>
      </c>
      <c r="G4" s="5">
        <f>100*(F4-E4)/E4</f>
        <v>103.56871359487583</v>
      </c>
      <c r="H4">
        <f>Sep_C!D19</f>
        <v>9.9242293999999995E-2</v>
      </c>
      <c r="I4">
        <f>SepCHiN!D19</f>
        <v>0.1883553593</v>
      </c>
      <c r="J4" s="5">
        <f>100*(I4-H4)/H4</f>
        <v>89.793435548759092</v>
      </c>
      <c r="K4">
        <f>'N strip'!D18</f>
        <v>0.10435172400000001</v>
      </c>
      <c r="L4">
        <f>N_StripHiN!D18</f>
        <v>0.19815950930000001</v>
      </c>
      <c r="M4" s="5">
        <f>100*(L4-K4)/K4</f>
        <v>89.895769522696142</v>
      </c>
      <c r="N4">
        <f>Sep_S!D17</f>
        <v>9.9634852299999993E-2</v>
      </c>
      <c r="O4">
        <f>SepSHiN!D17</f>
        <v>0.18691300920000001</v>
      </c>
      <c r="P4" s="5">
        <f>100*(O4-N4)/N4</f>
        <v>87.598019051813282</v>
      </c>
      <c r="Q4">
        <f>Sep_S_C!D19</f>
        <v>0.10382683299999999</v>
      </c>
      <c r="R4">
        <f>Sep_S_CHiN!D19</f>
        <v>0.19796463999999997</v>
      </c>
      <c r="S4" s="5">
        <f>100*(R4-Q4)/Q4</f>
        <v>90.668090588875032</v>
      </c>
    </row>
    <row r="5" spans="1:19">
      <c r="A5" t="s">
        <v>131</v>
      </c>
      <c r="B5">
        <f>Baseline!E12</f>
        <v>0.20123379999999999</v>
      </c>
      <c r="C5">
        <f>BaseHiN!E12</f>
        <v>0.26572639999999997</v>
      </c>
      <c r="D5" s="5">
        <f>100*(C5-B5)/B5</f>
        <v>32.048592234505328</v>
      </c>
      <c r="E5">
        <f>Biogas!E12</f>
        <v>0.1902016</v>
      </c>
      <c r="F5">
        <f>BiogasHiN!E12</f>
        <v>0.35662329999999998</v>
      </c>
      <c r="G5" s="5">
        <f>100*(F5-E5)/E5</f>
        <v>87.497528937716595</v>
      </c>
      <c r="H5">
        <f>Sep_C!E19</f>
        <v>0.18861142799999997</v>
      </c>
      <c r="I5">
        <f>SepCHiN!E19</f>
        <v>0.35854431800000003</v>
      </c>
      <c r="J5" s="5">
        <f>100*(I5-H5)/H5</f>
        <v>90.0968153424935</v>
      </c>
      <c r="K5">
        <f>'N strip'!E18</f>
        <v>0.15545163799999998</v>
      </c>
      <c r="L5">
        <f>N_StripHiN!E18</f>
        <v>0.37717221799999995</v>
      </c>
      <c r="M5" s="5">
        <f>100*(L5-K5)/K5</f>
        <v>142.62994128115909</v>
      </c>
      <c r="N5">
        <f>Sep_S!E17</f>
        <v>0.189344286</v>
      </c>
      <c r="O5">
        <f>SepSHiN!E17</f>
        <v>0.40270624999999999</v>
      </c>
      <c r="P5" s="5">
        <f>100*(O5-N5)/N5</f>
        <v>112.68465952017162</v>
      </c>
      <c r="Q5">
        <f>Sep_S_C!E19</f>
        <v>0.21074909999999999</v>
      </c>
      <c r="R5">
        <f>Sep_S_CHiN!E19</f>
        <v>0.50006627000000003</v>
      </c>
      <c r="S5" s="5">
        <f>100*(R5-Q5)/Q5</f>
        <v>137.28038221752786</v>
      </c>
    </row>
    <row r="6" spans="1:19">
      <c r="A6" t="s">
        <v>4</v>
      </c>
      <c r="B6">
        <f>Baseline!F12</f>
        <v>1.9387160000000001</v>
      </c>
      <c r="C6">
        <f>BaseHiN!F12</f>
        <v>2.560047</v>
      </c>
      <c r="D6" s="5">
        <f t="shared" ref="D6:D8" si="0">100*(C6-B6)/B6</f>
        <v>32.048582670179634</v>
      </c>
      <c r="E6">
        <f>Biogas!F12</f>
        <v>2.3524940000000001</v>
      </c>
      <c r="F6">
        <f>BiogasHiN!F12</f>
        <v>4.9315910000000001</v>
      </c>
      <c r="G6" s="5">
        <f t="shared" ref="G6:G8" si="1">100*(F6-E6)/E6</f>
        <v>109.63245814867115</v>
      </c>
      <c r="H6">
        <f>Sep_C!F19</f>
        <v>1.8943216999999999</v>
      </c>
      <c r="I6">
        <f>SepCHiN!F19</f>
        <v>3.6209637000000003</v>
      </c>
      <c r="J6" s="5">
        <f t="shared" ref="J6:J8" si="2">100*(I6-H6)/H6</f>
        <v>91.148298623195871</v>
      </c>
      <c r="K6">
        <f>'N strip'!F18</f>
        <v>2.0406545999999999</v>
      </c>
      <c r="L6">
        <f>N_StripHiN!F18</f>
        <v>3.9025132999999999</v>
      </c>
      <c r="M6" s="5">
        <f t="shared" ref="M6:M8" si="3">100*(L6-K6)/K6</f>
        <v>91.238306570842511</v>
      </c>
      <c r="N6">
        <f>Sep_S!F17</f>
        <v>1.9541096</v>
      </c>
      <c r="O6">
        <f>SepSHiN!F17</f>
        <v>3.6795422000000002</v>
      </c>
      <c r="P6" s="5">
        <f t="shared" ref="P6:P8" si="4">100*(O6-N6)/N6</f>
        <v>88.297636939094943</v>
      </c>
      <c r="Q6">
        <f>Sep_S_C!F19</f>
        <v>1.9260975</v>
      </c>
      <c r="R6">
        <f>Sep_S_CHiN!F19</f>
        <v>3.6632136000000002</v>
      </c>
      <c r="S6" s="5">
        <f t="shared" ref="S6:S8" si="5">100*(R6-Q6)/Q6</f>
        <v>90.188378314181918</v>
      </c>
    </row>
    <row r="7" spans="1:19">
      <c r="A7" t="s">
        <v>5</v>
      </c>
      <c r="B7">
        <f>Baseline!G12</f>
        <v>2.5227840000000001</v>
      </c>
      <c r="C7">
        <f>BaseHiN!G12</f>
        <v>3.3313009999999998</v>
      </c>
      <c r="D7" s="5">
        <f t="shared" si="0"/>
        <v>32.048601862069823</v>
      </c>
      <c r="E7">
        <f>Biogas!G12</f>
        <v>2.4025470000000002</v>
      </c>
      <c r="F7">
        <f>BiogasHiN!G12</f>
        <v>4.9825369999999998</v>
      </c>
      <c r="G7" s="5">
        <f t="shared" si="1"/>
        <v>107.38562034374351</v>
      </c>
      <c r="H7">
        <f>Sep_C!G19</f>
        <v>2.5634619000000001</v>
      </c>
      <c r="I7">
        <f>SepCHiN!G19</f>
        <v>4.8871700000000002</v>
      </c>
      <c r="J7" s="5">
        <f t="shared" si="2"/>
        <v>90.647264934969385</v>
      </c>
      <c r="K7">
        <f>'N strip'!G18</f>
        <v>2.8795052999999999</v>
      </c>
      <c r="L7">
        <f>N_StripHiN!G18</f>
        <v>5.4967006999999999</v>
      </c>
      <c r="M7" s="5">
        <f t="shared" si="3"/>
        <v>90.890452606564054</v>
      </c>
      <c r="N7">
        <f>Sep_S!G17</f>
        <v>2.6566223999999998</v>
      </c>
      <c r="O7">
        <f>SepSHiN!G17</f>
        <v>4.9938519000000001</v>
      </c>
      <c r="P7" s="5">
        <f t="shared" si="4"/>
        <v>87.977482234584798</v>
      </c>
      <c r="Q7">
        <f>Sep_S_C!G19</f>
        <v>2.6149472</v>
      </c>
      <c r="R7">
        <f>Sep_S_CHiN!G19</f>
        <v>4.9499560000000002</v>
      </c>
      <c r="S7" s="5">
        <f t="shared" si="5"/>
        <v>89.294682508312221</v>
      </c>
    </row>
    <row r="8" spans="1:19">
      <c r="A8" t="s">
        <v>6</v>
      </c>
      <c r="B8">
        <f>Baseline!H12</f>
        <v>0.14724419999999999</v>
      </c>
      <c r="C8">
        <f>BaseHiN!H12</f>
        <v>0.19443389999999999</v>
      </c>
      <c r="D8" s="5">
        <f t="shared" si="0"/>
        <v>32.048596820791587</v>
      </c>
      <c r="E8">
        <f>Biogas!H12</f>
        <v>-4.004245E-2</v>
      </c>
      <c r="F8">
        <f>BiogasHiN!H12</f>
        <v>-0.28529860000000001</v>
      </c>
      <c r="G8" s="5">
        <f t="shared" si="1"/>
        <v>612.49036959526711</v>
      </c>
      <c r="H8">
        <f>Sep_C!H19</f>
        <v>0.16237168000000002</v>
      </c>
      <c r="I8">
        <f>SepCHiN!H19</f>
        <v>0.33474979999999999</v>
      </c>
      <c r="J8" s="5">
        <f t="shared" si="2"/>
        <v>106.16267565871091</v>
      </c>
      <c r="K8">
        <f>'N strip'!H18</f>
        <v>-1.6484275999999992E-2</v>
      </c>
      <c r="L8">
        <f>N_StripHiN!H18</f>
        <v>-9.4554639999999968E-2</v>
      </c>
      <c r="M8" s="5">
        <f t="shared" si="3"/>
        <v>473.60505247546217</v>
      </c>
      <c r="N8">
        <f>Sep_S!H17</f>
        <v>4.1706159999999992E-2</v>
      </c>
      <c r="O8">
        <f>SepSHiN!H17</f>
        <v>0.10868449999999999</v>
      </c>
      <c r="P8" s="5">
        <f t="shared" si="4"/>
        <v>160.5957968798854</v>
      </c>
      <c r="Q8">
        <f>Sep_S_C!H19</f>
        <v>7.2256760000000003E-2</v>
      </c>
      <c r="R8">
        <f>Sep_S_CHiN!H19</f>
        <v>0.1127976</v>
      </c>
      <c r="S8" s="5">
        <f t="shared" si="5"/>
        <v>56.106639710941913</v>
      </c>
    </row>
    <row r="9" spans="1:19">
      <c r="A9" t="s">
        <v>17</v>
      </c>
      <c r="B9" s="2">
        <f>Baseline!K21+Baseline!K23</f>
        <v>3.2990370000000002</v>
      </c>
      <c r="C9" s="2">
        <f>BaseHiN!K21+BaseHiN!K23</f>
        <v>3.2990370000000002</v>
      </c>
      <c r="D9" s="5">
        <f>100*(C9-B9)/B9</f>
        <v>0</v>
      </c>
      <c r="E9">
        <f>Biogas!K21+Biogas!K25</f>
        <v>3.8647499999999999</v>
      </c>
      <c r="F9">
        <f>BiogasHiN!K21+BiogasHiN!K25</f>
        <v>2.7349597999999999</v>
      </c>
      <c r="G9" s="5">
        <f>100*(F9-E9)/E9</f>
        <v>-29.23320266511417</v>
      </c>
      <c r="H9">
        <f>Sep_C!M27+Sep_C!M29+Sep_C!N31</f>
        <v>2.8702746000000001</v>
      </c>
      <c r="I9">
        <f>SepCHiN!M27+SepCHiN!M29+SepCHiN!N31</f>
        <v>3.6490284000000002</v>
      </c>
      <c r="J9" s="5">
        <f>100*(I9-H9)/H9</f>
        <v>27.131682801359844</v>
      </c>
      <c r="K9">
        <f>'N strip'!K28+'N strip'!K30+'N strip'!L32</f>
        <v>2.1913033</v>
      </c>
      <c r="L9">
        <f>N_StripHiN!K28+N_StripHiN!K30+N_StripHiN!L32</f>
        <v>2.7858406000000002</v>
      </c>
      <c r="M9" s="5">
        <f>100*(L9-K9)/K9</f>
        <v>27.131675473678168</v>
      </c>
      <c r="N9" s="2">
        <f>Sep_S!M25+Sep_S!M27+Sep_S!N29</f>
        <v>3.1300059999999998</v>
      </c>
      <c r="O9">
        <f>SepSHiN!M25+SepSHiN!M27+SepSHiN!N29</f>
        <v>3.9792288999999998</v>
      </c>
      <c r="P9" s="5">
        <f>100*(O9-N9)/N9</f>
        <v>27.131670035137315</v>
      </c>
      <c r="Q9">
        <f>Sep_S_C!N31</f>
        <v>2.0930116000000001</v>
      </c>
      <c r="R9">
        <f>Sep_S_CHiN!N31</f>
        <v>2.6608809999999998</v>
      </c>
      <c r="S9" s="5">
        <f>100*(R9-Q9)/Q9</f>
        <v>27.131689093361913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3"/>
  <sheetViews>
    <sheetView topLeftCell="C1" workbookViewId="0">
      <selection activeCell="N11" sqref="N11"/>
    </sheetView>
  </sheetViews>
  <sheetFormatPr defaultRowHeight="15"/>
  <sheetData>
    <row r="1" spans="1:14">
      <c r="A1" s="13" t="s">
        <v>29</v>
      </c>
      <c r="J1" s="1"/>
      <c r="K1" s="1"/>
    </row>
    <row r="2" spans="1:14">
      <c r="A2" t="s">
        <v>25</v>
      </c>
      <c r="B2">
        <f>[3]Pig!C4</f>
        <v>11.712160000000001</v>
      </c>
      <c r="C2" t="s">
        <v>41</v>
      </c>
      <c r="D2" t="s">
        <v>65</v>
      </c>
      <c r="J2" s="1"/>
      <c r="K2" s="1"/>
    </row>
    <row r="3" spans="1:14">
      <c r="A3" t="s">
        <v>26</v>
      </c>
      <c r="B3">
        <f>[3]Pig!E6+[3]Pig!E7</f>
        <v>6.971406</v>
      </c>
      <c r="C3">
        <f>[3]Storage!I10</f>
        <v>7.292411E-2</v>
      </c>
      <c r="D3">
        <f>B3+C3</f>
        <v>7.0443301099999998</v>
      </c>
      <c r="J3" s="1" t="s">
        <v>30</v>
      </c>
      <c r="K3" s="1"/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s="1" t="s">
        <v>27</v>
      </c>
      <c r="K4" s="1" t="s">
        <v>43</v>
      </c>
    </row>
    <row r="5" spans="1:14">
      <c r="A5" t="s">
        <v>13</v>
      </c>
      <c r="B5">
        <f>[3]Pig!D5</f>
        <v>4.7407529999999998</v>
      </c>
      <c r="C5">
        <f>[3]House!D7</f>
        <v>1.337172</v>
      </c>
      <c r="J5" s="1">
        <f>C5</f>
        <v>1.337172</v>
      </c>
      <c r="K5" s="1">
        <f>100*J5/$J$19</f>
        <v>30.689314013391158</v>
      </c>
    </row>
    <row r="6" spans="1:14">
      <c r="J6" s="1"/>
      <c r="K6" s="1"/>
    </row>
    <row r="7" spans="1:14">
      <c r="A7" t="s">
        <v>39</v>
      </c>
      <c r="C7">
        <f>[3]Prestorage!D8</f>
        <v>0</v>
      </c>
      <c r="D7">
        <f>[3]Prestorage!D7</f>
        <v>0</v>
      </c>
      <c r="E7">
        <f>[3]Prestorage!D6</f>
        <v>0</v>
      </c>
      <c r="J7" s="1">
        <f>SUM(B7:H7)</f>
        <v>0</v>
      </c>
      <c r="K7" s="1">
        <f>100*J7/$J$19</f>
        <v>0</v>
      </c>
    </row>
    <row r="8" spans="1:14">
      <c r="J8" s="1"/>
      <c r="K8" s="1"/>
      <c r="M8" t="s">
        <v>59</v>
      </c>
    </row>
    <row r="9" spans="1:14">
      <c r="A9" t="s">
        <v>14</v>
      </c>
      <c r="J9" s="1"/>
      <c r="K9" s="1"/>
      <c r="M9" t="s">
        <v>60</v>
      </c>
      <c r="N9" t="s">
        <v>55</v>
      </c>
    </row>
    <row r="10" spans="1:14">
      <c r="A10" t="s">
        <v>24</v>
      </c>
      <c r="C10">
        <f>[3]Storage!D8</f>
        <v>5.016967E-2</v>
      </c>
      <c r="D10">
        <f>[3]Storage!D7</f>
        <v>0</v>
      </c>
      <c r="E10">
        <f>[3]Storage!D6</f>
        <v>0</v>
      </c>
      <c r="J10" s="1"/>
      <c r="K10" s="1"/>
      <c r="M10">
        <f>[3]Storage!E9+[3]Storage!E11</f>
        <v>4.7638929000000001</v>
      </c>
      <c r="N10">
        <f>[3]Storage!E13</f>
        <v>0.95669190000000004</v>
      </c>
    </row>
    <row r="11" spans="1:14">
      <c r="A11" t="s">
        <v>40</v>
      </c>
      <c r="C11">
        <f>[3]Storage!J8</f>
        <v>2.863736E-3</v>
      </c>
      <c r="D11">
        <f>[3]Storage!J7</f>
        <v>5.7274730000000003E-3</v>
      </c>
      <c r="E11">
        <f>[3]Storage!J6</f>
        <v>1.718242E-2</v>
      </c>
      <c r="J11" s="1"/>
      <c r="K11" s="1"/>
      <c r="M11">
        <f>[3]Storage!K9+[3]Storage!K12</f>
        <v>0.86732209999999998</v>
      </c>
      <c r="N11">
        <f>[3]Storage!K15</f>
        <v>0.20801359999999999</v>
      </c>
    </row>
    <row r="12" spans="1:14">
      <c r="A12" t="s">
        <v>44</v>
      </c>
      <c r="C12">
        <f>C10+C11</f>
        <v>5.3033405999999998E-2</v>
      </c>
      <c r="D12">
        <f>D10+D11</f>
        <v>5.7274730000000003E-3</v>
      </c>
      <c r="E12">
        <f>E10+E11</f>
        <v>1.718242E-2</v>
      </c>
      <c r="J12" s="1">
        <f>SUM(B12:H12)</f>
        <v>7.5943299000000006E-2</v>
      </c>
      <c r="K12" s="1">
        <f>100*J12/$J$19</f>
        <v>1.7429678083476583</v>
      </c>
    </row>
    <row r="13" spans="1:14">
      <c r="J13" s="1"/>
      <c r="K13" s="1"/>
    </row>
    <row r="14" spans="1:14">
      <c r="A14" t="s">
        <v>15</v>
      </c>
      <c r="J14" s="1"/>
      <c r="K14" s="1"/>
    </row>
    <row r="15" spans="1:14">
      <c r="A15" t="s">
        <v>24</v>
      </c>
      <c r="C15">
        <f>[3]Field!D7</f>
        <v>0.4570843</v>
      </c>
      <c r="D15">
        <f>[3]Field!D8</f>
        <v>8.6136169999999998E-2</v>
      </c>
      <c r="E15">
        <f>[3]Field!D9</f>
        <v>0.16365869999999999</v>
      </c>
      <c r="F15">
        <f>[3]Field!D10</f>
        <v>1.7442569999999999</v>
      </c>
      <c r="G15">
        <f>[3]Field!E11</f>
        <v>2.3816649999999999</v>
      </c>
      <c r="H15">
        <f>[3]Field!E12</f>
        <v>-6.8908940000000002E-2</v>
      </c>
      <c r="J15" s="1"/>
      <c r="K15" s="1"/>
    </row>
    <row r="16" spans="1:14">
      <c r="A16" t="s">
        <v>40</v>
      </c>
      <c r="C16">
        <f>[3]Field!J7</f>
        <v>0.26916259999999997</v>
      </c>
      <c r="D16">
        <f>[3]Field!J8</f>
        <v>1.196319E-2</v>
      </c>
      <c r="E16">
        <f>[3]Field!J9</f>
        <v>2.9907980000000001E-2</v>
      </c>
      <c r="F16">
        <f>[3]Field!J10</f>
        <v>0.18184049999999999</v>
      </c>
      <c r="G16">
        <f>[3]Field!K11</f>
        <v>0.2332822</v>
      </c>
      <c r="H16">
        <f>[3]Field!K12</f>
        <v>0.14116570000000001</v>
      </c>
      <c r="J16" s="1"/>
      <c r="K16" s="1"/>
    </row>
    <row r="17" spans="1:20">
      <c r="A17" t="s">
        <v>44</v>
      </c>
      <c r="C17">
        <f t="shared" ref="C17:H17" si="0">C15+C16</f>
        <v>0.72624690000000003</v>
      </c>
      <c r="D17">
        <f t="shared" si="0"/>
        <v>9.8099359999999997E-2</v>
      </c>
      <c r="E17">
        <f t="shared" si="0"/>
        <v>0.19356667999999999</v>
      </c>
      <c r="F17">
        <f t="shared" si="0"/>
        <v>1.9260975</v>
      </c>
      <c r="G17">
        <f t="shared" si="0"/>
        <v>2.6149472</v>
      </c>
      <c r="H17">
        <f t="shared" si="0"/>
        <v>7.2256760000000003E-2</v>
      </c>
      <c r="J17" s="1">
        <f>SUM(B17:F17)</f>
        <v>2.94401044</v>
      </c>
      <c r="K17" s="1">
        <f>100*J17/$J$19</f>
        <v>67.567718178261188</v>
      </c>
    </row>
    <row r="18" spans="1:20">
      <c r="J18" s="1"/>
      <c r="K18" s="1"/>
    </row>
    <row r="19" spans="1:20">
      <c r="A19" t="s">
        <v>27</v>
      </c>
      <c r="C19">
        <f t="shared" ref="C19:H19" si="1">C5+C12+C17</f>
        <v>2.1164523060000002</v>
      </c>
      <c r="D19">
        <f t="shared" si="1"/>
        <v>0.10382683299999999</v>
      </c>
      <c r="E19">
        <f t="shared" si="1"/>
        <v>0.21074909999999999</v>
      </c>
      <c r="F19">
        <f t="shared" si="1"/>
        <v>1.9260975</v>
      </c>
      <c r="G19">
        <f t="shared" si="1"/>
        <v>2.6149472</v>
      </c>
      <c r="H19">
        <f t="shared" si="1"/>
        <v>7.2256760000000003E-2</v>
      </c>
      <c r="J19" s="1">
        <f>J5+J7+J12+J17</f>
        <v>4.3571257389999998</v>
      </c>
      <c r="K19" s="1"/>
    </row>
    <row r="20" spans="1:20">
      <c r="A20" t="s">
        <v>28</v>
      </c>
      <c r="B20" s="1"/>
      <c r="C20" s="1">
        <f>100*C19/$D$3</f>
        <v>30.044763277000946</v>
      </c>
      <c r="D20" s="1">
        <f t="shared" ref="D20:H20" si="2">100*D19/$D$3</f>
        <v>1.4739064095336669</v>
      </c>
      <c r="E20" s="1">
        <f t="shared" si="2"/>
        <v>2.991755024382297</v>
      </c>
      <c r="F20" s="1">
        <f t="shared" si="2"/>
        <v>27.342521856915077</v>
      </c>
      <c r="G20" s="1">
        <f t="shared" si="2"/>
        <v>37.121304072446435</v>
      </c>
      <c r="H20" s="1">
        <f t="shared" si="2"/>
        <v>1.0257435252420333</v>
      </c>
      <c r="I20" s="1">
        <f>SUM(B20:H20)</f>
        <v>99.999994165520462</v>
      </c>
      <c r="J20" s="1"/>
      <c r="K20" s="1"/>
    </row>
    <row r="21" spans="1:20">
      <c r="J21" s="1"/>
      <c r="K21" s="1"/>
    </row>
    <row r="22" spans="1:20">
      <c r="J22" s="1"/>
      <c r="K22" s="1"/>
    </row>
    <row r="23" spans="1:20">
      <c r="A23" s="13" t="s">
        <v>32</v>
      </c>
      <c r="I23" s="6" t="s">
        <v>33</v>
      </c>
      <c r="K23" s="1"/>
      <c r="M23" s="6" t="s">
        <v>17</v>
      </c>
      <c r="O23" s="7" t="s">
        <v>115</v>
      </c>
      <c r="Q23" s="7" t="s">
        <v>124</v>
      </c>
      <c r="S23" t="s">
        <v>55</v>
      </c>
    </row>
    <row r="24" spans="1:20">
      <c r="B24" t="s">
        <v>34</v>
      </c>
      <c r="C24" t="s">
        <v>35</v>
      </c>
      <c r="D24" t="s">
        <v>34</v>
      </c>
      <c r="E24" t="s">
        <v>35</v>
      </c>
      <c r="F24" t="s">
        <v>36</v>
      </c>
      <c r="I24" t="s">
        <v>34</v>
      </c>
      <c r="J24" t="s">
        <v>35</v>
      </c>
      <c r="K24" s="1"/>
      <c r="O24" t="s">
        <v>34</v>
      </c>
      <c r="P24" t="s">
        <v>35</v>
      </c>
      <c r="S24" t="s">
        <v>34</v>
      </c>
      <c r="T24" t="s">
        <v>35</v>
      </c>
    </row>
    <row r="25" spans="1:20">
      <c r="A25" s="1" t="s">
        <v>26</v>
      </c>
      <c r="B25" s="1">
        <f>[3]Pig!E14</f>
        <v>52.845260000000003</v>
      </c>
      <c r="C25" s="1"/>
      <c r="D25" s="1">
        <f>B25</f>
        <v>52.845260000000003</v>
      </c>
      <c r="E25" s="1"/>
      <c r="F25" s="1"/>
      <c r="G25" s="1"/>
      <c r="I25" s="1">
        <f>[3]Pig!E22</f>
        <v>920.90800000000002</v>
      </c>
      <c r="J25" s="1"/>
      <c r="K25" s="1"/>
      <c r="O25">
        <f>[3]Pig!E17</f>
        <v>26.246739999999999</v>
      </c>
      <c r="Q25" s="1">
        <f>B25+I25+O25</f>
        <v>1000.0000000000001</v>
      </c>
      <c r="S25">
        <f>[3]Pig!E10</f>
        <v>1.152641</v>
      </c>
    </row>
    <row r="26" spans="1:20">
      <c r="A26" s="1"/>
      <c r="B26" s="1"/>
      <c r="C26" s="1"/>
      <c r="D26" s="1"/>
      <c r="E26" s="1"/>
      <c r="F26" s="1"/>
      <c r="G26" s="1"/>
      <c r="I26" s="1"/>
      <c r="J26" s="1"/>
      <c r="K26" s="1"/>
    </row>
    <row r="27" spans="1:20">
      <c r="A27" s="1" t="s">
        <v>13</v>
      </c>
      <c r="B27" s="1"/>
      <c r="C27" s="1">
        <f>[3]House!D15</f>
        <v>9.7763729999999995</v>
      </c>
      <c r="D27" s="1"/>
      <c r="E27" s="1">
        <f>C27</f>
        <v>9.7763729999999995</v>
      </c>
      <c r="F27" s="1">
        <f>100*E27/$B$43</f>
        <v>14.953363529532147</v>
      </c>
      <c r="G27" s="1"/>
      <c r="I27" s="1">
        <f>[3]House!E18+[3]House!C19+[3]House!C20</f>
        <v>1116.4673150000001</v>
      </c>
      <c r="J27" s="1">
        <f>[3]House!D23+[3]House!D22</f>
        <v>50.203572999999999</v>
      </c>
      <c r="K27" s="1"/>
      <c r="M27">
        <f>[3]Sheet2!B23</f>
        <v>1.466456</v>
      </c>
    </row>
    <row r="28" spans="1:20">
      <c r="A28" s="1"/>
      <c r="B28" s="1"/>
      <c r="C28" s="1"/>
      <c r="D28" s="1"/>
      <c r="E28" s="1"/>
      <c r="F28" s="1"/>
      <c r="G28" s="1"/>
      <c r="I28" s="1"/>
      <c r="J28" s="1"/>
      <c r="K28" s="1"/>
    </row>
    <row r="29" spans="1:20">
      <c r="A29" s="1" t="s">
        <v>39</v>
      </c>
      <c r="B29" s="1"/>
      <c r="C29" s="1">
        <f>[3]Prestorage!D15</f>
        <v>2.1534439999999999</v>
      </c>
      <c r="D29" s="1"/>
      <c r="E29" s="1">
        <f>C29</f>
        <v>2.1534439999999999</v>
      </c>
      <c r="F29" s="1">
        <f>100*E29/$B$43</f>
        <v>3.2937809320992377</v>
      </c>
      <c r="G29" s="1"/>
      <c r="I29" s="1">
        <v>0</v>
      </c>
      <c r="J29" s="1">
        <f>[3]Prestorage!D21</f>
        <v>0.61588509999999996</v>
      </c>
      <c r="K29" s="1"/>
      <c r="M29">
        <f>[3]Sheet3!C20</f>
        <v>0.32301669999999999</v>
      </c>
    </row>
    <row r="30" spans="1:20">
      <c r="A30" s="1"/>
      <c r="B30" s="1"/>
      <c r="C30" s="1"/>
      <c r="D30" s="1"/>
      <c r="E30" s="1"/>
      <c r="F30" s="1"/>
      <c r="G30" s="1"/>
      <c r="I30" s="1"/>
      <c r="J30" s="1"/>
      <c r="K30" s="1"/>
    </row>
    <row r="31" spans="1:20">
      <c r="A31" s="14" t="s">
        <v>14</v>
      </c>
      <c r="B31" s="1"/>
      <c r="C31" s="1"/>
      <c r="D31" s="1"/>
      <c r="E31" s="1">
        <f>C32+C33</f>
        <v>21.372225</v>
      </c>
      <c r="F31" s="1">
        <f>100*E31/$B$43</f>
        <v>32.689694824446157</v>
      </c>
      <c r="G31" s="1"/>
      <c r="I31" s="1"/>
      <c r="J31" s="1"/>
      <c r="K31" s="1"/>
      <c r="N31" s="2">
        <f>M32+M33</f>
        <v>2.0930116000000001</v>
      </c>
    </row>
    <row r="32" spans="1:20">
      <c r="A32" s="1" t="s">
        <v>24</v>
      </c>
      <c r="B32" s="1"/>
      <c r="C32" s="1">
        <f>[3]Storage!D15</f>
        <v>4.7686950000000001</v>
      </c>
      <c r="D32" s="1"/>
      <c r="E32" s="1"/>
      <c r="F32" s="1"/>
      <c r="G32" s="1"/>
      <c r="I32" s="1">
        <f>[3]Storage!C21</f>
        <v>0</v>
      </c>
      <c r="J32" s="1">
        <f>[3]Storage!D22+[3]Storage!D23</f>
        <v>1.363847</v>
      </c>
      <c r="K32" s="1"/>
      <c r="M32">
        <f>[3]Sheet4!C23</f>
        <v>1.0968</v>
      </c>
    </row>
    <row r="33" spans="1:20">
      <c r="A33" s="1" t="s">
        <v>40</v>
      </c>
      <c r="B33" s="1">
        <f>[3]Sheet4!B26</f>
        <v>12.53383</v>
      </c>
      <c r="C33" s="1">
        <f>[3]Storage!J18</f>
        <v>16.603529999999999</v>
      </c>
      <c r="D33" s="1"/>
      <c r="E33" s="1"/>
      <c r="F33" s="1"/>
      <c r="G33" s="1"/>
      <c r="I33" s="1">
        <f>[3]Storage!I25+[3]Storage!I26</f>
        <v>12.839549999999999</v>
      </c>
      <c r="J33" s="1">
        <f>[3]Storage!J27</f>
        <v>119.04730000000001</v>
      </c>
      <c r="K33" s="1"/>
      <c r="M33">
        <f>[3]Sheet4!B28</f>
        <v>0.99621159999999997</v>
      </c>
      <c r="S33">
        <f>[3]Storage!I14</f>
        <v>1.206465E-2</v>
      </c>
    </row>
    <row r="34" spans="1:20">
      <c r="A34" s="1"/>
      <c r="B34" s="1"/>
      <c r="C34" s="1"/>
      <c r="D34" s="1"/>
      <c r="E34" s="1"/>
      <c r="F34" s="1"/>
      <c r="G34" s="1"/>
      <c r="H34" s="1"/>
      <c r="J34" s="1"/>
      <c r="K34" s="1"/>
      <c r="T34">
        <f>[3]Storage!K15+[3]Storage!E13</f>
        <v>1.1647054999999999</v>
      </c>
    </row>
    <row r="35" spans="1:20">
      <c r="A35" s="14" t="s">
        <v>15</v>
      </c>
      <c r="B35" s="1"/>
      <c r="C35" s="1"/>
      <c r="D35" s="1"/>
      <c r="E35" s="1">
        <f>C36+C37</f>
        <v>30.786753000000001</v>
      </c>
      <c r="F35" s="1">
        <f>100*E35/$B$43</f>
        <v>47.089601583625587</v>
      </c>
      <c r="G35" s="1"/>
      <c r="H35" s="1"/>
      <c r="J35" s="1"/>
      <c r="K35" s="1"/>
    </row>
    <row r="36" spans="1:20">
      <c r="A36" s="1" t="s">
        <v>24</v>
      </c>
      <c r="B36" s="1"/>
      <c r="C36" s="1">
        <f>[3]Field!D18</f>
        <v>22.23855</v>
      </c>
      <c r="D36" s="1"/>
      <c r="E36" s="1"/>
      <c r="F36" s="1"/>
      <c r="G36" s="1"/>
      <c r="H36" s="1"/>
      <c r="J36" s="1"/>
      <c r="K36" s="1"/>
    </row>
    <row r="37" spans="1:20">
      <c r="A37" s="1" t="s">
        <v>40</v>
      </c>
      <c r="B37" s="1"/>
      <c r="C37" s="1">
        <f>[3]Field!J18</f>
        <v>8.5482030000000009</v>
      </c>
      <c r="D37" s="1"/>
      <c r="E37" s="1"/>
      <c r="F37" s="1"/>
      <c r="G37" s="1"/>
      <c r="H37" s="1"/>
      <c r="J37" s="1"/>
      <c r="K37" s="1"/>
    </row>
    <row r="38" spans="1:20">
      <c r="A38" s="1"/>
      <c r="B38" s="1"/>
      <c r="C38" s="1"/>
      <c r="D38" s="1"/>
      <c r="E38" s="1"/>
      <c r="F38" s="1"/>
      <c r="G38" s="1"/>
      <c r="H38" s="1"/>
      <c r="J38" s="1"/>
      <c r="K38" s="1"/>
    </row>
    <row r="39" spans="1:20">
      <c r="A39" s="14" t="s">
        <v>6</v>
      </c>
      <c r="B39" s="1"/>
      <c r="C39" s="1"/>
      <c r="D39" s="1"/>
      <c r="E39" s="1">
        <f>C40+C41</f>
        <v>1.2902979999999997</v>
      </c>
      <c r="F39" s="1">
        <f>100*E39/$B$43</f>
        <v>1.9735637189199169</v>
      </c>
      <c r="G39" s="1"/>
      <c r="H39" s="1"/>
      <c r="J39" s="1"/>
      <c r="K39" s="1"/>
    </row>
    <row r="40" spans="1:20">
      <c r="A40" s="1" t="s">
        <v>24</v>
      </c>
      <c r="B40" s="1"/>
      <c r="C40" s="1">
        <f>[3]Field!E19</f>
        <v>-1.2305170000000001</v>
      </c>
      <c r="D40" s="1"/>
      <c r="E40" s="1"/>
      <c r="F40" s="1"/>
      <c r="G40" s="1"/>
      <c r="H40" s="1"/>
      <c r="J40" s="1"/>
      <c r="K40" s="1"/>
    </row>
    <row r="41" spans="1:20">
      <c r="A41" s="1" t="s">
        <v>40</v>
      </c>
      <c r="B41" s="1"/>
      <c r="C41" s="1">
        <f>[3]Field!K19</f>
        <v>2.5208149999999998</v>
      </c>
      <c r="D41" s="1"/>
      <c r="E41" s="1"/>
      <c r="F41" s="1"/>
      <c r="G41" s="1"/>
      <c r="H41" s="1"/>
      <c r="J41" s="1"/>
      <c r="K41" s="1"/>
    </row>
    <row r="42" spans="1:20">
      <c r="A42" s="1"/>
      <c r="B42" s="1"/>
      <c r="C42" s="1"/>
      <c r="D42" s="1"/>
      <c r="E42" s="1"/>
      <c r="F42" s="1"/>
      <c r="G42" s="1"/>
      <c r="H42" s="1"/>
      <c r="J42" s="1"/>
      <c r="K42" s="1"/>
    </row>
    <row r="43" spans="1:20">
      <c r="A43" s="1" t="s">
        <v>27</v>
      </c>
      <c r="B43" s="1">
        <f>SUM(B25:B41)</f>
        <v>65.379090000000005</v>
      </c>
      <c r="C43" s="1">
        <f>SUM(C25:C41)</f>
        <v>65.379093000000012</v>
      </c>
      <c r="D43" s="1"/>
      <c r="E43" s="1"/>
      <c r="F43" s="1">
        <f>SUM(F25:F41)</f>
        <v>100.00000458862304</v>
      </c>
      <c r="G43" s="1"/>
      <c r="H43" s="1"/>
      <c r="J43" s="1"/>
      <c r="K4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R10" sqref="R10"/>
    </sheetView>
  </sheetViews>
  <sheetFormatPr defaultRowHeight="15"/>
  <sheetData>
    <row r="1" spans="1:19">
      <c r="A1" t="s">
        <v>97</v>
      </c>
    </row>
    <row r="2" spans="1:19">
      <c r="B2" t="s">
        <v>103</v>
      </c>
      <c r="C2" t="s">
        <v>107</v>
      </c>
      <c r="D2" t="s">
        <v>36</v>
      </c>
      <c r="E2" t="s">
        <v>66</v>
      </c>
      <c r="F2" t="s">
        <v>108</v>
      </c>
      <c r="G2" t="s">
        <v>36</v>
      </c>
      <c r="H2" t="s">
        <v>104</v>
      </c>
      <c r="I2" t="s">
        <v>109</v>
      </c>
      <c r="J2" t="s">
        <v>36</v>
      </c>
      <c r="K2" t="s">
        <v>105</v>
      </c>
      <c r="L2" t="s">
        <v>110</v>
      </c>
      <c r="M2" t="s">
        <v>36</v>
      </c>
      <c r="N2" t="s">
        <v>106</v>
      </c>
      <c r="O2" t="s">
        <v>111</v>
      </c>
      <c r="P2" t="s">
        <v>36</v>
      </c>
      <c r="Q2" t="s">
        <v>9</v>
      </c>
      <c r="R2" t="s">
        <v>133</v>
      </c>
      <c r="S2" t="s">
        <v>36</v>
      </c>
    </row>
    <row r="3" spans="1:19">
      <c r="A3" t="s">
        <v>1</v>
      </c>
      <c r="B3">
        <f>Baseline!C12</f>
        <v>2.06326528</v>
      </c>
      <c r="C3">
        <f>BaseOM!C12</f>
        <v>1.9996978999999999</v>
      </c>
      <c r="D3" s="5">
        <f>100*(C3-B3)/B3</f>
        <v>-3.0809116314892897</v>
      </c>
      <c r="E3">
        <f>Biogas!C12</f>
        <v>2.28785251</v>
      </c>
      <c r="F3">
        <f>BiogasOM!C12</f>
        <v>2.8872804599999999</v>
      </c>
      <c r="G3" s="5">
        <f>100*(F3-E3)/E3</f>
        <v>26.20046298351636</v>
      </c>
      <c r="H3">
        <f>Sep_C!C19</f>
        <v>2.0633974500000001</v>
      </c>
      <c r="I3">
        <f>SepCOM!C19</f>
        <v>2.3239574350000001</v>
      </c>
      <c r="J3" s="5">
        <f>100*(I3-H3)/H3</f>
        <v>12.627716729997898</v>
      </c>
      <c r="K3">
        <f>'N strip'!C18</f>
        <v>1.8079262899999999</v>
      </c>
      <c r="L3">
        <f>N_StripOM!C18</f>
        <v>2.003548989</v>
      </c>
      <c r="M3" s="5">
        <f>100*(L3-K3)/K3</f>
        <v>10.820280676376473</v>
      </c>
      <c r="N3">
        <f>Sep_S!C17</f>
        <v>2.0299883400000001</v>
      </c>
      <c r="O3">
        <f>SepSOM!C17</f>
        <v>2.3489466480000001</v>
      </c>
      <c r="P3" s="5">
        <f>100*(O3-N3)/N3</f>
        <v>15.712322170283993</v>
      </c>
      <c r="Q3">
        <f>Sep_S_C!C19</f>
        <v>2.1164523060000002</v>
      </c>
      <c r="R3">
        <f>Sep_S_COM!C19</f>
        <v>2.3842751569999998</v>
      </c>
      <c r="S3" s="5">
        <f>100*(R3-Q3)/Q3</f>
        <v>12.654329617574646</v>
      </c>
    </row>
    <row r="4" spans="1:19">
      <c r="A4" t="s">
        <v>2</v>
      </c>
      <c r="B4">
        <f>Baseline!D12</f>
        <v>9.8162819999999998E-2</v>
      </c>
      <c r="C4">
        <f>BaseOM!D12</f>
        <v>9.9434149999999999E-2</v>
      </c>
      <c r="D4" s="5">
        <f>100*(C4-B4)/B4</f>
        <v>1.2951237545946632</v>
      </c>
      <c r="E4">
        <f>Biogas!D12</f>
        <v>0.1001061</v>
      </c>
      <c r="F4">
        <f>BiogasOM!D12</f>
        <v>0.15008759999999999</v>
      </c>
      <c r="G4" s="5">
        <f>100*(F4-E4)/E4</f>
        <v>49.92852583409001</v>
      </c>
      <c r="H4">
        <f>Sep_C!D19</f>
        <v>9.9242293999999995E-2</v>
      </c>
      <c r="I4">
        <f>SepCOM!D19</f>
        <v>0.13114556250000001</v>
      </c>
      <c r="J4" s="5">
        <f>100*(I4-H4)/H4</f>
        <v>32.14684708920575</v>
      </c>
      <c r="K4">
        <f>'N strip'!D18</f>
        <v>0.10435172400000001</v>
      </c>
      <c r="L4">
        <f>N_StripOM!D18</f>
        <v>0.1375537325</v>
      </c>
      <c r="M4" s="5">
        <f>100*(L4-K4)/K4</f>
        <v>31.81740294007983</v>
      </c>
      <c r="N4">
        <f>Sep_S!D17</f>
        <v>9.9634852299999993E-2</v>
      </c>
      <c r="O4">
        <f>SepSOM!D17</f>
        <v>0.12994150470000002</v>
      </c>
      <c r="P4" s="5">
        <f>100*(O4-N4)/N4</f>
        <v>30.417722012320404</v>
      </c>
      <c r="Q4">
        <f>Sep_S_C!D19</f>
        <v>0.10382683299999999</v>
      </c>
      <c r="R4">
        <f>Sep_S_COM!D19</f>
        <v>0.13825697300000001</v>
      </c>
      <c r="S4" s="5">
        <f>100*(R4-Q4)/Q4</f>
        <v>33.16111934185647</v>
      </c>
    </row>
    <row r="5" spans="1:19">
      <c r="A5" t="s">
        <v>131</v>
      </c>
      <c r="B5">
        <f>Baseline!E12</f>
        <v>0.20123379999999999</v>
      </c>
      <c r="C5">
        <f>BaseOM!E12</f>
        <v>0.20383999999999999</v>
      </c>
      <c r="D5" s="5">
        <f>100*(C5-B5)/B5</f>
        <v>1.2951104635503594</v>
      </c>
      <c r="E5">
        <f>Biogas!E12</f>
        <v>0.1902016</v>
      </c>
      <c r="F5">
        <f>BiogasOM!E12</f>
        <v>0.26265339999999998</v>
      </c>
      <c r="G5" s="5">
        <f>100*(F5-E5)/E5</f>
        <v>38.092108583734301</v>
      </c>
      <c r="H5">
        <f>Sep_C!E19</f>
        <v>0.18861142799999997</v>
      </c>
      <c r="I5">
        <f>SepCOM!E19</f>
        <v>0.24961579800000003</v>
      </c>
      <c r="J5" s="5">
        <f>100*(I5-H5)/H5</f>
        <v>32.343941534656146</v>
      </c>
      <c r="K5">
        <f>'N strip'!E18</f>
        <v>0.15545163799999998</v>
      </c>
      <c r="L5">
        <f>N_StripOM!E18</f>
        <v>0.26179132799999999</v>
      </c>
      <c r="M5" s="5">
        <f>100*(L5-K5)/K5</f>
        <v>68.406927947584592</v>
      </c>
      <c r="N5">
        <f>Sep_S!E17</f>
        <v>0.189344286</v>
      </c>
      <c r="O5">
        <f>SepSOM!E17</f>
        <v>0.27764891000000003</v>
      </c>
      <c r="P5" s="5">
        <f>100*(O5-N5)/N5</f>
        <v>46.637068308467477</v>
      </c>
      <c r="Q5">
        <f>Sep_S_C!E19</f>
        <v>0.21074909999999999</v>
      </c>
      <c r="R5">
        <f>Sep_S_COM!E19</f>
        <v>0.34934207</v>
      </c>
      <c r="S5" s="5">
        <f>100*(R5-Q5)/Q5</f>
        <v>65.762069683808861</v>
      </c>
    </row>
    <row r="6" spans="1:19">
      <c r="A6" t="s">
        <v>4</v>
      </c>
      <c r="B6">
        <f>Baseline!F12</f>
        <v>1.9387160000000001</v>
      </c>
      <c r="C6">
        <f>BaseOM!F12</f>
        <v>1.9638249999999999</v>
      </c>
      <c r="D6" s="5">
        <f t="shared" ref="D6:D8" si="0">100*(C6-B6)/B6</f>
        <v>1.2951355433183522</v>
      </c>
      <c r="E6">
        <f>Biogas!F12</f>
        <v>2.3524940000000001</v>
      </c>
      <c r="F6">
        <f>BiogasOM!F12</f>
        <v>3.6321210000000002</v>
      </c>
      <c r="G6" s="5">
        <f t="shared" ref="G6:G8" si="1">100*(F6-E6)/E6</f>
        <v>54.394485171906922</v>
      </c>
      <c r="H6">
        <f>Sep_C!F19</f>
        <v>1.8943216999999999</v>
      </c>
      <c r="I6">
        <f>SepCOM!F19</f>
        <v>2.5069800999999998</v>
      </c>
      <c r="J6" s="5">
        <f t="shared" ref="J6:J8" si="2">100*(I6-H6)/H6</f>
        <v>32.341835074792208</v>
      </c>
      <c r="K6">
        <f>'N strip'!F18</f>
        <v>2.0406545999999999</v>
      </c>
      <c r="L6">
        <f>N_StripOM!F18</f>
        <v>2.6900443000000003</v>
      </c>
      <c r="M6" s="5">
        <f t="shared" ref="M6:M8" si="3">100*(L6-K6)/K6</f>
        <v>31.822617115115925</v>
      </c>
      <c r="N6">
        <f>Sep_S!F17</f>
        <v>1.9541096</v>
      </c>
      <c r="O6">
        <f>SepSOM!F17</f>
        <v>2.5541317000000001</v>
      </c>
      <c r="P6" s="5">
        <f t="shared" ref="P6:P8" si="4">100*(O6-N6)/N6</f>
        <v>30.705652333932555</v>
      </c>
      <c r="Q6">
        <f>Sep_S_C!F19</f>
        <v>1.9260975</v>
      </c>
      <c r="R6">
        <f>Sep_S_COM!F19</f>
        <v>2.5470213000000004</v>
      </c>
      <c r="S6" s="5">
        <f>100*(R6-Q6)/Q6</f>
        <v>32.237402312188266</v>
      </c>
    </row>
    <row r="7" spans="1:19">
      <c r="A7" t="s">
        <v>5</v>
      </c>
      <c r="B7">
        <f>Baseline!G12</f>
        <v>2.5227840000000001</v>
      </c>
      <c r="C7">
        <f>BaseOM!G12</f>
        <v>2.5554579999999998</v>
      </c>
      <c r="D7" s="5">
        <f t="shared" si="0"/>
        <v>1.2951564620672893</v>
      </c>
      <c r="E7">
        <f>Biogas!G12</f>
        <v>2.4025470000000002</v>
      </c>
      <c r="F7">
        <f>BiogasOM!G12</f>
        <v>3.6696430000000002</v>
      </c>
      <c r="G7" s="5">
        <f t="shared" si="1"/>
        <v>52.739696663582436</v>
      </c>
      <c r="H7">
        <f>Sep_C!G19</f>
        <v>2.5634619000000001</v>
      </c>
      <c r="I7">
        <f>SepCOM!G19</f>
        <v>3.3787949999999998</v>
      </c>
      <c r="J7" s="5">
        <f t="shared" si="2"/>
        <v>31.805937899837705</v>
      </c>
      <c r="K7">
        <f>'N strip'!G18</f>
        <v>2.8795052999999999</v>
      </c>
      <c r="L7">
        <f>N_StripOM!G18</f>
        <v>3.7720372000000002</v>
      </c>
      <c r="M7" s="5">
        <f t="shared" si="3"/>
        <v>30.996015183580329</v>
      </c>
      <c r="N7">
        <f>Sep_S!G17</f>
        <v>2.6566223999999998</v>
      </c>
      <c r="O7">
        <f>SepSOM!G17</f>
        <v>3.4650553999999998</v>
      </c>
      <c r="P7" s="5">
        <f t="shared" si="4"/>
        <v>30.43085837114074</v>
      </c>
      <c r="Q7">
        <f>Sep_S_C!G19</f>
        <v>2.6149472</v>
      </c>
      <c r="R7">
        <f>Sep_S_COM!G19</f>
        <v>3.4387555000000001</v>
      </c>
      <c r="S7" s="5">
        <f t="shared" ref="S7:S8" si="5">100*(R7-Q7)/Q7</f>
        <v>31.503821568557868</v>
      </c>
    </row>
    <row r="8" spans="1:19">
      <c r="A8" t="s">
        <v>6</v>
      </c>
      <c r="B8">
        <f>Baseline!H12</f>
        <v>0.14724419999999999</v>
      </c>
      <c r="C8">
        <f>BaseOM!H12</f>
        <v>0.14915120000000001</v>
      </c>
      <c r="D8" s="5">
        <f t="shared" si="0"/>
        <v>1.2951274141867863</v>
      </c>
      <c r="E8">
        <f>Biogas!H12</f>
        <v>-4.004245E-2</v>
      </c>
      <c r="F8">
        <f>BiogasOM!H12</f>
        <v>-0.2101227</v>
      </c>
      <c r="G8" s="5">
        <f t="shared" si="1"/>
        <v>424.74985921191137</v>
      </c>
      <c r="H8">
        <f>Sep_C!H19</f>
        <v>0.16237168000000002</v>
      </c>
      <c r="I8">
        <f>SepCOM!H19</f>
        <v>0.27237267999999998</v>
      </c>
      <c r="J8" s="5">
        <f t="shared" si="2"/>
        <v>67.746419819022591</v>
      </c>
      <c r="K8">
        <f>'N strip'!H18</f>
        <v>-1.6484275999999992E-2</v>
      </c>
      <c r="L8">
        <f>N_StripOM!H18</f>
        <v>-2.1099399999999768E-3</v>
      </c>
      <c r="M8" s="5">
        <f t="shared" si="3"/>
        <v>-87.200287109970873</v>
      </c>
      <c r="N8">
        <f>Sep_S!H17</f>
        <v>4.1706159999999992E-2</v>
      </c>
      <c r="O8">
        <f>SepSOM!H17</f>
        <v>8.7142050000000013E-2</v>
      </c>
      <c r="P8" s="5">
        <f t="shared" si="4"/>
        <v>108.94287558480576</v>
      </c>
      <c r="Q8">
        <f>Sep_S_C!H19</f>
        <v>7.2256760000000003E-2</v>
      </c>
      <c r="R8">
        <f>Sep_S_COM!H19</f>
        <v>9.9113499999999993E-2</v>
      </c>
      <c r="S8" s="5">
        <f t="shared" si="5"/>
        <v>37.168480845252382</v>
      </c>
    </row>
    <row r="9" spans="1:19">
      <c r="A9" t="s">
        <v>17</v>
      </c>
      <c r="B9" s="2">
        <f>Baseline!K21+Baseline!K23</f>
        <v>3.2990370000000002</v>
      </c>
      <c r="C9" s="2">
        <f>BaseOM!K21+BaseOM!K23</f>
        <v>2.7738010000000002</v>
      </c>
      <c r="D9" s="5">
        <f>100*(C9-B9)/B9</f>
        <v>-15.920888428956692</v>
      </c>
      <c r="E9">
        <f>Biogas!K21+Biogas!K25</f>
        <v>3.8647499999999999</v>
      </c>
      <c r="F9">
        <f>BiogasOM!K21+BiogasOM!K25</f>
        <v>1.8547248000000001</v>
      </c>
      <c r="G9" s="5">
        <f>100*(F9-E9)/E9</f>
        <v>-52.00919076266252</v>
      </c>
      <c r="H9">
        <f>Sep_C!M27+Sep_C!M29+Sep_C!N31</f>
        <v>2.8702746000000001</v>
      </c>
      <c r="I9">
        <f>SepCOM!M27+SepCOM!M29+SepCOM!N31</f>
        <v>3.3999994</v>
      </c>
      <c r="J9" s="5">
        <f>100*(I9-H9)/H9</f>
        <v>18.45554428834091</v>
      </c>
      <c r="K9">
        <f>'N strip'!K28+'N strip'!K30+'N strip'!L32</f>
        <v>2.1913033</v>
      </c>
      <c r="L9">
        <f>N_StripOM!K28+N_StripOM!K30+N_StripOM!L32</f>
        <v>1.9582644</v>
      </c>
      <c r="M9" s="5">
        <f>100*(L9-K9)/K9</f>
        <v>-10.634716791600686</v>
      </c>
      <c r="N9" s="2">
        <f>Sep_S!M25+Sep_S!M27+Sep_S!N29</f>
        <v>3.1300059999999998</v>
      </c>
      <c r="O9">
        <f>SepSOM!M25+SepSOM!M27+SepSOM!N29</f>
        <v>4.0634177000000005</v>
      </c>
      <c r="P9" s="5">
        <f>100*(O9-N9)/N9</f>
        <v>29.821402898269227</v>
      </c>
      <c r="Q9">
        <f>Sep_S_C!N31</f>
        <v>2.0930116000000001</v>
      </c>
      <c r="R9">
        <f>Sep_S_COM!N31</f>
        <v>3.681451</v>
      </c>
      <c r="S9" s="5">
        <f>100*(R9-Q9)/Q9</f>
        <v>75.892527303718722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G5" sqref="G5"/>
    </sheetView>
  </sheetViews>
  <sheetFormatPr defaultRowHeight="15"/>
  <sheetData>
    <row r="1" spans="1:4">
      <c r="B1" t="s">
        <v>103</v>
      </c>
      <c r="C1" t="s">
        <v>112</v>
      </c>
      <c r="D1" t="s">
        <v>36</v>
      </c>
    </row>
    <row r="2" spans="1:4">
      <c r="A2" t="s">
        <v>1</v>
      </c>
      <c r="B2">
        <f>Baseline!C12</f>
        <v>2.06326528</v>
      </c>
      <c r="C2">
        <f>BaseNoCover!C12</f>
        <v>2.8423642</v>
      </c>
      <c r="D2" s="5">
        <f>100*(C2-B2)/B2</f>
        <v>37.760482258490775</v>
      </c>
    </row>
    <row r="3" spans="1:4">
      <c r="A3" t="s">
        <v>2</v>
      </c>
      <c r="B3">
        <f>Baseline!D12</f>
        <v>9.8162819999999998E-2</v>
      </c>
      <c r="C3">
        <f>BaseNoCover!D12</f>
        <v>0.11934</v>
      </c>
      <c r="D3" s="5">
        <f>100*(C3-B3)/B3</f>
        <v>21.5735244769863</v>
      </c>
    </row>
    <row r="4" spans="1:4">
      <c r="A4" t="s">
        <v>131</v>
      </c>
      <c r="B4">
        <f>Baseline!E12</f>
        <v>0.20123379999999999</v>
      </c>
      <c r="C4">
        <f>BaseNoCover!E12</f>
        <v>0.24464710000000001</v>
      </c>
      <c r="D4" s="5">
        <f>100*(C4-B4)/B4</f>
        <v>21.573562691754578</v>
      </c>
    </row>
    <row r="5" spans="1:4">
      <c r="A5" t="s">
        <v>4</v>
      </c>
      <c r="B5">
        <f>Baseline!F12</f>
        <v>1.9387160000000001</v>
      </c>
      <c r="C5">
        <f>BaseNoCover!F12</f>
        <v>2.3569659999999999</v>
      </c>
      <c r="D5" s="5">
        <f t="shared" ref="D5:D7" si="0">100*(C5-B5)/B5</f>
        <v>21.573556931494856</v>
      </c>
    </row>
    <row r="6" spans="1:4">
      <c r="A6" t="s">
        <v>5</v>
      </c>
      <c r="B6">
        <f>Baseline!G12</f>
        <v>2.5227840000000001</v>
      </c>
      <c r="C6">
        <f>BaseNoCover!G12</f>
        <v>3.0670389999999998</v>
      </c>
      <c r="D6" s="5">
        <f t="shared" si="0"/>
        <v>21.573586957900467</v>
      </c>
    </row>
    <row r="7" spans="1:4">
      <c r="A7" t="s">
        <v>6</v>
      </c>
      <c r="B7">
        <f>Baseline!H12</f>
        <v>0.14724419999999999</v>
      </c>
      <c r="C7">
        <f>BaseNoCover!H12</f>
        <v>0.17901010000000001</v>
      </c>
      <c r="D7" s="5">
        <f t="shared" si="0"/>
        <v>21.573617161151351</v>
      </c>
    </row>
    <row r="8" spans="1:4">
      <c r="A8" t="s">
        <v>17</v>
      </c>
      <c r="B8" s="2">
        <f>Baseline!K21+Baseline!K23</f>
        <v>3.2990370000000002</v>
      </c>
      <c r="C8">
        <f>BaseNoCover!K21+BaseNoCover!K23</f>
        <v>3.2990370000000002</v>
      </c>
      <c r="D8" s="5">
        <f>100*(C8-B8)/B8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E9" sqref="E9"/>
    </sheetView>
  </sheetViews>
  <sheetFormatPr defaultRowHeight="15"/>
  <sheetData>
    <row r="1" spans="1:10">
      <c r="A1" t="s">
        <v>97</v>
      </c>
    </row>
    <row r="2" spans="1:10">
      <c r="B2" t="s">
        <v>104</v>
      </c>
      <c r="C2" t="s">
        <v>113</v>
      </c>
      <c r="D2" t="s">
        <v>36</v>
      </c>
      <c r="E2" t="s">
        <v>106</v>
      </c>
      <c r="F2" t="s">
        <v>114</v>
      </c>
      <c r="G2" t="s">
        <v>36</v>
      </c>
      <c r="H2" t="s">
        <v>9</v>
      </c>
      <c r="I2" t="s">
        <v>130</v>
      </c>
      <c r="J2" t="s">
        <v>36</v>
      </c>
    </row>
    <row r="3" spans="1:10">
      <c r="A3" t="s">
        <v>1</v>
      </c>
      <c r="B3">
        <f>Sep_C!C19</f>
        <v>2.0633974500000001</v>
      </c>
      <c r="C3">
        <f>Sep_CPS!C19</f>
        <v>2.1140048</v>
      </c>
      <c r="D3" s="5">
        <f>100*(C3-B3)/B3</f>
        <v>2.4526224940328358</v>
      </c>
      <c r="E3">
        <f>Sep_S!C17</f>
        <v>2.0299883400000001</v>
      </c>
      <c r="F3">
        <f>SepSPS!C17</f>
        <v>2.4367969600000001</v>
      </c>
      <c r="G3" s="5">
        <f>100*(F3-E3)/E3</f>
        <v>20.039948603842721</v>
      </c>
      <c r="H3">
        <f>Sep_S_C!C19</f>
        <v>2.1164523060000002</v>
      </c>
      <c r="I3">
        <f>CompPS!C19</f>
        <v>2.4100184869999999</v>
      </c>
      <c r="J3" s="5">
        <f>100*(I3-H3)/H3</f>
        <v>13.870673114993389</v>
      </c>
    </row>
    <row r="4" spans="1:10">
      <c r="A4" t="s">
        <v>2</v>
      </c>
      <c r="B4">
        <f>Sep_C!D19</f>
        <v>9.9242293999999995E-2</v>
      </c>
      <c r="C4">
        <f>Sep_CPS!D19</f>
        <v>0.13488069</v>
      </c>
      <c r="D4" s="5">
        <f>100*(C4-B4)/B4</f>
        <v>35.91049195215097</v>
      </c>
      <c r="E4">
        <f>Sep_S!D17</f>
        <v>9.9634852299999993E-2</v>
      </c>
      <c r="F4">
        <f>SepSPS!D17</f>
        <v>0.16028758999999998</v>
      </c>
      <c r="G4" s="5">
        <f>100*(F4-E4)/E4</f>
        <v>60.87502144066508</v>
      </c>
      <c r="H4">
        <f>Sep_S_C!D19</f>
        <v>0.10382683299999999</v>
      </c>
      <c r="I4">
        <f>CompPS!D19</f>
        <v>0.19790036</v>
      </c>
      <c r="J4" s="5">
        <f>100*(I4-H4)/H4</f>
        <v>90.606179810955041</v>
      </c>
    </row>
    <row r="5" spans="1:10">
      <c r="A5" t="s">
        <v>131</v>
      </c>
      <c r="B5">
        <f>Sep_C!E19</f>
        <v>0.18861142799999997</v>
      </c>
      <c r="C5">
        <f>Sep_CPS!E19</f>
        <v>0.26028739000000001</v>
      </c>
      <c r="D5" s="5">
        <f>100*(C5-B5)/B5</f>
        <v>38.001918950531483</v>
      </c>
      <c r="E5">
        <f>Sep_S!E17</f>
        <v>0.189344286</v>
      </c>
      <c r="F5">
        <f>SepSPS!E17</f>
        <v>0.30792574</v>
      </c>
      <c r="G5" s="5">
        <f>100*(F5-E5)/E5</f>
        <v>62.627426739458087</v>
      </c>
      <c r="H5">
        <f>Sep_S_C!E19</f>
        <v>0.21074909999999999</v>
      </c>
      <c r="I5">
        <f>CompPS!E19</f>
        <v>0.53115797999999992</v>
      </c>
      <c r="J5" s="5">
        <f>100*(I5-H5)/H5</f>
        <v>152.03333252668691</v>
      </c>
    </row>
    <row r="6" spans="1:10">
      <c r="A6" t="s">
        <v>4</v>
      </c>
      <c r="B6">
        <f>Sep_C!F19</f>
        <v>1.8943216999999999</v>
      </c>
      <c r="C6">
        <f>Sep_CPS!F19</f>
        <v>1.8386635999999998</v>
      </c>
      <c r="D6" s="5">
        <f t="shared" ref="D6:D8" si="0">100*(C6-B6)/B6</f>
        <v>-2.9381545911658007</v>
      </c>
      <c r="E6">
        <f>Sep_S!F17</f>
        <v>1.9541096</v>
      </c>
      <c r="F6">
        <f>SepSPS!F17</f>
        <v>2.5003440000000001</v>
      </c>
      <c r="G6" s="5">
        <f t="shared" ref="G6:G8" si="1">100*(F6-E6)/E6</f>
        <v>27.95310969251674</v>
      </c>
      <c r="H6">
        <f>Sep_S_C!F19</f>
        <v>1.9260975</v>
      </c>
      <c r="I6">
        <f>CompPS!F19</f>
        <v>2.4566514000000002</v>
      </c>
      <c r="J6" s="5">
        <f t="shared" ref="J6:J8" si="2">100*(I6-H6)/H6</f>
        <v>27.54553702499485</v>
      </c>
    </row>
    <row r="7" spans="1:10">
      <c r="A7" t="s">
        <v>5</v>
      </c>
      <c r="B7">
        <f>Sep_C!G19</f>
        <v>2.5634619000000001</v>
      </c>
      <c r="C7">
        <f>Sep_CPS!G19</f>
        <v>2.4905363</v>
      </c>
      <c r="D7" s="5">
        <f t="shared" si="0"/>
        <v>-2.8448092011821995</v>
      </c>
      <c r="E7">
        <f>Sep_S!G17</f>
        <v>2.6566223999999998</v>
      </c>
      <c r="F7">
        <f>SepSPS!G17</f>
        <v>3.3947786</v>
      </c>
      <c r="G7" s="5">
        <f t="shared" si="1"/>
        <v>27.785514418609139</v>
      </c>
      <c r="H7">
        <f>Sep_S_C!G19</f>
        <v>2.6149472</v>
      </c>
      <c r="I7">
        <f>CompPS!G19</f>
        <v>3.3254220000000001</v>
      </c>
      <c r="J7" s="5">
        <f t="shared" si="2"/>
        <v>27.169757003124197</v>
      </c>
    </row>
    <row r="8" spans="1:10">
      <c r="A8" t="s">
        <v>6</v>
      </c>
      <c r="B8">
        <f>Sep_C!H19</f>
        <v>0.16237168000000002</v>
      </c>
      <c r="C8">
        <f>Sep_CPS!H19</f>
        <v>0.13303378000000002</v>
      </c>
      <c r="D8" s="5">
        <f t="shared" si="0"/>
        <v>-18.068360196802789</v>
      </c>
      <c r="E8">
        <f>Sep_S!H17</f>
        <v>4.1706159999999992E-2</v>
      </c>
      <c r="F8">
        <f>SepSPS!H17</f>
        <v>6.2733300000000006E-2</v>
      </c>
      <c r="G8" s="5">
        <f t="shared" si="1"/>
        <v>50.417348420473182</v>
      </c>
      <c r="H8">
        <f>Sep_S_C!H19</f>
        <v>7.2256760000000003E-2</v>
      </c>
      <c r="I8">
        <f>CompPS!H19</f>
        <v>3.4425700000000004E-2</v>
      </c>
      <c r="J8" s="5">
        <f t="shared" si="2"/>
        <v>-52.356430041978079</v>
      </c>
    </row>
    <row r="9" spans="1:10">
      <c r="A9" t="s">
        <v>17</v>
      </c>
      <c r="B9">
        <f>Sep_C!M27+Sep_C!M29+Sep_C!N31</f>
        <v>2.8702746000000001</v>
      </c>
      <c r="C9">
        <f>Sep_CPS!M27+Sep_CPS!M29+Sep_CPS!N31</f>
        <v>4.0757659999999998</v>
      </c>
      <c r="D9" s="5">
        <f>100*(C9-B9)/B9</f>
        <v>41.999166212180519</v>
      </c>
      <c r="E9" s="2">
        <f>Sep_S!M25+Sep_S!M27+Sep_S!N29</f>
        <v>3.1300059999999998</v>
      </c>
      <c r="F9">
        <f>SepSPS!M25+SepSPS!M27+SepSPS!N29</f>
        <v>4.9088156000000005</v>
      </c>
      <c r="G9" s="5">
        <f>100*(F9-E9)/E9</f>
        <v>56.830868694820417</v>
      </c>
      <c r="H9">
        <f>Sep_S_C!N31</f>
        <v>2.0930116000000001</v>
      </c>
      <c r="I9">
        <f>CompPS!N31</f>
        <v>22.50273</v>
      </c>
      <c r="J9" s="5">
        <f>100*(I9-H9)/H9</f>
        <v>975.13642064860028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F8" sqref="F8"/>
    </sheetView>
  </sheetViews>
  <sheetFormatPr defaultRowHeight="15"/>
  <sheetData>
    <row r="1" spans="1:4">
      <c r="B1" t="s">
        <v>105</v>
      </c>
      <c r="C1" t="s">
        <v>134</v>
      </c>
      <c r="D1" t="s">
        <v>36</v>
      </c>
    </row>
    <row r="2" spans="1:4">
      <c r="A2" t="s">
        <v>1</v>
      </c>
      <c r="B2">
        <f>'N strip'!C18</f>
        <v>1.8079262899999999</v>
      </c>
      <c r="C2">
        <f>NStrip99!C18</f>
        <v>1.690949738</v>
      </c>
      <c r="D2" s="5">
        <f>100*(C2-B2)/B2</f>
        <v>-6.4702058179595303</v>
      </c>
    </row>
    <row r="3" spans="1:4">
      <c r="A3" t="s">
        <v>2</v>
      </c>
      <c r="B3">
        <f>'N strip'!D18</f>
        <v>0.10435172400000001</v>
      </c>
      <c r="C3">
        <f>NStrip99!D18</f>
        <v>0.106691244</v>
      </c>
      <c r="D3" s="5">
        <f t="shared" ref="D3:D8" si="0">100*(C3-B3)/B3</f>
        <v>2.2419562517242144</v>
      </c>
    </row>
    <row r="4" spans="1:4">
      <c r="A4" t="s">
        <v>131</v>
      </c>
      <c r="B4">
        <f>'N strip'!E18</f>
        <v>0.15545163799999998</v>
      </c>
      <c r="C4">
        <f>NStrip99!E18</f>
        <v>0.15837215799999999</v>
      </c>
      <c r="D4" s="5">
        <f t="shared" si="0"/>
        <v>1.8787322138091658</v>
      </c>
    </row>
    <row r="5" spans="1:4">
      <c r="A5" t="s">
        <v>4</v>
      </c>
      <c r="B5">
        <f>'N strip'!F18</f>
        <v>2.0406545999999999</v>
      </c>
      <c r="C5">
        <f>NStrip99!F18</f>
        <v>2.0895545000000002</v>
      </c>
      <c r="D5" s="5">
        <f t="shared" si="0"/>
        <v>2.3962849960008095</v>
      </c>
    </row>
    <row r="6" spans="1:4">
      <c r="A6" t="s">
        <v>5</v>
      </c>
      <c r="B6">
        <f>'N strip'!G18</f>
        <v>2.8795052999999999</v>
      </c>
      <c r="C6">
        <f>NStrip99!G18</f>
        <v>2.9504098999999999</v>
      </c>
      <c r="D6" s="5">
        <f t="shared" si="0"/>
        <v>2.4623882442584839</v>
      </c>
    </row>
    <row r="7" spans="1:4">
      <c r="A7" t="s">
        <v>6</v>
      </c>
      <c r="B7">
        <f>'N strip'!H18</f>
        <v>-1.6484275999999992E-2</v>
      </c>
      <c r="C7">
        <f>NStrip99!H18</f>
        <v>-2.4571489999999974E-2</v>
      </c>
      <c r="D7" s="5">
        <f t="shared" si="0"/>
        <v>49.060171038145597</v>
      </c>
    </row>
    <row r="8" spans="1:4">
      <c r="A8" t="s">
        <v>17</v>
      </c>
      <c r="B8">
        <f>'N strip'!L32</f>
        <v>0.40183059999999998</v>
      </c>
      <c r="C8" s="2">
        <f>NStrip99!L32</f>
        <v>0.40183059999999998</v>
      </c>
      <c r="D8" s="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7"/>
  <sheetViews>
    <sheetView workbookViewId="0">
      <selection activeCell="O25" sqref="O25"/>
    </sheetView>
  </sheetViews>
  <sheetFormatPr defaultRowHeight="15"/>
  <sheetData>
    <row r="1" spans="1:17">
      <c r="A1" s="13" t="s">
        <v>29</v>
      </c>
      <c r="J1" s="1"/>
      <c r="K1" s="1"/>
    </row>
    <row r="2" spans="1:17">
      <c r="A2" t="s">
        <v>25</v>
      </c>
      <c r="B2">
        <f>[4]Pig!C4</f>
        <v>11.712160000000001</v>
      </c>
      <c r="J2" s="1"/>
      <c r="K2" s="1"/>
    </row>
    <row r="3" spans="1:17">
      <c r="A3" t="s">
        <v>26</v>
      </c>
      <c r="B3">
        <f>[4]Pig!E6+[4]Pig!E7</f>
        <v>6.971406</v>
      </c>
      <c r="J3" s="1" t="s">
        <v>30</v>
      </c>
      <c r="K3" s="1"/>
      <c r="Q3" t="s">
        <v>2</v>
      </c>
    </row>
    <row r="4" spans="1:1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s="1" t="s">
        <v>27</v>
      </c>
      <c r="K4" s="1" t="s">
        <v>43</v>
      </c>
      <c r="Q4" t="s">
        <v>36</v>
      </c>
    </row>
    <row r="5" spans="1:17">
      <c r="A5" t="s">
        <v>13</v>
      </c>
      <c r="B5">
        <f>[4]Pig!D5</f>
        <v>4.7407529999999998</v>
      </c>
      <c r="C5">
        <f>[4]House!D7</f>
        <v>1.337172</v>
      </c>
      <c r="J5" s="1">
        <f>C5</f>
        <v>1.337172</v>
      </c>
      <c r="K5" s="1">
        <f>100*J5/$J$19</f>
        <v>31.495678918121744</v>
      </c>
    </row>
    <row r="6" spans="1:17">
      <c r="J6" s="1"/>
      <c r="K6" s="1"/>
    </row>
    <row r="7" spans="1:17">
      <c r="A7" t="s">
        <v>39</v>
      </c>
      <c r="C7">
        <f>[4]Prestorage!D8</f>
        <v>0</v>
      </c>
      <c r="D7">
        <f>[4]Prestorage!D7</f>
        <v>0</v>
      </c>
      <c r="E7">
        <f>[4]Prestorage!D6</f>
        <v>0</v>
      </c>
      <c r="J7" s="1">
        <f>SUM(B7:H7)</f>
        <v>0</v>
      </c>
      <c r="K7" s="1">
        <f>100*J7/$J$19</f>
        <v>0</v>
      </c>
    </row>
    <row r="8" spans="1:17">
      <c r="J8" s="1"/>
      <c r="K8" s="1"/>
      <c r="M8" t="s">
        <v>59</v>
      </c>
      <c r="N8" t="s">
        <v>55</v>
      </c>
    </row>
    <row r="9" spans="1:17">
      <c r="A9" t="s">
        <v>14</v>
      </c>
      <c r="J9" s="1"/>
      <c r="K9" s="1"/>
      <c r="M9" t="s">
        <v>60</v>
      </c>
    </row>
    <row r="10" spans="1:17">
      <c r="A10" t="s">
        <v>24</v>
      </c>
      <c r="C10">
        <f>[4]Storage!D8</f>
        <v>4.7201760000000002E-2</v>
      </c>
      <c r="D10">
        <f>[4]Storage!D7</f>
        <v>0</v>
      </c>
      <c r="E10">
        <f>[4]Storage!D6</f>
        <v>0</v>
      </c>
      <c r="J10" s="1"/>
      <c r="K10" s="1"/>
      <c r="L10" t="s">
        <v>61</v>
      </c>
      <c r="M10">
        <f>[4]Storage!E9+[4]Storage!E11</f>
        <v>4.0736954000000001</v>
      </c>
      <c r="N10">
        <f>[4]Storage!E13</f>
        <v>0.3342658</v>
      </c>
    </row>
    <row r="11" spans="1:17">
      <c r="A11" t="s">
        <v>40</v>
      </c>
      <c r="C11">
        <f>[4]Storage!J8</f>
        <v>1.91639E-3</v>
      </c>
      <c r="D11">
        <f>[4]Storage!J7</f>
        <v>1.149834E-3</v>
      </c>
      <c r="E11">
        <f>[4]Storage!J6</f>
        <v>2.2357879999999998E-3</v>
      </c>
      <c r="J11" s="1"/>
      <c r="K11" s="1"/>
      <c r="L11" t="s">
        <v>40</v>
      </c>
      <c r="M11">
        <f>[4]Storage!K9+[4]Storage!K11</f>
        <v>1.5080350999999999</v>
      </c>
      <c r="N11">
        <f>[4]Storage!K13</f>
        <v>0.81837499999999996</v>
      </c>
    </row>
    <row r="12" spans="1:17">
      <c r="A12" t="s">
        <v>44</v>
      </c>
      <c r="C12">
        <f>C10+C11</f>
        <v>4.9118149999999999E-2</v>
      </c>
      <c r="D12">
        <f>D10+D11</f>
        <v>1.149834E-3</v>
      </c>
      <c r="E12">
        <f>E10+E11</f>
        <v>2.2357879999999998E-3</v>
      </c>
      <c r="J12" s="1">
        <f>SUM(B12:H12)</f>
        <v>5.2503772000000004E-2</v>
      </c>
      <c r="K12" s="1">
        <f>100*J12/$J$19</f>
        <v>1.236671082629812</v>
      </c>
      <c r="Q12">
        <f>100*D12/$D$19</f>
        <v>1.1586128793032535</v>
      </c>
    </row>
    <row r="13" spans="1:17">
      <c r="J13" s="1"/>
      <c r="K13" s="1"/>
    </row>
    <row r="14" spans="1:17">
      <c r="A14" t="s">
        <v>15</v>
      </c>
      <c r="J14" s="1"/>
      <c r="K14" s="1"/>
    </row>
    <row r="15" spans="1:17">
      <c r="A15" t="s">
        <v>24</v>
      </c>
      <c r="C15">
        <f>[4]Field!D7</f>
        <v>0.43004439999999999</v>
      </c>
      <c r="D15">
        <f>[4]Field!D8</f>
        <v>7.2873019999999997E-2</v>
      </c>
      <c r="E15">
        <f>[4]Field!D9</f>
        <v>0.13845869999999999</v>
      </c>
      <c r="F15">
        <f>[4]Field!D10</f>
        <v>1.475679</v>
      </c>
      <c r="G15">
        <f>[4]Field!E11</f>
        <v>2.014939</v>
      </c>
      <c r="H15">
        <f>[4]Field!E12</f>
        <v>-5.8298419999999997E-2</v>
      </c>
      <c r="J15" s="1"/>
      <c r="K15" s="1"/>
    </row>
    <row r="16" spans="1:17">
      <c r="A16" t="s">
        <v>40</v>
      </c>
      <c r="C16">
        <f>[4]Field!J7</f>
        <v>0.2470629</v>
      </c>
      <c r="D16">
        <f>[4]Field!J8</f>
        <v>2.5219439999999999E-2</v>
      </c>
      <c r="E16">
        <f>[4]Field!J9</f>
        <v>4.7916939999999998E-2</v>
      </c>
      <c r="F16">
        <f>[4]Field!J10</f>
        <v>0.41864269999999998</v>
      </c>
      <c r="G16">
        <f>[4]Field!K11</f>
        <v>0.54852290000000004</v>
      </c>
      <c r="H16">
        <f>[4]Field!K12</f>
        <v>0.22067010000000001</v>
      </c>
      <c r="J16" s="1"/>
      <c r="K16" s="1"/>
    </row>
    <row r="17" spans="1:17">
      <c r="A17" t="s">
        <v>44</v>
      </c>
      <c r="C17">
        <f t="shared" ref="C17:H17" si="0">C15+C16</f>
        <v>0.67710729999999997</v>
      </c>
      <c r="D17">
        <f t="shared" si="0"/>
        <v>9.8092459999999992E-2</v>
      </c>
      <c r="E17">
        <f t="shared" si="0"/>
        <v>0.18637563999999998</v>
      </c>
      <c r="F17">
        <f t="shared" si="0"/>
        <v>1.8943216999999999</v>
      </c>
      <c r="G17">
        <f t="shared" si="0"/>
        <v>2.5634619000000001</v>
      </c>
      <c r="H17">
        <f t="shared" si="0"/>
        <v>0.16237168000000002</v>
      </c>
      <c r="J17" s="1">
        <f>SUM(B17:F17)</f>
        <v>2.8558971</v>
      </c>
      <c r="K17" s="1">
        <f>100*J17/$J$19</f>
        <v>67.267649999248434</v>
      </c>
      <c r="Q17">
        <f>100*D17/$D$19</f>
        <v>98.841387120696751</v>
      </c>
    </row>
    <row r="18" spans="1:17">
      <c r="J18" s="1"/>
      <c r="K18" s="1"/>
    </row>
    <row r="19" spans="1:17">
      <c r="A19" t="s">
        <v>27</v>
      </c>
      <c r="B19">
        <f>SUM(B5:B16)</f>
        <v>4.7407529999999998</v>
      </c>
      <c r="C19">
        <f t="shared" ref="C19:H19" si="1">C5+C12+C17</f>
        <v>2.0633974500000001</v>
      </c>
      <c r="D19">
        <f t="shared" si="1"/>
        <v>9.9242293999999995E-2</v>
      </c>
      <c r="E19">
        <f t="shared" si="1"/>
        <v>0.18861142799999997</v>
      </c>
      <c r="F19">
        <f t="shared" si="1"/>
        <v>1.8943216999999999</v>
      </c>
      <c r="G19">
        <f t="shared" si="1"/>
        <v>2.5634619000000001</v>
      </c>
      <c r="H19">
        <f t="shared" si="1"/>
        <v>0.16237168000000002</v>
      </c>
      <c r="J19" s="1">
        <f>J5+J7+J12+J17</f>
        <v>4.2455728720000003</v>
      </c>
      <c r="K19" s="1"/>
    </row>
    <row r="20" spans="1:17">
      <c r="A20" t="s">
        <v>28</v>
      </c>
      <c r="B20" s="1"/>
      <c r="C20" s="1">
        <f>100*C19/$B$3</f>
        <v>29.598010071426049</v>
      </c>
      <c r="D20" s="1">
        <f t="shared" ref="D20:H20" si="2">100*D19/$B$3</f>
        <v>1.4235621049756677</v>
      </c>
      <c r="E20" s="1">
        <f t="shared" si="2"/>
        <v>2.7055005546944182</v>
      </c>
      <c r="F20" s="1">
        <f t="shared" si="2"/>
        <v>27.172735313364331</v>
      </c>
      <c r="G20" s="1">
        <f t="shared" si="2"/>
        <v>36.771088930984654</v>
      </c>
      <c r="H20" s="1">
        <f t="shared" si="2"/>
        <v>2.329109508182424</v>
      </c>
      <c r="I20" s="1">
        <f>SUM(B20:H20)</f>
        <v>100.00000648362754</v>
      </c>
      <c r="J20" s="1"/>
      <c r="K20" s="1"/>
    </row>
    <row r="21" spans="1:17">
      <c r="J21" s="1"/>
      <c r="K21" s="1"/>
    </row>
    <row r="22" spans="1:17">
      <c r="J22" s="1"/>
      <c r="K22" s="1"/>
    </row>
    <row r="23" spans="1:17">
      <c r="A23" s="13" t="s">
        <v>32</v>
      </c>
      <c r="I23" s="6" t="s">
        <v>33</v>
      </c>
      <c r="K23" s="1"/>
      <c r="M23" s="6" t="s">
        <v>17</v>
      </c>
      <c r="O23" t="s">
        <v>115</v>
      </c>
      <c r="Q23" t="s">
        <v>124</v>
      </c>
    </row>
    <row r="24" spans="1:17">
      <c r="B24" t="s">
        <v>34</v>
      </c>
      <c r="C24" t="s">
        <v>35</v>
      </c>
      <c r="D24" t="s">
        <v>34</v>
      </c>
      <c r="E24" t="s">
        <v>35</v>
      </c>
      <c r="F24" t="s">
        <v>36</v>
      </c>
      <c r="I24" t="s">
        <v>34</v>
      </c>
      <c r="J24" t="s">
        <v>35</v>
      </c>
      <c r="K24" s="1"/>
    </row>
    <row r="25" spans="1:17">
      <c r="A25" s="1" t="s">
        <v>26</v>
      </c>
      <c r="B25" s="1">
        <f>[4]Pig!E14</f>
        <v>52.845260000000003</v>
      </c>
      <c r="C25" s="1"/>
      <c r="D25" s="1">
        <f>B25</f>
        <v>52.845260000000003</v>
      </c>
      <c r="E25" s="1"/>
      <c r="F25" s="1"/>
      <c r="G25" s="1"/>
      <c r="I25" s="1">
        <f>[4]Pig!E22</f>
        <v>920.90800000000002</v>
      </c>
      <c r="J25" s="1"/>
      <c r="K25" s="1"/>
      <c r="O25">
        <f>[4]Pig!E17</f>
        <v>26.246739999999999</v>
      </c>
      <c r="Q25" s="1">
        <f>B25+I25+O25</f>
        <v>1000.0000000000001</v>
      </c>
    </row>
    <row r="26" spans="1:17">
      <c r="A26" s="1"/>
      <c r="B26" s="1"/>
      <c r="C26" s="1"/>
      <c r="D26" s="1"/>
      <c r="E26" s="1"/>
      <c r="F26" s="1"/>
      <c r="G26" s="1"/>
      <c r="I26" s="1"/>
      <c r="J26" s="1"/>
      <c r="K26" s="1"/>
    </row>
    <row r="27" spans="1:17">
      <c r="A27" s="1" t="s">
        <v>13</v>
      </c>
      <c r="B27" s="1"/>
      <c r="C27" s="1">
        <f>[4]House!D15</f>
        <v>9.7763729999999995</v>
      </c>
      <c r="D27" s="1"/>
      <c r="E27" s="1">
        <f>C27</f>
        <v>9.7763729999999995</v>
      </c>
      <c r="F27" s="1">
        <f>100*E27/$B$25</f>
        <v>18.499999810768269</v>
      </c>
      <c r="G27" s="1"/>
      <c r="I27" s="1">
        <f>[4]House!E18+[4]House!C19+[4]House!C20</f>
        <v>1116.4673150000001</v>
      </c>
      <c r="J27" s="1">
        <f>[4]House!D24</f>
        <v>0</v>
      </c>
      <c r="K27" s="1"/>
      <c r="M27">
        <f>[4]Sheet2!B23</f>
        <v>1.466456</v>
      </c>
    </row>
    <row r="28" spans="1:17">
      <c r="A28" s="1"/>
      <c r="B28" s="1"/>
      <c r="C28" s="1"/>
      <c r="D28" s="1"/>
      <c r="E28" s="1"/>
      <c r="F28" s="1"/>
      <c r="G28" s="1"/>
      <c r="I28" s="1"/>
      <c r="J28" s="1"/>
      <c r="K28" s="1"/>
    </row>
    <row r="29" spans="1:17">
      <c r="A29" s="1" t="s">
        <v>39</v>
      </c>
      <c r="B29" s="1"/>
      <c r="C29" s="1">
        <f>[4]Prestorage!D15</f>
        <v>2.1534439999999999</v>
      </c>
      <c r="D29" s="1"/>
      <c r="E29" s="1">
        <f>C29</f>
        <v>2.1534439999999999</v>
      </c>
      <c r="F29" s="1">
        <f>100*E29/$B$25</f>
        <v>4.0749993471505288</v>
      </c>
      <c r="G29" s="1"/>
      <c r="I29" s="1">
        <v>0</v>
      </c>
      <c r="J29" s="1">
        <v>0</v>
      </c>
      <c r="K29" s="1"/>
      <c r="M29">
        <f>[4]Sheet3!C20</f>
        <v>0.32301669999999999</v>
      </c>
    </row>
    <row r="30" spans="1:17">
      <c r="A30" s="1"/>
      <c r="B30" s="1"/>
      <c r="C30" s="1"/>
      <c r="D30" s="1"/>
      <c r="E30" s="1"/>
      <c r="F30" s="1"/>
      <c r="G30" s="1"/>
      <c r="I30" s="1"/>
      <c r="J30" s="1"/>
      <c r="K30" s="1"/>
    </row>
    <row r="31" spans="1:17">
      <c r="A31" s="14" t="s">
        <v>14</v>
      </c>
      <c r="B31" s="1"/>
      <c r="C31" s="1"/>
      <c r="D31" s="1"/>
      <c r="E31" s="1">
        <f>C32+C33</f>
        <v>4.6991379999999996</v>
      </c>
      <c r="F31" s="1">
        <f>100*E31/$B$25</f>
        <v>8.8922601572969828</v>
      </c>
      <c r="G31" s="1"/>
      <c r="I31" s="1"/>
      <c r="J31" s="1"/>
      <c r="K31" s="1"/>
      <c r="N31" s="2">
        <f>M32+M33</f>
        <v>1.0808019</v>
      </c>
    </row>
    <row r="32" spans="1:17">
      <c r="A32" s="1" t="s">
        <v>24</v>
      </c>
      <c r="B32" s="1"/>
      <c r="C32" s="1">
        <f>[4]Storage!D15</f>
        <v>2.9520490000000001</v>
      </c>
      <c r="D32" s="1"/>
      <c r="E32" s="1"/>
      <c r="F32" s="1"/>
      <c r="G32" s="1"/>
      <c r="I32" s="1">
        <f>[4]Storage!C22</f>
        <v>0</v>
      </c>
      <c r="J32" s="1">
        <f>[4]Storage!D23</f>
        <v>0</v>
      </c>
      <c r="K32" s="1"/>
      <c r="M32">
        <f>[4]Sheet4!C23</f>
        <v>0.67897130000000006</v>
      </c>
    </row>
    <row r="33" spans="1:13">
      <c r="A33" s="1" t="s">
        <v>40</v>
      </c>
      <c r="B33" s="1"/>
      <c r="C33" s="1">
        <f>[4]Storage!J15</f>
        <v>1.7470889999999999</v>
      </c>
      <c r="D33" s="1"/>
      <c r="E33" s="1"/>
      <c r="F33" s="1"/>
      <c r="G33" s="1"/>
      <c r="I33" s="1">
        <f>[4]Storage!J22</f>
        <v>0.49966759999999999</v>
      </c>
      <c r="J33" s="1">
        <f>[4]Storage!J23</f>
        <v>7.6458880000000002</v>
      </c>
      <c r="K33" s="1"/>
      <c r="M33">
        <f>[4]Sheet4!C27</f>
        <v>0.40183059999999998</v>
      </c>
    </row>
    <row r="34" spans="1:13">
      <c r="A34" s="1"/>
      <c r="B34" s="1"/>
      <c r="C34" s="1"/>
      <c r="D34" s="1"/>
      <c r="E34" s="1"/>
      <c r="F34" s="1"/>
      <c r="G34" s="1"/>
      <c r="H34" s="1"/>
      <c r="J34" s="1"/>
      <c r="K34" s="1"/>
    </row>
    <row r="35" spans="1:13">
      <c r="A35" s="14" t="s">
        <v>15</v>
      </c>
      <c r="B35" s="1"/>
      <c r="C35" s="1"/>
      <c r="D35" s="1"/>
      <c r="E35" s="1">
        <f>C36+C37</f>
        <v>33.316810000000004</v>
      </c>
      <c r="F35" s="1">
        <f>100*E35/$B$25</f>
        <v>63.045976119712542</v>
      </c>
      <c r="G35" s="1"/>
      <c r="H35" s="1"/>
      <c r="J35" s="1"/>
      <c r="K35" s="1"/>
    </row>
    <row r="36" spans="1:13">
      <c r="A36" s="1" t="s">
        <v>24</v>
      </c>
      <c r="B36" s="1"/>
      <c r="C36" s="1">
        <f>[4]Field!D18</f>
        <v>14.04602</v>
      </c>
      <c r="D36" s="1"/>
      <c r="E36" s="1"/>
      <c r="F36" s="1"/>
      <c r="G36" s="1"/>
      <c r="H36" s="1"/>
      <c r="J36" s="1"/>
      <c r="K36" s="1"/>
    </row>
    <row r="37" spans="1:13">
      <c r="A37" s="1" t="s">
        <v>40</v>
      </c>
      <c r="B37" s="1"/>
      <c r="C37" s="1">
        <f>[4]Field!J18</f>
        <v>19.270790000000002</v>
      </c>
      <c r="D37" s="1"/>
      <c r="E37" s="1"/>
      <c r="F37" s="1"/>
      <c r="G37" s="1"/>
      <c r="H37" s="1"/>
      <c r="J37" s="1"/>
      <c r="K37" s="1"/>
    </row>
    <row r="38" spans="1:13">
      <c r="A38" s="1"/>
      <c r="B38" s="1"/>
      <c r="C38" s="1"/>
      <c r="D38" s="1"/>
      <c r="E38" s="1"/>
      <c r="F38" s="1"/>
      <c r="G38" s="1"/>
      <c r="H38" s="1"/>
      <c r="J38" s="1"/>
      <c r="K38" s="1"/>
    </row>
    <row r="39" spans="1:13">
      <c r="A39" s="14" t="s">
        <v>6</v>
      </c>
      <c r="B39" s="1"/>
      <c r="C39" s="1"/>
      <c r="D39" s="1"/>
      <c r="E39" s="1">
        <f>C40+C41</f>
        <v>2.8994949999999999</v>
      </c>
      <c r="F39" s="1">
        <f>100*E39/$B$25</f>
        <v>5.4867645650716828</v>
      </c>
      <c r="G39" s="1"/>
      <c r="H39" s="1"/>
      <c r="J39" s="1"/>
      <c r="K39" s="1"/>
    </row>
    <row r="40" spans="1:13">
      <c r="A40" s="1" t="s">
        <v>24</v>
      </c>
      <c r="B40" s="1"/>
      <c r="C40" s="1">
        <f>[4]Field!E19</f>
        <v>-1.0410429999999999</v>
      </c>
      <c r="D40" s="1"/>
      <c r="E40" s="1"/>
      <c r="F40" s="1"/>
      <c r="G40" s="1"/>
      <c r="H40" s="1"/>
      <c r="J40" s="1"/>
      <c r="K40" s="1"/>
    </row>
    <row r="41" spans="1:13">
      <c r="A41" s="1" t="s">
        <v>40</v>
      </c>
      <c r="B41" s="1"/>
      <c r="C41" s="1">
        <f>[4]Field!K19</f>
        <v>3.9405380000000001</v>
      </c>
      <c r="D41" s="1"/>
      <c r="E41" s="1"/>
      <c r="F41" s="1"/>
      <c r="G41" s="1"/>
      <c r="H41" s="1"/>
      <c r="J41" s="1"/>
      <c r="K41" s="1"/>
    </row>
    <row r="42" spans="1:13">
      <c r="A42" s="1"/>
      <c r="B42" s="1"/>
      <c r="C42" s="1"/>
      <c r="D42" s="1"/>
      <c r="E42" s="1"/>
      <c r="F42" s="1"/>
      <c r="G42" s="1"/>
      <c r="H42" s="1"/>
      <c r="J42" s="1"/>
      <c r="K42" s="1"/>
    </row>
    <row r="43" spans="1:13">
      <c r="A43" s="1" t="s">
        <v>27</v>
      </c>
      <c r="B43" s="1">
        <f>SUM(B25:B41)</f>
        <v>52.845260000000003</v>
      </c>
      <c r="C43" s="1">
        <f>SUM(C25:C41)</f>
        <v>52.84526000000001</v>
      </c>
      <c r="D43" s="1"/>
      <c r="E43" s="1"/>
      <c r="F43" s="1">
        <f>SUM(F27:F39)</f>
        <v>100</v>
      </c>
      <c r="G43" s="1"/>
      <c r="H43" s="1"/>
      <c r="J43" s="1"/>
      <c r="K43" s="1"/>
    </row>
    <row r="44" spans="1:13">
      <c r="A44" s="1"/>
      <c r="B44" s="1"/>
      <c r="C44" s="1"/>
      <c r="D44" s="1"/>
      <c r="E44" s="1"/>
      <c r="F44" s="1"/>
      <c r="G44" s="1"/>
      <c r="H44" s="1"/>
      <c r="J44" s="1"/>
      <c r="K44" s="1"/>
    </row>
    <row r="45" spans="1:13">
      <c r="J45" s="1"/>
      <c r="K45" s="1"/>
    </row>
    <row r="46" spans="1:13">
      <c r="J46" s="1"/>
      <c r="K46" s="1"/>
    </row>
    <row r="47" spans="1:13">
      <c r="J47" s="1"/>
      <c r="K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7"/>
  <sheetViews>
    <sheetView workbookViewId="0">
      <selection activeCell="G31" sqref="G31"/>
    </sheetView>
  </sheetViews>
  <sheetFormatPr defaultRowHeight="15"/>
  <sheetData>
    <row r="1" spans="1:17">
      <c r="A1" s="6" t="s">
        <v>29</v>
      </c>
    </row>
    <row r="2" spans="1:17">
      <c r="A2" t="s">
        <v>18</v>
      </c>
    </row>
    <row r="3" spans="1:17">
      <c r="A3" t="s">
        <v>26</v>
      </c>
      <c r="C3">
        <f>[5]Pig!C27</f>
        <v>6.971406</v>
      </c>
      <c r="Q3" t="s">
        <v>36</v>
      </c>
    </row>
    <row r="4" spans="1:17">
      <c r="B4" t="s">
        <v>45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46</v>
      </c>
      <c r="J4" t="s">
        <v>27</v>
      </c>
      <c r="K4" t="s">
        <v>43</v>
      </c>
      <c r="Q4" t="s">
        <v>2</v>
      </c>
    </row>
    <row r="5" spans="1:17">
      <c r="A5" t="s">
        <v>13</v>
      </c>
      <c r="B5">
        <f>[5]Pig!D27</f>
        <v>4.7407529999999998</v>
      </c>
      <c r="C5">
        <f>[5]House!D7</f>
        <v>1.337172</v>
      </c>
      <c r="J5" s="1">
        <f>C5</f>
        <v>1.337172</v>
      </c>
      <c r="K5" s="1">
        <f>100*J5/$J$18</f>
        <v>32.547393767977084</v>
      </c>
    </row>
    <row r="6" spans="1:17">
      <c r="J6" s="1"/>
      <c r="K6" s="1"/>
    </row>
    <row r="7" spans="1:17">
      <c r="A7" t="s">
        <v>39</v>
      </c>
      <c r="C7">
        <f>[5]Prestorage!D8</f>
        <v>0</v>
      </c>
      <c r="D7">
        <f>[5]Prestorage!D7</f>
        <v>0</v>
      </c>
      <c r="E7">
        <f>[5]Prestorage!D6</f>
        <v>0</v>
      </c>
      <c r="J7" s="1">
        <f>C7+D7+E7</f>
        <v>0</v>
      </c>
      <c r="K7" s="1">
        <f>100*J7/$J$18</f>
        <v>0</v>
      </c>
    </row>
    <row r="8" spans="1:17">
      <c r="J8" s="1"/>
      <c r="K8" s="1"/>
      <c r="M8" t="s">
        <v>59</v>
      </c>
    </row>
    <row r="9" spans="1:17">
      <c r="A9" t="s">
        <v>47</v>
      </c>
      <c r="C9">
        <f>[5]Storage!D11</f>
        <v>0.14712259999999999</v>
      </c>
      <c r="D9">
        <f>[5]Storage!D9</f>
        <v>0</v>
      </c>
      <c r="E9">
        <f>[5]Storage!D10</f>
        <v>0</v>
      </c>
      <c r="J9" s="1"/>
      <c r="K9" s="1"/>
      <c r="M9" t="s">
        <v>60</v>
      </c>
      <c r="N9" t="s">
        <v>55</v>
      </c>
    </row>
    <row r="10" spans="1:17">
      <c r="A10" t="s">
        <v>48</v>
      </c>
      <c r="C10">
        <f>[5]Storage!J13</f>
        <v>1.91639E-3</v>
      </c>
      <c r="D10">
        <f>[5]Storage!J12</f>
        <v>1.149834E-3</v>
      </c>
      <c r="E10">
        <f>[5]Storage!J7</f>
        <v>2.2357879999999998E-3</v>
      </c>
      <c r="J10" s="1">
        <f>SUM(C9:E10)</f>
        <v>0.15242461199999996</v>
      </c>
      <c r="K10" s="1">
        <f>100*J10/$J$18</f>
        <v>3.7100865608127633</v>
      </c>
      <c r="L10" t="s">
        <v>61</v>
      </c>
      <c r="M10">
        <f>[5]Storage!E12+[5]Storage!E13</f>
        <v>0.60896089500000006</v>
      </c>
      <c r="N10">
        <f>[5]Storage!E15</f>
        <v>0.3342658</v>
      </c>
    </row>
    <row r="11" spans="1:17">
      <c r="A11" t="s">
        <v>44</v>
      </c>
      <c r="C11">
        <f>C9+C10</f>
        <v>0.14903898999999998</v>
      </c>
      <c r="D11">
        <f t="shared" ref="D11:E11" si="0">D9+D10</f>
        <v>1.149834E-3</v>
      </c>
      <c r="E11">
        <f t="shared" si="0"/>
        <v>2.2357879999999998E-3</v>
      </c>
      <c r="J11" s="1"/>
      <c r="K11" s="1"/>
      <c r="L11" t="s">
        <v>40</v>
      </c>
      <c r="M11">
        <f>[5]Storage!K14+[5]Storage!K16</f>
        <v>1.5080350999999999</v>
      </c>
      <c r="N11">
        <f>[5]Storage!K18</f>
        <v>0.81837499999999996</v>
      </c>
      <c r="Q11">
        <f>100*D11/$D$18</f>
        <v>1.1018830891572045</v>
      </c>
    </row>
    <row r="12" spans="1:17">
      <c r="J12" s="1"/>
      <c r="K12" s="1"/>
      <c r="L12" t="s">
        <v>54</v>
      </c>
      <c r="M12">
        <f>[5]Storage!E4</f>
        <v>3.364814</v>
      </c>
      <c r="N12">
        <v>0</v>
      </c>
    </row>
    <row r="13" spans="1:17">
      <c r="A13" t="s">
        <v>49</v>
      </c>
      <c r="C13">
        <f>[5]Field!D8</f>
        <v>7.3561299999999998E-3</v>
      </c>
      <c r="D13">
        <f>[5]Field!D7</f>
        <v>1.20321E-2</v>
      </c>
      <c r="E13">
        <f>[5]Field!D9</f>
        <v>2.2860979999999999E-2</v>
      </c>
      <c r="F13">
        <f>[5]Field!D10</f>
        <v>0.2436499</v>
      </c>
      <c r="G13">
        <f>[5]Field!E11</f>
        <v>0.33268740000000002</v>
      </c>
      <c r="H13">
        <f>[5]Field!E12</f>
        <v>-9.6256759999999997E-3</v>
      </c>
      <c r="J13" s="1"/>
      <c r="K13" s="1"/>
    </row>
    <row r="14" spans="1:17">
      <c r="A14" t="s">
        <v>50</v>
      </c>
      <c r="C14">
        <f>[5]Field!J9</f>
        <v>0.2470629</v>
      </c>
      <c r="D14">
        <f>[5]Field!J10</f>
        <v>2.5219439999999999E-2</v>
      </c>
      <c r="E14">
        <f>[5]Field!J11</f>
        <v>4.7916939999999998E-2</v>
      </c>
      <c r="F14">
        <f>[5]Field!J12</f>
        <v>0.41864269999999998</v>
      </c>
      <c r="G14">
        <f>[5]Field!K13</f>
        <v>0.54852290000000004</v>
      </c>
      <c r="H14">
        <f>[5]Field!K14</f>
        <v>0.22067010000000001</v>
      </c>
      <c r="J14" s="1"/>
      <c r="K14" s="1"/>
    </row>
    <row r="15" spans="1:17">
      <c r="A15" t="s">
        <v>51</v>
      </c>
      <c r="C15">
        <f>[5]Field!P9</f>
        <v>6.7296270000000005E-2</v>
      </c>
      <c r="D15">
        <f>[5]Field!P10</f>
        <v>6.5950350000000005E-2</v>
      </c>
      <c r="E15">
        <f>[5]Field!P11</f>
        <v>8.2437930000000006E-2</v>
      </c>
      <c r="F15">
        <f>[5]Field!P12</f>
        <v>1.3783620000000001</v>
      </c>
      <c r="G15">
        <f>[5]Field!O13</f>
        <v>1.9982949999999999</v>
      </c>
      <c r="H15">
        <f>[5]Field!O14</f>
        <v>-0.2275287</v>
      </c>
      <c r="J15" s="1"/>
      <c r="K15" s="1"/>
    </row>
    <row r="16" spans="1:17">
      <c r="A16" t="s">
        <v>44</v>
      </c>
      <c r="C16">
        <f>C13+C14+C15</f>
        <v>0.32171529999999998</v>
      </c>
      <c r="D16">
        <f t="shared" ref="D16:H16" si="1">D13+D14+D15</f>
        <v>0.10320189</v>
      </c>
      <c r="E16">
        <f t="shared" si="1"/>
        <v>0.15321584999999999</v>
      </c>
      <c r="F16">
        <f t="shared" si="1"/>
        <v>2.0406545999999999</v>
      </c>
      <c r="G16">
        <f t="shared" si="1"/>
        <v>2.8795052999999999</v>
      </c>
      <c r="H16">
        <f t="shared" si="1"/>
        <v>-1.6484275999999992E-2</v>
      </c>
      <c r="J16" s="1">
        <f>SUM(C13:F15)</f>
        <v>2.6187876399999999</v>
      </c>
      <c r="K16" s="1">
        <f>100*J16/$J$18</f>
        <v>63.742519671210154</v>
      </c>
      <c r="Q16">
        <f>100*D16/$D$18</f>
        <v>98.898116910842802</v>
      </c>
    </row>
    <row r="17" spans="1:15">
      <c r="J17" s="1"/>
      <c r="K17" s="1"/>
    </row>
    <row r="18" spans="1:15">
      <c r="A18" t="s">
        <v>52</v>
      </c>
      <c r="B18">
        <f>B5</f>
        <v>4.7407529999999998</v>
      </c>
      <c r="C18">
        <f>C5+C11+C16</f>
        <v>1.8079262899999999</v>
      </c>
      <c r="D18">
        <f t="shared" ref="D18:H18" si="2">D5+D11+D16</f>
        <v>0.10435172400000001</v>
      </c>
      <c r="E18">
        <f t="shared" si="2"/>
        <v>0.15545163799999998</v>
      </c>
      <c r="F18">
        <f t="shared" si="2"/>
        <v>2.0406545999999999</v>
      </c>
      <c r="G18">
        <f t="shared" si="2"/>
        <v>2.8795052999999999</v>
      </c>
      <c r="H18">
        <f t="shared" si="2"/>
        <v>-1.6484275999999992E-2</v>
      </c>
      <c r="J18" s="1">
        <f>J5+J10+J16</f>
        <v>4.1083842519999996</v>
      </c>
      <c r="K18" s="1"/>
    </row>
    <row r="19" spans="1:15">
      <c r="B19" s="1"/>
      <c r="C19" s="1">
        <f t="shared" ref="C19:H19" si="3">100*C18/$C$3</f>
        <v>25.933452878802353</v>
      </c>
      <c r="D19" s="1">
        <f t="shared" si="3"/>
        <v>1.4968533463694413</v>
      </c>
      <c r="E19" s="1">
        <f t="shared" si="3"/>
        <v>2.2298462892564279</v>
      </c>
      <c r="F19" s="1">
        <f t="shared" si="3"/>
        <v>29.27177960945037</v>
      </c>
      <c r="G19" s="1">
        <f t="shared" si="3"/>
        <v>41.304513035103682</v>
      </c>
      <c r="H19" s="1">
        <f t="shared" si="3"/>
        <v>-0.23645554426180304</v>
      </c>
      <c r="I19" s="1">
        <f>SUM(B19:H19)</f>
        <v>99.999989614720477</v>
      </c>
      <c r="J19" s="1"/>
      <c r="K19" s="1"/>
      <c r="L19" s="1"/>
      <c r="M19" s="1"/>
    </row>
    <row r="24" spans="1:15">
      <c r="A24" s="6" t="s">
        <v>32</v>
      </c>
      <c r="H24" s="6" t="s">
        <v>33</v>
      </c>
      <c r="K24" s="6" t="s">
        <v>17</v>
      </c>
      <c r="M24" s="7" t="s">
        <v>115</v>
      </c>
      <c r="O24" s="7" t="s">
        <v>124</v>
      </c>
    </row>
    <row r="25" spans="1:15">
      <c r="B25" t="s">
        <v>34</v>
      </c>
      <c r="C25" t="s">
        <v>35</v>
      </c>
      <c r="D25" t="s">
        <v>34</v>
      </c>
      <c r="E25" t="s">
        <v>35</v>
      </c>
      <c r="F25" t="s">
        <v>36</v>
      </c>
      <c r="H25" t="s">
        <v>34</v>
      </c>
      <c r="I25" t="s">
        <v>35</v>
      </c>
      <c r="M25" t="s">
        <v>34</v>
      </c>
      <c r="N25" t="s">
        <v>35</v>
      </c>
    </row>
    <row r="26" spans="1:15">
      <c r="A26" t="s">
        <v>26</v>
      </c>
      <c r="B26">
        <f>[5]Pig!E14</f>
        <v>52.845260000000003</v>
      </c>
      <c r="D26" s="1">
        <f>B26</f>
        <v>52.845260000000003</v>
      </c>
      <c r="E26" s="1"/>
      <c r="F26" s="1"/>
      <c r="G26" s="1"/>
      <c r="H26" s="1">
        <f>[5]Pig!E22</f>
        <v>920.90800000000002</v>
      </c>
      <c r="I26" s="1"/>
      <c r="M26">
        <f>[5]Pig!E17</f>
        <v>26.246739999999999</v>
      </c>
      <c r="O26" s="1">
        <f>B26+H26+M26</f>
        <v>1000.0000000000001</v>
      </c>
    </row>
    <row r="27" spans="1:15">
      <c r="D27" s="1"/>
      <c r="E27" s="1"/>
      <c r="F27" s="1"/>
      <c r="G27" s="1"/>
      <c r="H27" s="1"/>
      <c r="I27" s="1"/>
    </row>
    <row r="28" spans="1:15">
      <c r="A28" t="s">
        <v>13</v>
      </c>
      <c r="C28">
        <f>[5]House!D16</f>
        <v>9.7763729999999995</v>
      </c>
      <c r="D28" s="1"/>
      <c r="E28" s="1">
        <f>C28</f>
        <v>9.7763729999999995</v>
      </c>
      <c r="F28" s="1">
        <f>100*E28/$B$26</f>
        <v>18.499999810768269</v>
      </c>
      <c r="G28" s="1"/>
      <c r="H28" s="1">
        <f>[5]House!C19+[5]House!C20+[5]House!C21</f>
        <v>1090.2205750000001</v>
      </c>
      <c r="I28" s="1">
        <f>[5]House!C22</f>
        <v>56.437525000000001</v>
      </c>
      <c r="K28">
        <f>[5]Sheet2!B23</f>
        <v>1.466456</v>
      </c>
    </row>
    <row r="29" spans="1:15">
      <c r="D29" s="1"/>
      <c r="E29" s="1"/>
      <c r="F29" s="1"/>
      <c r="G29" s="1"/>
      <c r="H29" s="1"/>
      <c r="I29" s="1"/>
    </row>
    <row r="30" spans="1:15">
      <c r="A30" t="s">
        <v>39</v>
      </c>
      <c r="C30">
        <f>[5]Prestorage!D15</f>
        <v>2.1534439999999999</v>
      </c>
      <c r="D30" s="1"/>
      <c r="E30" s="1">
        <f>C30</f>
        <v>2.1534439999999999</v>
      </c>
      <c r="F30" s="1">
        <f>100*E30/$B$26</f>
        <v>4.0749993471505288</v>
      </c>
      <c r="G30" s="1"/>
      <c r="H30" s="1">
        <f>[5]Prestorage!D21</f>
        <v>0.61588509999999996</v>
      </c>
      <c r="I30" s="1">
        <f>[5]Prestorage!D20</f>
        <v>0</v>
      </c>
      <c r="K30">
        <f>[5]Sheet3!B20</f>
        <v>0.32301669999999999</v>
      </c>
    </row>
    <row r="31" spans="1:15">
      <c r="D31" s="1"/>
      <c r="E31" s="1"/>
      <c r="F31" s="1"/>
      <c r="G31" s="1"/>
      <c r="H31" s="1"/>
      <c r="I31" s="1"/>
    </row>
    <row r="32" spans="1:15">
      <c r="A32" t="s">
        <v>14</v>
      </c>
      <c r="D32" s="1">
        <f>B34</f>
        <v>0</v>
      </c>
      <c r="E32" s="1">
        <f>C33+C34</f>
        <v>1.7470889999999999</v>
      </c>
      <c r="F32" s="1">
        <f>100*E32/$B$26</f>
        <v>3.3060467485636362</v>
      </c>
      <c r="G32" s="1"/>
      <c r="H32" s="1"/>
      <c r="I32" s="1"/>
      <c r="L32" s="2">
        <f>K33+K34</f>
        <v>0.40183059999999998</v>
      </c>
    </row>
    <row r="33" spans="1:11">
      <c r="A33" t="s">
        <v>53</v>
      </c>
      <c r="C33">
        <f>[5]Storage!D17</f>
        <v>0</v>
      </c>
      <c r="D33" s="1"/>
      <c r="E33" s="1"/>
      <c r="F33" s="1"/>
      <c r="G33" s="1"/>
      <c r="H33" s="1">
        <f>[5]Storage!C25</f>
        <v>0</v>
      </c>
      <c r="I33" s="1">
        <f>[5]Storage!D26</f>
        <v>0</v>
      </c>
      <c r="K33">
        <f>[5]Sheet4!C19</f>
        <v>0</v>
      </c>
    </row>
    <row r="34" spans="1:11">
      <c r="A34" t="s">
        <v>40</v>
      </c>
      <c r="C34">
        <f>[5]Storage!J21</f>
        <v>1.7470889999999999</v>
      </c>
      <c r="D34" s="1"/>
      <c r="E34" s="1"/>
      <c r="F34" s="1"/>
      <c r="G34" s="1"/>
      <c r="H34" s="1">
        <f>[5]Storage!I28</f>
        <v>0</v>
      </c>
      <c r="I34" s="1">
        <f>[5]Storage!J29</f>
        <v>7.6458880000000002</v>
      </c>
      <c r="K34">
        <f>[5]Sheet4!C23</f>
        <v>0.40183059999999998</v>
      </c>
    </row>
    <row r="35" spans="1:11">
      <c r="D35" s="1"/>
      <c r="E35" s="1"/>
      <c r="F35" s="1"/>
      <c r="G35" s="1"/>
      <c r="H35" s="1"/>
      <c r="I35" s="1"/>
    </row>
    <row r="36" spans="1:11">
      <c r="A36" t="s">
        <v>15</v>
      </c>
      <c r="D36" s="1"/>
      <c r="E36" s="1">
        <f>C37+C38</f>
        <v>35.399700000000003</v>
      </c>
      <c r="F36" s="1">
        <f>100*E36/$B$26</f>
        <v>66.987464911706368</v>
      </c>
      <c r="G36" s="1"/>
      <c r="H36" s="1"/>
      <c r="I36" s="1"/>
    </row>
    <row r="37" spans="1:11">
      <c r="A37" t="s">
        <v>53</v>
      </c>
      <c r="C37">
        <f>[5]Field!D18</f>
        <v>16.128910000000001</v>
      </c>
      <c r="H37" s="1"/>
      <c r="I37" s="1"/>
    </row>
    <row r="38" spans="1:11">
      <c r="A38" t="s">
        <v>40</v>
      </c>
      <c r="C38">
        <f>[5]Field!J20</f>
        <v>19.270790000000002</v>
      </c>
      <c r="H38" s="1"/>
      <c r="I38" s="1"/>
    </row>
    <row r="39" spans="1:11">
      <c r="H39" s="1"/>
      <c r="I39" s="1"/>
    </row>
    <row r="40" spans="1:11">
      <c r="A40" t="s">
        <v>27</v>
      </c>
      <c r="C40">
        <f>SUM(C28:C38)</f>
        <v>49.076605999999998</v>
      </c>
      <c r="E40">
        <f>SUM(E28:E38)</f>
        <v>49.076605999999998</v>
      </c>
      <c r="H40" s="1"/>
      <c r="I40" s="1"/>
    </row>
    <row r="41" spans="1:11">
      <c r="H41" s="1"/>
      <c r="I41" s="1"/>
    </row>
    <row r="42" spans="1:11">
      <c r="A42" t="s">
        <v>6</v>
      </c>
      <c r="H42" s="1"/>
      <c r="I42" s="1"/>
    </row>
    <row r="43" spans="1:11">
      <c r="A43" t="s">
        <v>53</v>
      </c>
      <c r="C43">
        <f>[5]Field!E19</f>
        <v>-0.17188709999999999</v>
      </c>
      <c r="H43" s="1"/>
      <c r="I43" s="1"/>
    </row>
    <row r="44" spans="1:11">
      <c r="A44" t="s">
        <v>40</v>
      </c>
      <c r="C44">
        <f>[5]Field!K21</f>
        <v>3.9405380000000001</v>
      </c>
      <c r="H44" s="1"/>
      <c r="I44" s="1"/>
    </row>
    <row r="45" spans="1:11">
      <c r="A45" t="s">
        <v>54</v>
      </c>
      <c r="C45">
        <f>[5]Field!P19</f>
        <v>-4.0630119999999996</v>
      </c>
      <c r="H45" s="1"/>
      <c r="I45" s="1"/>
    </row>
    <row r="46" spans="1:11">
      <c r="A46" t="s">
        <v>37</v>
      </c>
      <c r="C46">
        <f>C43+C44+C45</f>
        <v>-0.29436109999999971</v>
      </c>
      <c r="E46" s="1">
        <f>C46</f>
        <v>-0.29436109999999971</v>
      </c>
      <c r="F46" s="1">
        <f>100*E46/$B$26</f>
        <v>-0.55702460353113925</v>
      </c>
      <c r="H46" s="1"/>
      <c r="I46" s="1"/>
    </row>
    <row r="47" spans="1:11">
      <c r="B47">
        <f>B26-C45</f>
        <v>56.908272000000004</v>
      </c>
      <c r="F47" s="1">
        <f>SUM(F28:F46)</f>
        <v>92.311486214657677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K12" sqref="K12"/>
    </sheetView>
  </sheetViews>
  <sheetFormatPr defaultRowHeight="15"/>
  <sheetData>
    <row r="1" spans="1:14">
      <c r="A1" s="7" t="s">
        <v>29</v>
      </c>
    </row>
    <row r="2" spans="1:14">
      <c r="A2" t="s">
        <v>25</v>
      </c>
      <c r="B2">
        <f>[6]Pig!C4</f>
        <v>11.712160000000001</v>
      </c>
      <c r="C2" t="s">
        <v>62</v>
      </c>
      <c r="D2" t="s">
        <v>42</v>
      </c>
    </row>
    <row r="3" spans="1:14">
      <c r="A3" t="s">
        <v>26</v>
      </c>
      <c r="B3">
        <f>[6]Pig!E6+[6]Pig!E7</f>
        <v>6.971406</v>
      </c>
      <c r="C3">
        <f>[6]Digester!C7</f>
        <v>0.3217526</v>
      </c>
      <c r="D3">
        <f>B3+C3</f>
        <v>7.2931585999999999</v>
      </c>
      <c r="J3" t="s">
        <v>30</v>
      </c>
      <c r="K3" t="s">
        <v>31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14">
      <c r="A5" t="s">
        <v>13</v>
      </c>
      <c r="B5">
        <f>[6]Pig!D5</f>
        <v>4.7407529999999998</v>
      </c>
      <c r="C5">
        <f>[6]House!D7</f>
        <v>1.337172</v>
      </c>
      <c r="J5">
        <f>C5</f>
        <v>1.337172</v>
      </c>
      <c r="K5">
        <f>100*J5/$J$12</f>
        <v>27.119565539356692</v>
      </c>
    </row>
    <row r="7" spans="1:14">
      <c r="A7" t="s">
        <v>14</v>
      </c>
      <c r="C7">
        <f>[6]Storage!D7</f>
        <v>5.6453709999999997E-2</v>
      </c>
      <c r="D7">
        <f>[6]Storage!D6</f>
        <v>0</v>
      </c>
      <c r="E7">
        <f>[6]Storage!D5</f>
        <v>0</v>
      </c>
      <c r="J7">
        <f>C7+D7+E7</f>
        <v>5.6453709999999997E-2</v>
      </c>
      <c r="K7">
        <f>100*J7/$J$12</f>
        <v>1.1449537443835469</v>
      </c>
    </row>
    <row r="8" spans="1:14">
      <c r="M8" t="s">
        <v>59</v>
      </c>
      <c r="N8" t="s">
        <v>55</v>
      </c>
    </row>
    <row r="9" spans="1:14">
      <c r="A9" t="s">
        <v>15</v>
      </c>
      <c r="C9">
        <f>[6]Field!D9</f>
        <v>0.89422679999999999</v>
      </c>
      <c r="D9">
        <f>[6]Field!D8</f>
        <v>0.1001061</v>
      </c>
      <c r="E9">
        <f>[6]Field!D7</f>
        <v>0.1902016</v>
      </c>
      <c r="F9">
        <f>[6]Field!D10</f>
        <v>2.3524940000000001</v>
      </c>
      <c r="G9">
        <f>[6]Field!E11</f>
        <v>2.4025470000000002</v>
      </c>
      <c r="H9">
        <f>[6]Field!E12</f>
        <v>-4.004245E-2</v>
      </c>
      <c r="J9">
        <f>SUM(C9:F9)</f>
        <v>3.5370284999999999</v>
      </c>
      <c r="K9">
        <f>100*J9/$J$12</f>
        <v>71.735480716259758</v>
      </c>
      <c r="M9" t="s">
        <v>60</v>
      </c>
    </row>
    <row r="10" spans="1:14">
      <c r="L10" t="s">
        <v>61</v>
      </c>
      <c r="M10">
        <f>[6]Storage!E8+[6]Storage!E11</f>
        <v>5.8995333999999993</v>
      </c>
      <c r="N10">
        <f>[6]Storage!E13</f>
        <v>1.195541</v>
      </c>
    </row>
    <row r="11" spans="1:14">
      <c r="L11" t="s">
        <v>40</v>
      </c>
      <c r="M11">
        <f>[6]Storage!K9+[6]Storage!K11</f>
        <v>0</v>
      </c>
      <c r="N11">
        <v>0</v>
      </c>
    </row>
    <row r="12" spans="1:14">
      <c r="A12" t="s">
        <v>27</v>
      </c>
      <c r="B12">
        <f>SUM(B5:B10)</f>
        <v>4.7407529999999998</v>
      </c>
      <c r="C12">
        <f t="shared" ref="C12:H12" si="0">SUM(C5:C10)</f>
        <v>2.28785251</v>
      </c>
      <c r="D12">
        <f t="shared" si="0"/>
        <v>0.1001061</v>
      </c>
      <c r="E12">
        <f t="shared" si="0"/>
        <v>0.1902016</v>
      </c>
      <c r="F12">
        <f t="shared" si="0"/>
        <v>2.3524940000000001</v>
      </c>
      <c r="G12">
        <f t="shared" si="0"/>
        <v>2.4025470000000002</v>
      </c>
      <c r="H12">
        <f t="shared" si="0"/>
        <v>-4.004245E-2</v>
      </c>
      <c r="J12">
        <f>J5+J7+J9</f>
        <v>4.9306542100000001</v>
      </c>
    </row>
    <row r="13" spans="1:14">
      <c r="A13" t="s">
        <v>28</v>
      </c>
      <c r="B13" s="1"/>
      <c r="C13" s="1">
        <f t="shared" ref="C13:H13" si="1">100*C12/$D$3</f>
        <v>31.369844473147751</v>
      </c>
      <c r="D13" s="1">
        <f t="shared" si="1"/>
        <v>1.3726028116267759</v>
      </c>
      <c r="E13" s="1">
        <f t="shared" si="1"/>
        <v>2.6079454792056764</v>
      </c>
      <c r="F13" s="1">
        <f t="shared" si="1"/>
        <v>32.256174985691388</v>
      </c>
      <c r="G13" s="1">
        <f t="shared" si="1"/>
        <v>32.942475705930761</v>
      </c>
      <c r="H13" s="1">
        <f t="shared" si="1"/>
        <v>-0.54904126176551271</v>
      </c>
      <c r="I13" s="1">
        <f>SUM(B13:H13)</f>
        <v>100.00000219383685</v>
      </c>
    </row>
    <row r="17" spans="1:18">
      <c r="A17" s="7" t="s">
        <v>32</v>
      </c>
      <c r="H17" s="7" t="s">
        <v>33</v>
      </c>
      <c r="K17" s="6" t="s">
        <v>17</v>
      </c>
      <c r="Q17" s="7" t="s">
        <v>55</v>
      </c>
    </row>
    <row r="18" spans="1:18">
      <c r="B18" t="s">
        <v>34</v>
      </c>
      <c r="C18" t="s">
        <v>35</v>
      </c>
      <c r="D18" t="s">
        <v>36</v>
      </c>
      <c r="H18" t="s">
        <v>34</v>
      </c>
      <c r="I18" t="s">
        <v>35</v>
      </c>
      <c r="Q18" t="s">
        <v>34</v>
      </c>
      <c r="R18" t="s">
        <v>35</v>
      </c>
    </row>
    <row r="19" spans="1:18">
      <c r="A19" s="1" t="s">
        <v>26</v>
      </c>
      <c r="B19" s="1">
        <f>[6]Pig!C28</f>
        <v>52.845260000000003</v>
      </c>
      <c r="C19" s="1"/>
      <c r="D19" s="1"/>
      <c r="G19" s="1"/>
      <c r="H19" s="1">
        <f>[6]Pig!C30</f>
        <v>920.90800000000002</v>
      </c>
      <c r="I19" s="1"/>
      <c r="Q19">
        <f>[6]Pig!E10</f>
        <v>1.152641</v>
      </c>
    </row>
    <row r="20" spans="1:18">
      <c r="A20" s="1"/>
      <c r="B20" s="1"/>
      <c r="C20" s="1"/>
      <c r="D20" s="1"/>
      <c r="G20" s="1"/>
      <c r="H20" s="1"/>
      <c r="I20" s="1"/>
      <c r="Q20" s="1"/>
      <c r="R20" s="1"/>
    </row>
    <row r="21" spans="1:18">
      <c r="A21" s="1" t="s">
        <v>13</v>
      </c>
      <c r="B21" s="1"/>
      <c r="C21" s="1">
        <f>[6]House!D31</f>
        <v>9.7763729999999995</v>
      </c>
      <c r="D21" s="1">
        <f>C21*100/$B$29</f>
        <v>9.5177833912643965</v>
      </c>
      <c r="G21" s="1"/>
      <c r="H21" s="1">
        <f>SUM([6]House!C20:C22)</f>
        <v>225.7501</v>
      </c>
      <c r="I21" s="1">
        <f>[6]House!D23</f>
        <v>47.407530000000001</v>
      </c>
      <c r="K21">
        <f>[6]Sheet2!C23</f>
        <v>1.466456</v>
      </c>
      <c r="Q21" s="1"/>
      <c r="R21" s="1"/>
    </row>
    <row r="22" spans="1:18">
      <c r="A22" s="1" t="s">
        <v>63</v>
      </c>
      <c r="B22" s="1">
        <f>[6]Digester!C16</f>
        <v>49.871650000000002</v>
      </c>
      <c r="C22" s="1"/>
      <c r="D22" s="1"/>
      <c r="G22" s="1"/>
      <c r="H22" s="1">
        <f>[6]Digester!C23</f>
        <v>4.663081</v>
      </c>
      <c r="I22" s="1"/>
      <c r="Q22" s="1">
        <f>[6]Digester!C13</f>
        <v>4.2900340000000002E-2</v>
      </c>
      <c r="R22" s="1"/>
    </row>
    <row r="23" spans="1:18">
      <c r="A23" t="s">
        <v>64</v>
      </c>
      <c r="C23">
        <f>[6]Digester!D34</f>
        <v>70.099639999999994</v>
      </c>
      <c r="D23" s="1">
        <f>C23*100/$B$29</f>
        <v>68.245471948094988</v>
      </c>
      <c r="G23" s="1"/>
      <c r="H23" s="1"/>
      <c r="I23" s="1">
        <f>[6]Digester!D24</f>
        <v>20.609300000000001</v>
      </c>
      <c r="K23">
        <f>[6]Sheet5!B10</f>
        <v>21.029890000000002</v>
      </c>
      <c r="Q23" s="1"/>
      <c r="R23" s="1"/>
    </row>
    <row r="24" spans="1:18">
      <c r="G24" s="1"/>
      <c r="H24" s="1"/>
      <c r="I24" s="1"/>
      <c r="Q24" s="1"/>
      <c r="R24" s="1"/>
    </row>
    <row r="25" spans="1:18">
      <c r="A25" s="1" t="s">
        <v>14</v>
      </c>
      <c r="B25" s="1"/>
      <c r="C25" s="1">
        <f>[6]Storage!D31</f>
        <v>7.994313</v>
      </c>
      <c r="D25" s="1">
        <f>C25*100/$B$29</f>
        <v>7.7828597063521467</v>
      </c>
      <c r="G25" s="1"/>
      <c r="H25" s="1"/>
      <c r="I25" s="1">
        <f>[6]Storage!D21</f>
        <v>2.3503280000000002</v>
      </c>
      <c r="K25">
        <f>[6]Sheet3!C12</f>
        <v>2.3982939999999999</v>
      </c>
      <c r="L25" s="2"/>
      <c r="Q25" s="1"/>
      <c r="R25" s="1"/>
    </row>
    <row r="26" spans="1:18">
      <c r="A26" s="1"/>
      <c r="B26" s="1"/>
      <c r="C26" s="1"/>
      <c r="D26" s="1"/>
      <c r="G26" s="1"/>
      <c r="H26" s="1"/>
      <c r="I26" s="1"/>
      <c r="Q26" s="1"/>
      <c r="R26" s="1"/>
    </row>
    <row r="27" spans="1:18">
      <c r="A27" s="1" t="s">
        <v>15</v>
      </c>
      <c r="B27" s="1"/>
      <c r="C27" s="1">
        <f>[6]Field!D18</f>
        <v>15.561629999999999</v>
      </c>
      <c r="D27" s="1">
        <f>C27*100/$B$29</f>
        <v>15.150017655320822</v>
      </c>
      <c r="G27" s="1"/>
      <c r="H27" s="1"/>
      <c r="I27" s="1"/>
      <c r="Q27" s="1"/>
      <c r="R27" s="1"/>
    </row>
    <row r="28" spans="1:18">
      <c r="A28" s="1"/>
      <c r="B28" s="1"/>
      <c r="C28" s="1"/>
      <c r="D28" s="1"/>
      <c r="G28" s="1"/>
      <c r="H28" s="1"/>
      <c r="I28" s="1"/>
      <c r="Q28" s="1"/>
      <c r="R28" s="1"/>
    </row>
    <row r="29" spans="1:18">
      <c r="A29" s="1" t="s">
        <v>27</v>
      </c>
      <c r="B29" s="1">
        <f>B19+B22</f>
        <v>102.71691000000001</v>
      </c>
      <c r="C29" s="1">
        <f>SUM(C19:C27)</f>
        <v>103.431956</v>
      </c>
      <c r="D29" s="1">
        <f>SUM(D21:D27)</f>
        <v>100.69613270103235</v>
      </c>
      <c r="G29" s="1"/>
      <c r="H29" s="1"/>
      <c r="I29" s="1"/>
      <c r="Q29">
        <f>[6]Pig!E10+[6]Digester!C13</f>
        <v>1.1955413400000001</v>
      </c>
      <c r="R29">
        <f>[6]Storage!E13</f>
        <v>1.195541</v>
      </c>
    </row>
    <row r="30" spans="1:18">
      <c r="A30" s="1"/>
      <c r="B30" s="1"/>
      <c r="C30" s="1"/>
      <c r="D30" s="1"/>
      <c r="E30" s="1"/>
      <c r="F30" s="1"/>
      <c r="G30" s="1"/>
      <c r="H30" s="1"/>
      <c r="I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</row>
    <row r="32" spans="1:18">
      <c r="A32" s="1" t="s">
        <v>6</v>
      </c>
      <c r="B32" s="1"/>
      <c r="C32" s="1"/>
      <c r="D32" s="1"/>
      <c r="E32" s="1"/>
      <c r="F32" s="1"/>
      <c r="G32" s="1"/>
      <c r="H32" s="1"/>
      <c r="I32" s="1"/>
    </row>
    <row r="33" spans="1:9">
      <c r="A33" s="1" t="s">
        <v>37</v>
      </c>
      <c r="B33" s="1"/>
      <c r="C33" s="1">
        <f>[6]Field!E19</f>
        <v>-0.71504369999999995</v>
      </c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</row>
    <row r="35" spans="1:9">
      <c r="A35" s="1"/>
      <c r="B35" s="1"/>
      <c r="C35" s="1"/>
      <c r="D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17"/>
  <sheetViews>
    <sheetView workbookViewId="0">
      <selection activeCell="J10" sqref="J10"/>
    </sheetView>
  </sheetViews>
  <sheetFormatPr defaultRowHeight="15"/>
  <cols>
    <col min="1" max="1" width="15.28515625" customWidth="1"/>
  </cols>
  <sheetData>
    <row r="1" spans="1:22">
      <c r="A1" t="s">
        <v>16</v>
      </c>
    </row>
    <row r="2" spans="1:22" ht="15.75">
      <c r="A2" s="3" t="s">
        <v>123</v>
      </c>
      <c r="N2" s="6" t="s">
        <v>122</v>
      </c>
    </row>
    <row r="4" spans="1:22">
      <c r="C4" t="s">
        <v>18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79</v>
      </c>
      <c r="K4" t="s">
        <v>12</v>
      </c>
      <c r="M4" t="s">
        <v>116</v>
      </c>
      <c r="N4" t="s">
        <v>1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V4" t="s">
        <v>117</v>
      </c>
    </row>
    <row r="5" spans="1:22">
      <c r="A5" t="s">
        <v>8</v>
      </c>
      <c r="C5" s="1">
        <f>Baseline!B3</f>
        <v>6.971406</v>
      </c>
      <c r="D5" s="1">
        <f>Baseline!C13</f>
        <v>29.596114184140188</v>
      </c>
      <c r="E5" s="1">
        <f>Baseline!D13</f>
        <v>1.4080777966453251</v>
      </c>
      <c r="F5" s="1">
        <f>Baseline!E13</f>
        <v>2.8865597556647824</v>
      </c>
      <c r="G5" s="1">
        <f>Baseline!F13</f>
        <v>27.809540858759338</v>
      </c>
      <c r="H5" s="1">
        <f>Baseline!G13</f>
        <v>36.187592574582517</v>
      </c>
      <c r="I5" s="1">
        <f>Baseline!H13</f>
        <v>2.1121162646387255</v>
      </c>
      <c r="J5" s="1">
        <f>D5+E5+F5</f>
        <v>33.890751736450298</v>
      </c>
      <c r="K5" s="1">
        <f>SUM(D5:G5)</f>
        <v>61.700292595209632</v>
      </c>
      <c r="M5">
        <f>1000/Baseline!$O$19</f>
        <v>0.99999999999999989</v>
      </c>
      <c r="N5" s="2">
        <f t="shared" ref="N5:S7" si="0">$M$5*$C5*D5/100</f>
        <v>2.06326528</v>
      </c>
      <c r="O5" s="2">
        <f t="shared" si="0"/>
        <v>9.816281999999997E-2</v>
      </c>
      <c r="P5" s="2">
        <f t="shared" si="0"/>
        <v>0.20123379999999993</v>
      </c>
      <c r="Q5" s="2">
        <f t="shared" si="0"/>
        <v>1.9387159999999997</v>
      </c>
      <c r="R5" s="2">
        <f t="shared" si="0"/>
        <v>2.5227839999999997</v>
      </c>
      <c r="S5" s="2">
        <f t="shared" si="0"/>
        <v>0.14724419999999996</v>
      </c>
      <c r="V5">
        <f>Baseline!C5*'N &amp; OM budget'!M5</f>
        <v>1.3371719999999998</v>
      </c>
    </row>
    <row r="6" spans="1:22">
      <c r="A6" t="s">
        <v>10</v>
      </c>
      <c r="C6" s="1">
        <f>Sep_S!B3</f>
        <v>6.971406</v>
      </c>
      <c r="D6" s="1">
        <f>Sep_S!C18</f>
        <v>29.118779482933576</v>
      </c>
      <c r="E6" s="1">
        <f>Sep_S!D18</f>
        <v>1.4291930824284227</v>
      </c>
      <c r="F6" s="1">
        <f>Sep_S!E18</f>
        <v>2.7160128961073275</v>
      </c>
      <c r="G6" s="1">
        <f>Sep_S!F18</f>
        <v>28.030351409744316</v>
      </c>
      <c r="H6" s="1">
        <f>Sep_S!G18</f>
        <v>38.107411905145099</v>
      </c>
      <c r="I6" s="1">
        <f>Sep_S!H18</f>
        <v>0.59824603530478626</v>
      </c>
      <c r="J6" s="1">
        <f t="shared" ref="J6:J10" si="1">D6+E6+F6</f>
        <v>33.263985461469325</v>
      </c>
      <c r="K6" s="1">
        <f t="shared" ref="K6:K10" si="2">SUM(D6:G6)</f>
        <v>61.294336871213645</v>
      </c>
      <c r="N6" s="2">
        <f t="shared" si="0"/>
        <v>2.0299883400000001</v>
      </c>
      <c r="O6" s="2">
        <f t="shared" si="0"/>
        <v>9.9634852299999993E-2</v>
      </c>
      <c r="P6" s="2">
        <f t="shared" si="0"/>
        <v>0.18934428599999997</v>
      </c>
      <c r="Q6" s="2">
        <f t="shared" si="0"/>
        <v>1.9541095999999996</v>
      </c>
      <c r="R6" s="2">
        <f t="shared" si="0"/>
        <v>2.6566223999999994</v>
      </c>
      <c r="S6" s="2">
        <f t="shared" si="0"/>
        <v>4.1706159999999978E-2</v>
      </c>
    </row>
    <row r="7" spans="1:22">
      <c r="A7" t="s">
        <v>9</v>
      </c>
      <c r="C7" s="1">
        <f>Sep_S_C!D3</f>
        <v>7.0443301099999998</v>
      </c>
      <c r="D7" s="1">
        <f>Sep_S_C!C20</f>
        <v>30.044763277000946</v>
      </c>
      <c r="E7" s="1">
        <f>Sep_S_C!D20</f>
        <v>1.4739064095336669</v>
      </c>
      <c r="F7" s="1">
        <f>Sep_S_C!E20</f>
        <v>2.991755024382297</v>
      </c>
      <c r="G7" s="1">
        <f>Sep_S_C!F20</f>
        <v>27.342521856915077</v>
      </c>
      <c r="H7" s="1">
        <f>Sep_S_C!G20</f>
        <v>37.121304072446435</v>
      </c>
      <c r="I7" s="1">
        <f>Sep_S_C!H20</f>
        <v>1.0257435252420333</v>
      </c>
      <c r="J7" s="1">
        <f t="shared" si="1"/>
        <v>34.510424710916915</v>
      </c>
      <c r="K7" s="1">
        <f t="shared" si="2"/>
        <v>61.852946567831992</v>
      </c>
      <c r="N7" s="2">
        <f t="shared" si="0"/>
        <v>2.1164523059999998</v>
      </c>
      <c r="O7" s="2">
        <f t="shared" si="0"/>
        <v>0.10382683300000001</v>
      </c>
      <c r="P7" s="2">
        <f t="shared" si="0"/>
        <v>0.21074909999999997</v>
      </c>
      <c r="Q7" s="2">
        <f t="shared" si="0"/>
        <v>1.9260974999999996</v>
      </c>
      <c r="R7" s="2">
        <f t="shared" si="0"/>
        <v>2.6149471999999996</v>
      </c>
      <c r="S7" s="2">
        <f t="shared" si="0"/>
        <v>7.2256759999999989E-2</v>
      </c>
    </row>
    <row r="8" spans="1:22">
      <c r="A8" t="s">
        <v>7</v>
      </c>
      <c r="C8" s="1">
        <f>Sep_C!B3</f>
        <v>6.971406</v>
      </c>
      <c r="D8" s="1">
        <f>Sep_C!C20</f>
        <v>29.598010071426049</v>
      </c>
      <c r="E8" s="1">
        <f>Sep_C!D20</f>
        <v>1.4235621049756677</v>
      </c>
      <c r="F8" s="1">
        <f>Sep_C!E20</f>
        <v>2.7055005546944182</v>
      </c>
      <c r="G8" s="1">
        <f>Sep_C!F20</f>
        <v>27.172735313364331</v>
      </c>
      <c r="H8" s="1">
        <f>Sep_C!G20</f>
        <v>36.771088930984654</v>
      </c>
      <c r="I8" s="1">
        <f>Sep_C!H20</f>
        <v>2.329109508182424</v>
      </c>
      <c r="J8" s="1">
        <f t="shared" si="1"/>
        <v>33.727072731096136</v>
      </c>
      <c r="K8" s="1">
        <f t="shared" si="2"/>
        <v>60.899808044460471</v>
      </c>
      <c r="N8" s="2">
        <f t="shared" ref="N8:N10" si="3">$M$5*$C8*D8/100</f>
        <v>2.0633974499999996</v>
      </c>
      <c r="O8" s="2">
        <f t="shared" ref="O8:O10" si="4">$M$5*$C8*E8/100</f>
        <v>9.9242293999999981E-2</v>
      </c>
      <c r="P8" s="2">
        <f t="shared" ref="P8:P10" si="5">$M$5*$C8*F8/100</f>
        <v>0.18861142799999991</v>
      </c>
      <c r="Q8" s="2">
        <f t="shared" ref="Q8:Q10" si="6">$M$5*$C8*G8/100</f>
        <v>1.8943216999999997</v>
      </c>
      <c r="R8" s="2">
        <f t="shared" ref="R8:R10" si="7">$M$5*$C8*H8/100</f>
        <v>2.5634618999999996</v>
      </c>
      <c r="S8" s="2">
        <f t="shared" ref="S8:S10" si="8">$M$5*$C8*I8/100</f>
        <v>0.16237167999999996</v>
      </c>
    </row>
    <row r="9" spans="1:22">
      <c r="A9" t="s">
        <v>11</v>
      </c>
      <c r="C9" s="1">
        <f>'N strip'!C3</f>
        <v>6.971406</v>
      </c>
      <c r="D9" s="1">
        <f>'N strip'!C19</f>
        <v>25.933452878802353</v>
      </c>
      <c r="E9" s="1">
        <f>'N strip'!D19</f>
        <v>1.4968533463694413</v>
      </c>
      <c r="F9" s="1">
        <f>'N strip'!E19</f>
        <v>2.2298462892564279</v>
      </c>
      <c r="G9" s="1">
        <f>'N strip'!F19</f>
        <v>29.27177960945037</v>
      </c>
      <c r="H9" s="1">
        <f>'N strip'!G19</f>
        <v>41.304513035103682</v>
      </c>
      <c r="I9" s="1">
        <f>'N strip'!H19</f>
        <v>-0.23645554426180304</v>
      </c>
      <c r="J9" s="1">
        <f t="shared" si="1"/>
        <v>29.660152514428223</v>
      </c>
      <c r="K9" s="1">
        <f t="shared" si="2"/>
        <v>58.931932123878596</v>
      </c>
      <c r="N9" s="2">
        <f t="shared" si="3"/>
        <v>1.8079262899999997</v>
      </c>
      <c r="O9" s="2">
        <f t="shared" si="4"/>
        <v>0.10435172400000001</v>
      </c>
      <c r="P9" s="2">
        <f t="shared" si="5"/>
        <v>0.15545163799999995</v>
      </c>
      <c r="Q9" s="2">
        <f t="shared" si="6"/>
        <v>2.0406545999999994</v>
      </c>
      <c r="R9" s="2">
        <f t="shared" si="7"/>
        <v>2.8795052999999995</v>
      </c>
      <c r="S9" s="2">
        <f t="shared" si="8"/>
        <v>-1.6484275999999992E-2</v>
      </c>
    </row>
    <row r="10" spans="1:22">
      <c r="A10" t="s">
        <v>66</v>
      </c>
      <c r="C10" s="1">
        <f>Biogas!D3</f>
        <v>7.2931585999999999</v>
      </c>
      <c r="D10" s="1">
        <f>Biogas!C13</f>
        <v>31.369844473147751</v>
      </c>
      <c r="E10" s="1">
        <f>Biogas!D13</f>
        <v>1.3726028116267759</v>
      </c>
      <c r="F10" s="1">
        <f>Biogas!E13</f>
        <v>2.6079454792056764</v>
      </c>
      <c r="G10" s="1">
        <f>Biogas!F13</f>
        <v>32.256174985691388</v>
      </c>
      <c r="H10" s="1">
        <f>Biogas!G13</f>
        <v>32.942475705930761</v>
      </c>
      <c r="I10" s="1">
        <f>Biogas!H13</f>
        <v>-0.54904126176551271</v>
      </c>
      <c r="J10" s="1">
        <f t="shared" si="1"/>
        <v>35.350392763980203</v>
      </c>
      <c r="K10" s="1">
        <f t="shared" si="2"/>
        <v>67.606567749671598</v>
      </c>
      <c r="N10" s="2">
        <f t="shared" si="3"/>
        <v>2.2878525099999996</v>
      </c>
      <c r="O10" s="2">
        <f t="shared" si="4"/>
        <v>0.1001061</v>
      </c>
      <c r="P10" s="2">
        <f t="shared" si="5"/>
        <v>0.19020159999999997</v>
      </c>
      <c r="Q10" s="2">
        <f t="shared" si="6"/>
        <v>2.3524939999999996</v>
      </c>
      <c r="R10" s="2">
        <f t="shared" si="7"/>
        <v>2.4025469999999998</v>
      </c>
      <c r="S10" s="2">
        <f t="shared" si="8"/>
        <v>-4.004245E-2</v>
      </c>
    </row>
    <row r="11" spans="1:22">
      <c r="C11" s="1"/>
      <c r="D11" s="1"/>
      <c r="E11" s="1"/>
      <c r="F11" s="1"/>
      <c r="G11" s="1"/>
      <c r="H11" s="1"/>
      <c r="I11" s="1"/>
    </row>
    <row r="12" spans="1:22">
      <c r="C12" s="1"/>
      <c r="D12" s="1"/>
      <c r="E12" s="1"/>
      <c r="F12" s="1"/>
      <c r="G12" s="1"/>
      <c r="H12" s="1"/>
      <c r="I12" s="1"/>
    </row>
    <row r="13" spans="1:22" ht="15.75">
      <c r="A13" s="3"/>
      <c r="I13" s="1"/>
    </row>
    <row r="14" spans="1:22">
      <c r="C14" s="1"/>
      <c r="D14" s="1"/>
      <c r="E14" s="1"/>
      <c r="F14" s="1"/>
      <c r="H14" s="1"/>
      <c r="I14" s="1"/>
    </row>
    <row r="15" spans="1:22">
      <c r="A15" s="1"/>
      <c r="B15" s="1"/>
      <c r="C15" s="1"/>
      <c r="D15" s="1"/>
      <c r="E15" s="1"/>
      <c r="F15" s="1"/>
      <c r="H15" s="1"/>
    </row>
    <row r="16" spans="1:22">
      <c r="A16" s="1"/>
      <c r="B16" s="1"/>
      <c r="C16" s="1"/>
      <c r="D16" s="1"/>
      <c r="E16" s="1"/>
      <c r="F16" s="1"/>
      <c r="H16" s="1"/>
      <c r="I16" s="1"/>
    </row>
    <row r="17" spans="1:9">
      <c r="A17" s="1"/>
      <c r="B17" s="1"/>
      <c r="C17" s="1"/>
      <c r="D17" s="1"/>
      <c r="E17" s="1"/>
      <c r="F17" s="1"/>
      <c r="H17" s="1"/>
    </row>
    <row r="18" spans="1:9">
      <c r="A18" s="1"/>
      <c r="B18" s="1"/>
      <c r="C18" s="1"/>
      <c r="D18" s="1"/>
      <c r="E18" s="1"/>
      <c r="F18" s="1"/>
      <c r="H18" s="1"/>
    </row>
    <row r="19" spans="1:9">
      <c r="A19" s="1"/>
      <c r="B19" s="1"/>
      <c r="C19" s="1"/>
      <c r="D19" s="1"/>
      <c r="E19" s="1"/>
      <c r="F19" s="1"/>
      <c r="H19" s="1"/>
      <c r="I19" s="1"/>
    </row>
    <row r="20" spans="1:9">
      <c r="A20" s="1"/>
      <c r="B20" s="1"/>
      <c r="C20" s="1"/>
      <c r="D20" s="1"/>
      <c r="E20" s="1"/>
      <c r="F20" s="1"/>
    </row>
    <row r="21" spans="1:9">
      <c r="A21" s="1"/>
      <c r="B21" s="1"/>
      <c r="C21" s="1"/>
      <c r="D21" s="1"/>
      <c r="E21" s="1"/>
      <c r="F21" s="1"/>
    </row>
    <row r="22" spans="1:9">
      <c r="A22" s="1"/>
      <c r="B22" s="1"/>
      <c r="C22" s="1"/>
      <c r="D22" s="1"/>
      <c r="E22" s="1"/>
      <c r="F22" s="1"/>
    </row>
    <row r="24" spans="1:9">
      <c r="A24" s="4"/>
    </row>
    <row r="25" spans="1:9">
      <c r="A25" s="1"/>
    </row>
    <row r="26" spans="1:9">
      <c r="B26" s="2"/>
      <c r="C26" s="2"/>
      <c r="D26" s="2"/>
      <c r="E26" s="2"/>
      <c r="F26" s="2"/>
    </row>
    <row r="92" spans="1:6">
      <c r="B92" t="s">
        <v>17</v>
      </c>
    </row>
    <row r="93" spans="1:6">
      <c r="B93" t="s">
        <v>13</v>
      </c>
      <c r="C93" t="s">
        <v>39</v>
      </c>
      <c r="D93" t="s">
        <v>14</v>
      </c>
      <c r="E93" t="s">
        <v>83</v>
      </c>
      <c r="F93" t="s">
        <v>143</v>
      </c>
    </row>
    <row r="94" spans="1:6">
      <c r="A94" t="s">
        <v>8</v>
      </c>
      <c r="B94" s="1">
        <f>$M$5*Baseline!K21</f>
        <v>1.4664559999999998</v>
      </c>
      <c r="C94" s="1">
        <v>0</v>
      </c>
      <c r="D94" s="1">
        <f>$M$5*Baseline!K23</f>
        <v>1.8325809999999998</v>
      </c>
      <c r="E94" s="1">
        <f>SUM(B94:D94)</f>
        <v>3.2990369999999993</v>
      </c>
      <c r="F94">
        <f>E94*22.4*1000/(Baseline!B19*16)</f>
        <v>87.399547282007859</v>
      </c>
    </row>
    <row r="95" spans="1:6">
      <c r="A95" t="s">
        <v>10</v>
      </c>
      <c r="B95" s="1">
        <f>$M$5*Sep_S!M25</f>
        <v>1.4664559999999998</v>
      </c>
      <c r="C95" s="1">
        <f>$M$5*Sep_S!M27</f>
        <v>0.32301669999999993</v>
      </c>
      <c r="D95" s="1">
        <f>$M$5*Sep_S!N29</f>
        <v>1.3405332999999997</v>
      </c>
      <c r="E95" s="1">
        <f t="shared" ref="E95:E99" si="9">SUM(B95:D95)</f>
        <v>3.1300059999999994</v>
      </c>
      <c r="F95">
        <f>E95*22.4*1000/(Sep_S!B23*16)</f>
        <v>82.921503272005822</v>
      </c>
    </row>
    <row r="96" spans="1:6">
      <c r="A96" t="s">
        <v>9</v>
      </c>
      <c r="B96" s="1">
        <f>$M$5*Sep_S_C!M27</f>
        <v>1.4664559999999998</v>
      </c>
      <c r="C96" s="1">
        <f>$M$5*Sep_S_C!M29</f>
        <v>0.32301669999999993</v>
      </c>
      <c r="D96" s="1">
        <f>$M$5*Sep_S_C!N31</f>
        <v>2.0930115999999996</v>
      </c>
      <c r="E96" s="1">
        <f t="shared" si="9"/>
        <v>3.8824842999999993</v>
      </c>
      <c r="F96">
        <f>E96*22.4*1000/((Sep_S_C!B25+Sep_S_C!B33)*16)</f>
        <v>83.137865944600918</v>
      </c>
    </row>
    <row r="97" spans="1:7">
      <c r="A97" t="s">
        <v>7</v>
      </c>
      <c r="B97" s="1">
        <f>$M$5*Sep_C!M27</f>
        <v>1.4664559999999998</v>
      </c>
      <c r="C97" s="1">
        <f>$M$5*Sep_C!M29</f>
        <v>0.32301669999999993</v>
      </c>
      <c r="D97" s="1">
        <f>$M$5*Sep_C!N31</f>
        <v>1.0808018999999998</v>
      </c>
      <c r="E97" s="1">
        <f t="shared" si="9"/>
        <v>2.8702745999999992</v>
      </c>
      <c r="F97">
        <f>E97*22.4*1000/(Sep_C!B25*16)</f>
        <v>76.040584150782834</v>
      </c>
    </row>
    <row r="98" spans="1:7">
      <c r="A98" t="s">
        <v>11</v>
      </c>
      <c r="B98" s="1">
        <f>$M$5*'N strip'!K28</f>
        <v>1.4664559999999998</v>
      </c>
      <c r="C98" s="1">
        <f>$M$5*'N strip'!K30</f>
        <v>0.32301669999999993</v>
      </c>
      <c r="D98" s="1">
        <f>$M$5*'N strip'!L32</f>
        <v>0.40183059999999993</v>
      </c>
      <c r="E98" s="1">
        <f t="shared" si="9"/>
        <v>2.1913032999999995</v>
      </c>
      <c r="F98">
        <f>E98*22.4*1000/('N strip'!B26*16)</f>
        <v>58.052976179888212</v>
      </c>
    </row>
    <row r="99" spans="1:7">
      <c r="A99" t="s">
        <v>66</v>
      </c>
      <c r="B99" s="1">
        <f>$M$5*Biogas!K21</f>
        <v>1.4664559999999998</v>
      </c>
      <c r="C99" s="1">
        <v>0</v>
      </c>
      <c r="D99" s="1">
        <f>$M$5*Biogas!K25</f>
        <v>2.3982939999999995</v>
      </c>
      <c r="E99" s="1">
        <f t="shared" si="9"/>
        <v>3.864749999999999</v>
      </c>
      <c r="F99">
        <f>E99*22.4*1000/((Biogas!B19+Biogas!B22)*16)</f>
        <v>52.675357932788266</v>
      </c>
      <c r="G99">
        <f>0.61*E99</f>
        <v>2.3574974999999991</v>
      </c>
    </row>
    <row r="101" spans="1:7">
      <c r="B101" t="s">
        <v>142</v>
      </c>
    </row>
    <row r="102" spans="1:7">
      <c r="B102" t="s">
        <v>13</v>
      </c>
      <c r="C102" t="s">
        <v>39</v>
      </c>
      <c r="D102" t="s">
        <v>64</v>
      </c>
      <c r="E102" t="s">
        <v>14</v>
      </c>
      <c r="F102" t="s">
        <v>15</v>
      </c>
      <c r="G102" t="s">
        <v>83</v>
      </c>
    </row>
    <row r="103" spans="1:7">
      <c r="A103" t="s">
        <v>8</v>
      </c>
      <c r="B103" s="1">
        <f>$M$5*Baseline!C21</f>
        <v>9.7763729999999978</v>
      </c>
      <c r="C103" s="1">
        <v>0</v>
      </c>
      <c r="E103" s="1">
        <f>$M$5*Baseline!C23</f>
        <v>7.9677439999999988</v>
      </c>
      <c r="F103" s="1">
        <f>$M$5*(Baseline!C25-Baseline!C31)</f>
        <v>29.842419</v>
      </c>
      <c r="G103" s="1">
        <f>SUM(B103:F103)</f>
        <v>47.586535999999995</v>
      </c>
    </row>
    <row r="104" spans="1:7">
      <c r="A104" t="s">
        <v>10</v>
      </c>
      <c r="B104" s="1">
        <f>$M$5*Sep_S!C25</f>
        <v>9.7763729999999978</v>
      </c>
      <c r="C104" s="1">
        <f>$M$5*Sep_S!C27</f>
        <v>2.1534439999999995</v>
      </c>
      <c r="E104" s="1">
        <f>$M$5*(Sep_S!C30+Sep_S!C31)</f>
        <v>5.8284049999999992</v>
      </c>
      <c r="F104" s="1">
        <f>$M$5*(Sep_S!C34+Sep_S!C35-(Sep_S!C40+Sep_S!C41))</f>
        <v>33.597537999999993</v>
      </c>
      <c r="G104" s="1">
        <f t="shared" ref="G104:G108" si="10">SUM(B104:F104)</f>
        <v>51.355759999999989</v>
      </c>
    </row>
    <row r="105" spans="1:7">
      <c r="A105" t="s">
        <v>9</v>
      </c>
      <c r="B105" s="1">
        <f>$M$5*Sep_S_C!C27</f>
        <v>9.7763729999999978</v>
      </c>
      <c r="C105" s="1">
        <f>$M$5*Sep_S_C!C29</f>
        <v>2.1534439999999995</v>
      </c>
      <c r="E105" s="1">
        <f>$M$5*(Sep_S_C!C32+Sep_S_C!C33)</f>
        <v>21.372224999999997</v>
      </c>
      <c r="F105" s="1">
        <f>$M$5*(Sep_S_C!C36+Sep_S_C!C37-(Sep_S_C!C40+Sep_S_C!C41))</f>
        <v>29.496454999999997</v>
      </c>
      <c r="G105" s="1">
        <f t="shared" si="10"/>
        <v>62.79849699999999</v>
      </c>
    </row>
    <row r="106" spans="1:7">
      <c r="A106" t="s">
        <v>7</v>
      </c>
      <c r="B106" s="1">
        <f>$M$5*Sep_C!C27</f>
        <v>9.7763729999999978</v>
      </c>
      <c r="C106" s="1">
        <f>$M$5*Sep_C!C29</f>
        <v>2.1534439999999995</v>
      </c>
      <c r="E106" s="1">
        <f>$M$5*(Sep_C!C32+Sep_C!C33)</f>
        <v>4.6991379999999987</v>
      </c>
      <c r="F106" s="1">
        <f>$M$5*((Sep_C!C36+Sep_C!C37)-(Sep_C!C40+Sep_C!C41))</f>
        <v>30.417314999999999</v>
      </c>
      <c r="G106" s="1">
        <f t="shared" si="10"/>
        <v>47.046269999999993</v>
      </c>
    </row>
    <row r="107" spans="1:7">
      <c r="A107" t="s">
        <v>11</v>
      </c>
      <c r="B107" s="1">
        <f>$M$5*'N strip'!C28</f>
        <v>9.7763729999999978</v>
      </c>
      <c r="C107" s="1">
        <f>$M$5*'N strip'!C30</f>
        <v>2.1534439999999995</v>
      </c>
      <c r="E107" s="1">
        <f>$M$5*('N strip'!C33+'N strip'!C34)</f>
        <v>1.7470889999999997</v>
      </c>
      <c r="F107" s="1">
        <f>$M$5*(('N strip'!C37+'N strip'!C38)-('N strip'!C46))</f>
        <v>35.694061099999992</v>
      </c>
      <c r="G107" s="1">
        <f t="shared" si="10"/>
        <v>49.370967099999987</v>
      </c>
    </row>
    <row r="108" spans="1:7">
      <c r="A108" t="s">
        <v>66</v>
      </c>
      <c r="B108" s="1">
        <f>$M$5*Biogas!C21</f>
        <v>9.7763729999999978</v>
      </c>
      <c r="C108" s="1">
        <v>0</v>
      </c>
      <c r="D108" s="1">
        <f>Biogas!C23</f>
        <v>70.099639999999994</v>
      </c>
      <c r="E108" s="1">
        <f>$M$5*Biogas!K34</f>
        <v>0</v>
      </c>
      <c r="F108" s="1">
        <f>$M$5*(Biogas!C27-Biogas!C33)</f>
        <v>16.276673699999996</v>
      </c>
      <c r="G108" s="1">
        <f t="shared" si="10"/>
        <v>96.152686699999975</v>
      </c>
    </row>
    <row r="110" spans="1:7">
      <c r="B110" t="s">
        <v>1</v>
      </c>
    </row>
    <row r="111" spans="1:7">
      <c r="B111" t="s">
        <v>13</v>
      </c>
      <c r="C111" t="s">
        <v>144</v>
      </c>
      <c r="D111" t="s">
        <v>145</v>
      </c>
      <c r="E111" t="s">
        <v>146</v>
      </c>
      <c r="F111" t="s">
        <v>147</v>
      </c>
      <c r="G111" t="s">
        <v>54</v>
      </c>
    </row>
    <row r="112" spans="1:7">
      <c r="A112" t="s">
        <v>8</v>
      </c>
      <c r="B112">
        <f>Baseline!C5</f>
        <v>1.337172</v>
      </c>
      <c r="C112">
        <f>Baseline!C7</f>
        <v>4.3117179999999998E-2</v>
      </c>
      <c r="D112">
        <v>0</v>
      </c>
      <c r="E112">
        <f>Baseline!C9</f>
        <v>0.68297609999999997</v>
      </c>
      <c r="F112">
        <v>0</v>
      </c>
      <c r="G112">
        <v>0</v>
      </c>
    </row>
    <row r="113" spans="1:7">
      <c r="A113" t="s">
        <v>10</v>
      </c>
      <c r="B113">
        <f>Sep_S!C5</f>
        <v>1.337172</v>
      </c>
      <c r="C113">
        <f>Sep_S!C10</f>
        <v>5.016967E-2</v>
      </c>
      <c r="D113">
        <f>Sep_S!C11</f>
        <v>1.4282699999999999E-3</v>
      </c>
      <c r="E113">
        <f>Sep_S!C14</f>
        <v>0.4570843</v>
      </c>
      <c r="F113">
        <f>Sep_S!C15</f>
        <v>0.1841341</v>
      </c>
      <c r="G113">
        <v>0</v>
      </c>
    </row>
    <row r="114" spans="1:7">
      <c r="A114" t="s">
        <v>9</v>
      </c>
      <c r="B114">
        <f>Sep_S_C!C5</f>
        <v>1.337172</v>
      </c>
      <c r="C114">
        <f>Sep_S_C!C10</f>
        <v>5.016967E-2</v>
      </c>
      <c r="D114">
        <f>Sep_S_C!C11</f>
        <v>2.863736E-3</v>
      </c>
      <c r="E114">
        <f>Sep_S_C!C15</f>
        <v>0.4570843</v>
      </c>
      <c r="F114">
        <f>Sep_S_C!C16</f>
        <v>0.26916259999999997</v>
      </c>
      <c r="G114">
        <v>0</v>
      </c>
    </row>
    <row r="115" spans="1:7">
      <c r="A115" t="s">
        <v>7</v>
      </c>
      <c r="B115">
        <f>Sep_C!C5</f>
        <v>1.337172</v>
      </c>
      <c r="C115">
        <f>Sep_C!C10</f>
        <v>4.7201760000000002E-2</v>
      </c>
      <c r="D115">
        <f>Sep_S_C!C11</f>
        <v>2.863736E-3</v>
      </c>
      <c r="E115">
        <f>Sep_C!C15</f>
        <v>0.43004439999999999</v>
      </c>
      <c r="F115">
        <f>Sep_C!C16</f>
        <v>0.2470629</v>
      </c>
      <c r="G115">
        <v>0</v>
      </c>
    </row>
    <row r="116" spans="1:7">
      <c r="A116" t="s">
        <v>11</v>
      </c>
      <c r="B116">
        <f>'N strip'!C5</f>
        <v>1.337172</v>
      </c>
      <c r="C116">
        <f>'N strip'!C9</f>
        <v>0.14712259999999999</v>
      </c>
      <c r="D116">
        <f>'N strip'!C10</f>
        <v>1.91639E-3</v>
      </c>
      <c r="E116">
        <f>'N strip'!C13</f>
        <v>7.3561299999999998E-3</v>
      </c>
      <c r="F116">
        <f>'N strip'!C14</f>
        <v>0.2470629</v>
      </c>
      <c r="G116">
        <f>'N strip'!C15</f>
        <v>6.7296270000000005E-2</v>
      </c>
    </row>
    <row r="117" spans="1:7">
      <c r="A117" t="s">
        <v>66</v>
      </c>
      <c r="B117">
        <f>Biogas!C5</f>
        <v>1.337172</v>
      </c>
      <c r="C117">
        <f>Biogas!C7</f>
        <v>5.6453709999999997E-2</v>
      </c>
      <c r="D117">
        <v>0</v>
      </c>
      <c r="E117">
        <f>Biogas!C9</f>
        <v>0.89422679999999999</v>
      </c>
      <c r="F117">
        <v>0</v>
      </c>
      <c r="G11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2:E8"/>
  <sheetViews>
    <sheetView workbookViewId="0">
      <selection activeCell="B3" sqref="B3"/>
    </sheetView>
  </sheetViews>
  <sheetFormatPr defaultRowHeight="15"/>
  <sheetData>
    <row r="2" spans="1:5">
      <c r="B2" t="s">
        <v>148</v>
      </c>
      <c r="C2" t="s">
        <v>149</v>
      </c>
      <c r="D2" t="s">
        <v>150</v>
      </c>
      <c r="E2" t="s">
        <v>151</v>
      </c>
    </row>
    <row r="3" spans="1:5">
      <c r="A3" t="s">
        <v>8</v>
      </c>
      <c r="B3">
        <f>Baseline!Q19</f>
        <v>1.152641</v>
      </c>
      <c r="C3">
        <v>0</v>
      </c>
      <c r="D3">
        <f>Baseline!R23</f>
        <v>1.152641</v>
      </c>
    </row>
    <row r="4" spans="1:5">
      <c r="A4" t="s">
        <v>10</v>
      </c>
    </row>
    <row r="5" spans="1:5">
      <c r="A5" t="s">
        <v>9</v>
      </c>
      <c r="B5">
        <f>Sep_S_C!S25</f>
        <v>1.152641</v>
      </c>
      <c r="C5">
        <f>Sep_S_C!S33</f>
        <v>1.206465E-2</v>
      </c>
      <c r="D5">
        <f>Sep_S_C!T34</f>
        <v>1.1647054999999999</v>
      </c>
      <c r="E5">
        <f>100*C5/B5</f>
        <v>1.0466962393321075</v>
      </c>
    </row>
    <row r="6" spans="1:5">
      <c r="A6" t="s">
        <v>7</v>
      </c>
    </row>
    <row r="7" spans="1:5">
      <c r="A7" t="s">
        <v>11</v>
      </c>
    </row>
    <row r="8" spans="1:5">
      <c r="A8" t="s">
        <v>66</v>
      </c>
      <c r="B8">
        <f>Biogas!Q19</f>
        <v>1.152641</v>
      </c>
      <c r="C8">
        <f>Biogas!Q22</f>
        <v>4.2900340000000002E-2</v>
      </c>
      <c r="D8">
        <f>Biogas!R29</f>
        <v>1.195541</v>
      </c>
      <c r="E8">
        <f>100*C8/B8</f>
        <v>3.7219168847889326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A11" sqref="A11"/>
    </sheetView>
  </sheetViews>
  <sheetFormatPr defaultRowHeight="15"/>
  <cols>
    <col min="1" max="1" width="15.85546875" customWidth="1"/>
    <col min="3" max="3" width="15.140625" customWidth="1"/>
  </cols>
  <sheetData>
    <row r="1" spans="1:22">
      <c r="A1" t="s">
        <v>1</v>
      </c>
      <c r="C1" t="s">
        <v>121</v>
      </c>
      <c r="F1" t="s">
        <v>36</v>
      </c>
      <c r="J1" t="s">
        <v>2</v>
      </c>
      <c r="K1" t="s">
        <v>121</v>
      </c>
      <c r="N1" t="s">
        <v>36</v>
      </c>
      <c r="R1" t="s">
        <v>3</v>
      </c>
    </row>
    <row r="2" spans="1:22">
      <c r="B2" t="s">
        <v>118</v>
      </c>
      <c r="C2" t="s">
        <v>119</v>
      </c>
      <c r="D2" t="s">
        <v>120</v>
      </c>
      <c r="F2" t="s">
        <v>118</v>
      </c>
      <c r="G2" t="s">
        <v>119</v>
      </c>
      <c r="H2" t="s">
        <v>120</v>
      </c>
      <c r="K2" t="s">
        <v>119</v>
      </c>
      <c r="L2" t="s">
        <v>120</v>
      </c>
      <c r="N2" t="s">
        <v>119</v>
      </c>
      <c r="O2" t="s">
        <v>120</v>
      </c>
      <c r="R2" t="s">
        <v>119</v>
      </c>
      <c r="S2" t="s">
        <v>120</v>
      </c>
      <c r="U2" t="s">
        <v>119</v>
      </c>
      <c r="V2" t="s">
        <v>120</v>
      </c>
    </row>
    <row r="3" spans="1:22">
      <c r="A3" t="s">
        <v>8</v>
      </c>
      <c r="B3" s="2">
        <f>'N &amp; OM budget'!$M$5*Baseline!C5</f>
        <v>1.3371719999999998</v>
      </c>
      <c r="C3" s="2">
        <f>'N &amp; OM budget'!$M$5*Baseline!C7</f>
        <v>4.3117179999999991E-2</v>
      </c>
      <c r="D3" s="2">
        <f>'N &amp; OM budget'!$M$5*Baseline!C9</f>
        <v>0.68297609999999986</v>
      </c>
      <c r="F3" s="5">
        <f>100*B3/($B3+$C3+$D3)</f>
        <v>64.808534945152573</v>
      </c>
      <c r="G3" s="5">
        <f t="shared" ref="G3:H8" si="0">100*C3/($B3+$C3+$D3)</f>
        <v>2.0897545467347758</v>
      </c>
      <c r="H3" s="5">
        <f t="shared" si="0"/>
        <v>33.10171050811266</v>
      </c>
      <c r="J3" t="s">
        <v>8</v>
      </c>
      <c r="K3" s="12">
        <f>'N &amp; OM budget'!$M$5*Baseline!D7</f>
        <v>0</v>
      </c>
      <c r="L3" s="12">
        <f>'N &amp; OM budget'!$M$5*Baseline!D9</f>
        <v>9.8162819999999984E-2</v>
      </c>
      <c r="N3" s="5">
        <f>100*K3/($K3+$L3)</f>
        <v>0</v>
      </c>
      <c r="O3" s="5">
        <f>100*L3/($K3+$L3)</f>
        <v>99.999999999999986</v>
      </c>
      <c r="Q3" t="s">
        <v>8</v>
      </c>
      <c r="R3" s="12">
        <f>'N &amp; OM budget'!$M$5*Baseline!E7</f>
        <v>0</v>
      </c>
      <c r="S3" s="12">
        <f>'N &amp; OM budget'!$M$5*Baseline!E9</f>
        <v>0.20123379999999996</v>
      </c>
      <c r="U3" s="5">
        <f>100*R3/($R3+$S3)</f>
        <v>0</v>
      </c>
      <c r="V3" s="5">
        <f>100*S3/($S3+$R3)</f>
        <v>100</v>
      </c>
    </row>
    <row r="4" spans="1:22">
      <c r="A4" t="s">
        <v>10</v>
      </c>
      <c r="B4" s="2">
        <f>'N &amp; OM budget'!$M$5*Sep_S!C5</f>
        <v>1.3371719999999998</v>
      </c>
      <c r="C4" s="2">
        <f>'N &amp; OM budget'!$M$5*(Sep_S!C10+Sep_S!C11)</f>
        <v>5.1597939999999995E-2</v>
      </c>
      <c r="D4" s="2">
        <f>'N &amp; OM budget'!$M$5*(Sep_S!C14+Sep_S!C15)</f>
        <v>0.64121839999999986</v>
      </c>
      <c r="F4" s="5">
        <f t="shared" ref="F4:F8" si="1">100*B4/($B4+$C4+$D4)</f>
        <v>65.870920224103358</v>
      </c>
      <c r="G4" s="5">
        <f t="shared" si="0"/>
        <v>2.5417850429623652</v>
      </c>
      <c r="H4" s="5">
        <f t="shared" si="0"/>
        <v>31.587294732934282</v>
      </c>
      <c r="J4" t="s">
        <v>10</v>
      </c>
      <c r="K4" s="12">
        <f>'N &amp; OM budget'!$M$5*(Sep_S!D10+Sep_S!D11)</f>
        <v>8.5696229999999984E-4</v>
      </c>
      <c r="L4" s="12">
        <f>'N &amp; OM budget'!$M$5*(Sep_S!D14+Sep_S!D15)</f>
        <v>9.8777889999999979E-2</v>
      </c>
      <c r="N4" s="5">
        <f t="shared" ref="N4:N8" si="2">100*K4/($K4+$L4)</f>
        <v>0.86010294612540916</v>
      </c>
      <c r="O4" s="5">
        <f t="shared" ref="O4:O8" si="3">100*L4/($K4+$L4)</f>
        <v>99.139897053874591</v>
      </c>
      <c r="Q4" t="s">
        <v>10</v>
      </c>
      <c r="R4" s="12">
        <f>'N &amp; OM budget'!$M$5*(Sep_S!E10+Sep_S!E11)</f>
        <v>1.6663159999999997E-3</v>
      </c>
      <c r="S4" s="12">
        <f>'N &amp; OM budget'!$M$5*(Sep_S!E14+Sep_S!E15)</f>
        <v>0.18767796999999997</v>
      </c>
      <c r="U4" s="5">
        <f t="shared" ref="U4:U8" si="4">100*R4/($R4+$S4)</f>
        <v>0.880045569476546</v>
      </c>
      <c r="V4" s="5">
        <f t="shared" ref="V4:V8" si="5">100*S4/($S4+$R4)</f>
        <v>99.119954430523464</v>
      </c>
    </row>
    <row r="5" spans="1:22">
      <c r="A5" t="s">
        <v>9</v>
      </c>
      <c r="B5" s="2">
        <f>'N &amp; OM budget'!$M$5*Sep_S_C!C5</f>
        <v>1.3371719999999998</v>
      </c>
      <c r="C5" s="2">
        <f>'N &amp; OM budget'!$M$5*Sep_S_C!C12</f>
        <v>5.3033405999999991E-2</v>
      </c>
      <c r="D5" s="2">
        <f>'N &amp; OM budget'!$M$5*Sep_S_C!C17</f>
        <v>0.72624689999999992</v>
      </c>
      <c r="F5" s="5">
        <f t="shared" si="1"/>
        <v>63.179878715395915</v>
      </c>
      <c r="G5" s="5">
        <f t="shared" si="0"/>
        <v>2.5057690102278167</v>
      </c>
      <c r="H5" s="5">
        <f t="shared" si="0"/>
        <v>34.314352274376269</v>
      </c>
      <c r="J5" t="s">
        <v>9</v>
      </c>
      <c r="K5" s="12">
        <f>'N &amp; OM budget'!$M$5*Sep_S_C!D12</f>
        <v>5.7274729999999994E-3</v>
      </c>
      <c r="L5" s="12">
        <f>'N &amp; OM budget'!$M$5*Sep_S_C!D17</f>
        <v>9.8099359999999983E-2</v>
      </c>
      <c r="N5" s="5">
        <f t="shared" si="2"/>
        <v>5.5163707054418207</v>
      </c>
      <c r="O5" s="5">
        <f t="shared" si="3"/>
        <v>94.483629294558185</v>
      </c>
      <c r="Q5" t="s">
        <v>9</v>
      </c>
      <c r="R5" s="12">
        <f>'N &amp; OM budget'!$M$5*Sep_S_C!E12</f>
        <v>1.7182419999999997E-2</v>
      </c>
      <c r="S5" s="12">
        <f>'N &amp; OM budget'!$M$5*Sep_S_C!E17</f>
        <v>0.19356667999999996</v>
      </c>
      <c r="U5" s="5">
        <f t="shared" si="4"/>
        <v>8.1530217685389879</v>
      </c>
      <c r="V5" s="5">
        <f t="shared" si="5"/>
        <v>91.846978231461009</v>
      </c>
    </row>
    <row r="6" spans="1:22">
      <c r="A6" t="s">
        <v>7</v>
      </c>
      <c r="B6" s="2">
        <f>'N &amp; OM budget'!$M$5*Sep_C!C5</f>
        <v>1.3371719999999998</v>
      </c>
      <c r="C6" s="2">
        <f>'N &amp; OM budget'!$M$5*Sep_C!C12</f>
        <v>4.9118149999999992E-2</v>
      </c>
      <c r="D6" s="2">
        <f>'N &amp; OM budget'!$M$5*Sep_C!C17</f>
        <v>0.67710729999999986</v>
      </c>
      <c r="F6" s="5">
        <f t="shared" si="1"/>
        <v>64.804383663457571</v>
      </c>
      <c r="G6" s="5">
        <f t="shared" si="0"/>
        <v>2.380450261775791</v>
      </c>
      <c r="H6" s="5">
        <f t="shared" si="0"/>
        <v>32.815166074766644</v>
      </c>
      <c r="J6" t="s">
        <v>7</v>
      </c>
      <c r="K6" s="12">
        <f>'N &amp; OM budget'!$M$5*Sep_C!D12</f>
        <v>1.1498339999999998E-3</v>
      </c>
      <c r="L6" s="12">
        <f>'N &amp; OM budget'!$M$5*Sep_C!D17</f>
        <v>9.8092459999999979E-2</v>
      </c>
      <c r="N6" s="5">
        <f t="shared" si="2"/>
        <v>1.1586128793032535</v>
      </c>
      <c r="O6" s="5">
        <f t="shared" si="3"/>
        <v>98.841387120696751</v>
      </c>
      <c r="Q6" t="s">
        <v>7</v>
      </c>
      <c r="R6" s="12">
        <f>'N &amp; OM budget'!$M$5*Sep_C!E12</f>
        <v>2.2357879999999994E-3</v>
      </c>
      <c r="S6" s="12">
        <f>'N &amp; OM budget'!$M$5*Sep_C!E17</f>
        <v>0.18637563999999995</v>
      </c>
      <c r="U6" s="5">
        <f t="shared" si="4"/>
        <v>1.1853937079570809</v>
      </c>
      <c r="V6" s="5">
        <f t="shared" si="5"/>
        <v>98.814606292042924</v>
      </c>
    </row>
    <row r="7" spans="1:22">
      <c r="A7" t="s">
        <v>11</v>
      </c>
      <c r="B7" s="2">
        <f>'N &amp; OM budget'!$M$5*'N strip'!C5</f>
        <v>1.3371719999999998</v>
      </c>
      <c r="C7" s="2">
        <f>'N &amp; OM budget'!$M$5*'N strip'!C11</f>
        <v>0.14903898999999995</v>
      </c>
      <c r="D7" s="2">
        <f>'N &amp; OM budget'!$M$5*'N strip'!C16</f>
        <v>0.32171529999999993</v>
      </c>
      <c r="F7" s="5">
        <f t="shared" si="1"/>
        <v>73.961643646434283</v>
      </c>
      <c r="G7" s="5">
        <f t="shared" si="0"/>
        <v>8.2436430525051989</v>
      </c>
      <c r="H7" s="5">
        <f t="shared" si="0"/>
        <v>17.794713301060519</v>
      </c>
      <c r="J7" t="s">
        <v>11</v>
      </c>
      <c r="K7" s="12">
        <f>'N &amp; OM budget'!$M$5*'N strip'!D11</f>
        <v>1.1498339999999998E-3</v>
      </c>
      <c r="L7" s="12">
        <f>'N &amp; OM budget'!$M$5*'N strip'!D16</f>
        <v>0.10320188999999999</v>
      </c>
      <c r="N7" s="5">
        <f t="shared" si="2"/>
        <v>1.1018830891572042</v>
      </c>
      <c r="O7" s="5">
        <f t="shared" si="3"/>
        <v>98.898116910842788</v>
      </c>
      <c r="Q7" t="s">
        <v>11</v>
      </c>
      <c r="R7" s="12">
        <f>'N &amp; OM budget'!$M$5*'N strip'!E11</f>
        <v>2.2357879999999994E-3</v>
      </c>
      <c r="S7" s="12">
        <f>'N &amp; OM budget'!$M$5*'N strip'!E16</f>
        <v>0.15321584999999996</v>
      </c>
      <c r="U7" s="5">
        <f t="shared" si="4"/>
        <v>1.4382530983687674</v>
      </c>
      <c r="V7" s="5">
        <f t="shared" si="5"/>
        <v>98.561746901631238</v>
      </c>
    </row>
    <row r="8" spans="1:22">
      <c r="A8" t="s">
        <v>66</v>
      </c>
      <c r="B8" s="2">
        <f>'N &amp; OM budget'!$M$5*Biogas!C5</f>
        <v>1.3371719999999998</v>
      </c>
      <c r="C8" s="2">
        <f>'N &amp; OM budget'!$M$5*Biogas!C7</f>
        <v>5.645370999999999E-2</v>
      </c>
      <c r="D8" s="2">
        <f>'N &amp; OM budget'!$M$5*Biogas!C9</f>
        <v>0.89422679999999988</v>
      </c>
      <c r="F8" s="5">
        <f t="shared" si="1"/>
        <v>58.446599776661309</v>
      </c>
      <c r="G8" s="5">
        <f t="shared" si="0"/>
        <v>2.4675414937477766</v>
      </c>
      <c r="H8" s="5">
        <f t="shared" si="0"/>
        <v>39.085858729590925</v>
      </c>
      <c r="J8" t="s">
        <v>66</v>
      </c>
      <c r="K8" s="12">
        <f>'N &amp; OM budget'!$M$5*Biogas!D7</f>
        <v>0</v>
      </c>
      <c r="L8" s="12">
        <f>'N &amp; OM budget'!$M$5*Biogas!D9</f>
        <v>0.10010609999999999</v>
      </c>
      <c r="N8" s="5">
        <f t="shared" si="2"/>
        <v>0</v>
      </c>
      <c r="O8" s="5">
        <f t="shared" si="3"/>
        <v>100.00000000000001</v>
      </c>
      <c r="Q8" t="s">
        <v>66</v>
      </c>
      <c r="R8" s="12">
        <f>'N &amp; OM budget'!$M$5*Biogas!E7</f>
        <v>0</v>
      </c>
      <c r="S8" s="12">
        <f>'N &amp; OM budget'!$M$5*Biogas!E9</f>
        <v>0.19020159999999997</v>
      </c>
      <c r="U8" s="5">
        <f t="shared" si="4"/>
        <v>0</v>
      </c>
      <c r="V8" s="5">
        <f t="shared" si="5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Baseline</vt:lpstr>
      <vt:lpstr>Sep_S</vt:lpstr>
      <vt:lpstr>Sep_S_C</vt:lpstr>
      <vt:lpstr>Sep_C</vt:lpstr>
      <vt:lpstr>N strip</vt:lpstr>
      <vt:lpstr>Biogas</vt:lpstr>
      <vt:lpstr>N &amp; OM budget</vt:lpstr>
      <vt:lpstr>P bal</vt:lpstr>
      <vt:lpstr>N distribs</vt:lpstr>
      <vt:lpstr>Expansion scenario</vt:lpstr>
      <vt:lpstr>BaseHiN</vt:lpstr>
      <vt:lpstr>BaseOM</vt:lpstr>
      <vt:lpstr>BaseNoCover</vt:lpstr>
      <vt:lpstr>N_strip99</vt:lpstr>
      <vt:lpstr>BiogasHiN</vt:lpstr>
      <vt:lpstr>BiogasOM</vt:lpstr>
      <vt:lpstr>SepCHiN</vt:lpstr>
      <vt:lpstr>SepCOM</vt:lpstr>
      <vt:lpstr>N_StripHiN</vt:lpstr>
      <vt:lpstr>N_StripOM</vt:lpstr>
      <vt:lpstr>SepSHiN</vt:lpstr>
      <vt:lpstr>SepSOM</vt:lpstr>
      <vt:lpstr>Sep_S_CHiN</vt:lpstr>
      <vt:lpstr>Sep_S_COM</vt:lpstr>
      <vt:lpstr>Sep_CPS</vt:lpstr>
      <vt:lpstr>SepSPS</vt:lpstr>
      <vt:lpstr>CompPS</vt:lpstr>
      <vt:lpstr>NStrip99</vt:lpstr>
      <vt:lpstr>SenseHiN</vt:lpstr>
      <vt:lpstr>SenseOM</vt:lpstr>
      <vt:lpstr>SenseNoCov</vt:lpstr>
      <vt:lpstr>SensePS</vt:lpstr>
      <vt:lpstr>SenseNStrip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NJH</dc:creator>
  <cp:lastModifiedBy>NJH</cp:lastModifiedBy>
  <dcterms:created xsi:type="dcterms:W3CDTF">2011-09-27T09:29:03Z</dcterms:created>
  <dcterms:modified xsi:type="dcterms:W3CDTF">2012-07-17T15:41:59Z</dcterms:modified>
</cp:coreProperties>
</file>