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1.xml" ContentType="application/vnd.openxmlformats-officedocument.drawing+xml"/>
  <Override PartName="/xl/comments7.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1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python.xml" ContentType="application/vnd.ms-excel.pyth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codeName="ThisWorkbook"/>
  <mc:AlternateContent xmlns:mc="http://schemas.openxmlformats.org/markup-compatibility/2006">
    <mc:Choice Requires="x15">
      <x15ac:absPath xmlns:x15ac="http://schemas.microsoft.com/office/spreadsheetml/2010/11/ac" url="https://auralight.sharepoint.com/teams/PowerBiWorkingfile/Delade dokument/CODEX library/LCC/"/>
    </mc:Choice>
  </mc:AlternateContent>
  <xr:revisionPtr revIDLastSave="1364" documentId="8_{18DAB3AF-1B67-4FB0-BDCB-35FBD78F0045}" xr6:coauthVersionLast="47" xr6:coauthVersionMax="47" xr10:uidLastSave="{76EE75DA-13D8-4BB0-A71C-3B8C0F51F17E}"/>
  <bookViews>
    <workbookView xWindow="1420" yWindow="-20360" windowWidth="28080" windowHeight="18980" activeTab="1" xr2:uid="{8D72C481-29F5-4E17-99EC-80253765CE5F}"/>
  </bookViews>
  <sheets>
    <sheet name="1. Introduktion" sheetId="28" state="hidden" r:id="rId1"/>
    <sheet name="Förutsättningar" sheetId="31" r:id="rId2"/>
    <sheet name="1. LCC Befintlig Installation" sheetId="12" r:id="rId3"/>
    <sheet name="2. LCC Ny Installation" sheetId="23" r:id="rId4"/>
    <sheet name="2. LCC A3" sheetId="24" state="hidden" r:id="rId5"/>
    <sheet name="2. LCC A4" sheetId="25" state="hidden" r:id="rId6"/>
    <sheet name="3. Kalkylparametrar" sheetId="21" state="hidden" r:id="rId7"/>
    <sheet name="4. Reduktionsfaktorer, LENI-tal" sheetId="22" state="hidden" r:id="rId8"/>
    <sheet name="5. Beräkningsfaktorer klimat" sheetId="20" state="hidden" r:id="rId9"/>
    <sheet name="6. Resultat" sheetId="27" state="hidden" r:id="rId10"/>
    <sheet name="Sammanfattning" sheetId="30" r:id="rId11"/>
    <sheet name="Variabler" sheetId="36" state="hidden" r:id="rId12"/>
    <sheet name="Belastningstabeller" sheetId="35" state="hidden" r:id="rId13"/>
    <sheet name="AllStrings" sheetId="37" state="hidden" r:id="rId14"/>
    <sheet name="Blad1" sheetId="34" state="hidden" r:id="rId15"/>
    <sheet name="Uträkningar" sheetId="32" state="hidden" r:id="rId16"/>
    <sheet name="Lasttabeller" sheetId="33" state="hidden" r:id="rId17"/>
    <sheet name="7. Svarsformulär" sheetId="29" state="hidden" r:id="rId18"/>
  </sheets>
  <externalReferences>
    <externalReference r:id="rId19"/>
  </externalReferences>
  <definedNames>
    <definedName name="_xlnm._FilterDatabase" localSheetId="2" hidden="1">'1. LCC Befintlig Installation'!#REF!</definedName>
    <definedName name="_xlnm._FilterDatabase" localSheetId="4" hidden="1">'2. LCC A3'!#REF!</definedName>
    <definedName name="_xlnm._FilterDatabase" localSheetId="5" hidden="1">'2. LCC A4'!#REF!</definedName>
    <definedName name="_xlnm._FilterDatabase" localSheetId="3" hidden="1">'2. LCC Ny Installation'!#REF!</definedName>
    <definedName name="_xlnm._FilterDatabase" localSheetId="13" hidden="1">AllStrings!$A$1:$G$556</definedName>
    <definedName name="BÜRO">'4. Reduktionsfaktorer, LENI-tal'!$Q$13:$Q$23</definedName>
    <definedName name="Faktorer">#REF!</definedName>
    <definedName name="FromArray_1" localSheetId="12">_xlfn.ANCHORARRAY('[1]4. Reduktionsfaktorer, LENI-tal'!$S$13)</definedName>
    <definedName name="FromArray_1">_xlfn.ANCHORARRAY('4. Reduktionsfaktorer, LENI-tal'!$S$13)</definedName>
    <definedName name="FromArray_2">_xlfn.ANCHORARRAY('4. Reduktionsfaktorer, LENI-tal'!$H$13)</definedName>
    <definedName name="HOSPITAL">'4. Reduktionsfaktorer, LENI-tal'!$T$13:$T$20</definedName>
    <definedName name="IDRETTSHALL">'4. Reduktionsfaktorer, LENI-tal'!$S$13:$S$17</definedName>
    <definedName name="INDUSTRI">'4. Reduktionsfaktorer, LENI-tal'!$U$13:$U$21</definedName>
    <definedName name="INDUSTRIE">'4. Reduktionsfaktorer, LENI-tal'!$U$13:$U$21</definedName>
    <definedName name="INDUSTRY">'4. Reduktionsfaktorer, LENI-tal'!$U$13:$U$21</definedName>
    <definedName name="KONTOR">'4. Reduktionsfaktorer, LENI-tal'!$Q$13:$Q$23</definedName>
    <definedName name="KRANKENHAUS">'4. Reduktionsfaktorer, LENI-tal'!$T$13:$T$20</definedName>
    <definedName name="OFFICE">'4. Reduktionsfaktorer, LENI-tal'!$Q$13:$Q$23</definedName>
    <definedName name="Omvandlingsfaktorer">#REF!</definedName>
    <definedName name="SCHOOL_AND_RESTAURANT">'4. Reduktionsfaktorer, LENI-tal'!$R$13:$R$21</definedName>
    <definedName name="SCHULE_UND_RESTAURANT">'4. Reduktionsfaktorer, LENI-tal'!$R$13:$R$21</definedName>
    <definedName name="SJUKHUS">'4. Reduktionsfaktorer, LENI-tal'!$T$13:$T$20</definedName>
    <definedName name="SKOLA">#REF!</definedName>
    <definedName name="SKOLA_OCH_RESTAURANG">'4. Reduktionsfaktorer, LENI-tal'!$R$13:$R$21</definedName>
    <definedName name="SKOLE_OG_RESTAURANT">'4. Reduktionsfaktorer, LENI-tal'!$R$13:$R$21</definedName>
    <definedName name="SPORTHALL">'4. Reduktionsfaktorer, LENI-tal'!$S$13:$S$17</definedName>
    <definedName name="SPORTHALLAR">#REF!</definedName>
    <definedName name="SPORTHALLE">'4. Reduktionsfaktorer, LENI-tal'!$S$13:$S$17</definedName>
    <definedName name="SPORTS_HALL">'4. Reduktionsfaktorer, LENI-tal'!$S$13:$S$17</definedName>
    <definedName name="Språkval" localSheetId="1">Förutsättningar!$V$18</definedName>
    <definedName name="Språkval">Förutsättningar!$V$18</definedName>
    <definedName name="STYRNING">#REF!</definedName>
    <definedName name="SYKEHUS">'4. Reduktionsfaktorer, LENI-tal'!$T$13:$T$20</definedName>
    <definedName name="test" localSheetId="10">Sammanfattning!$B:$V</definedName>
    <definedName name="_xlnm.Print_Area" localSheetId="17">'7. Svarsformulär'!$C$7:$O$84,'7. Svarsformulär'!$S$7:$AE$84</definedName>
    <definedName name="_xlnm.Print_Area" localSheetId="10">Sammanfattning!$B:$V</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23" l="1"/>
  <c r="I19" i="23"/>
  <c r="U28" i="31"/>
  <c r="U26" i="31"/>
  <c r="D155" i="30" a="1"/>
  <c r="I233" i="12" a="1"/>
  <c r="B8" i="36" a="1"/>
  <c r="E30" i="32" a="1"/>
  <c r="I235" i="12" a="1"/>
  <c r="D134" i="30" a="1"/>
  <c r="I234" i="12" a="1"/>
  <c r="D135" i="30" a="1"/>
  <c r="G28" i="32" a="1"/>
  <c r="D28" i="30" a="1"/>
  <c r="D30" i="32" a="1"/>
  <c r="I232" i="12" a="1"/>
  <c r="D158" i="30" a="1"/>
  <c r="C30" i="32" a="1"/>
  <c r="B9" i="36" a="1"/>
  <c r="G27" i="32" a="1"/>
  <c r="D153" i="30" a="1"/>
  <c r="E162" i="30" a="1"/>
  <c r="B7" i="36" a="1"/>
  <c r="D161" i="30" a="1"/>
  <c r="I235" i="12" l="1"/>
  <c r="I234" i="12"/>
  <c r="I233" i="12"/>
  <c r="I232" i="12"/>
  <c r="B9" i="36"/>
  <c r="Q25" i="32" s="1"/>
  <c r="E162" i="30"/>
  <c r="D161" i="30"/>
  <c r="D158" i="30"/>
  <c r="D155" i="30"/>
  <c r="D153" i="30"/>
  <c r="D135" i="30"/>
  <c r="D134" i="30"/>
  <c r="G28" i="32"/>
  <c r="G27" i="32"/>
  <c r="B8" i="36"/>
  <c r="B7" i="36"/>
  <c r="E30" i="32"/>
  <c r="D30" i="32"/>
  <c r="C30" i="32"/>
  <c r="D28" i="30"/>
  <c r="D29" i="30" a="1"/>
  <c r="K9" i="30" a="1"/>
  <c r="D22" i="30" a="1"/>
  <c r="R21" i="30" a="1"/>
  <c r="L21" i="30" a="1"/>
  <c r="D24" i="30" a="1"/>
  <c r="D27" i="30" a="1"/>
  <c r="D25" i="30" a="1"/>
  <c r="D21" i="30" a="1"/>
  <c r="O21" i="30" a="1"/>
  <c r="D23" i="30" a="1"/>
  <c r="K14" i="30" a="1"/>
  <c r="I21" i="30" a="1"/>
  <c r="D9" i="30" a="1"/>
  <c r="J83" i="12" l="1"/>
  <c r="N83" i="12"/>
  <c r="O83" i="12"/>
  <c r="I83" i="12"/>
  <c r="K83" i="12"/>
  <c r="L83" i="12"/>
  <c r="M83" i="12"/>
  <c r="P83" i="12"/>
  <c r="Q83" i="12"/>
  <c r="R83" i="12"/>
  <c r="O25" i="32"/>
  <c r="P25" i="32"/>
  <c r="M25" i="32"/>
  <c r="N25" i="32"/>
  <c r="K25" i="32"/>
  <c r="L25" i="32"/>
  <c r="I25" i="32"/>
  <c r="J25" i="32"/>
  <c r="H25" i="32"/>
  <c r="D27" i="30"/>
  <c r="D25" i="30"/>
  <c r="I21" i="30"/>
  <c r="D24" i="30"/>
  <c r="D23" i="30"/>
  <c r="D22" i="30"/>
  <c r="D29" i="30"/>
  <c r="R21" i="30"/>
  <c r="O21" i="30"/>
  <c r="L21" i="30"/>
  <c r="D21" i="30"/>
  <c r="K9" i="30"/>
  <c r="D9" i="30"/>
  <c r="K14" i="30"/>
  <c r="J15" i="30"/>
  <c r="J16" i="30"/>
  <c r="J17" i="30"/>
  <c r="J18" i="30"/>
  <c r="J19" i="30"/>
  <c r="J14" i="30"/>
  <c r="F12" i="30"/>
  <c r="F13" i="30"/>
  <c r="F11" i="30"/>
  <c r="Q38" i="22"/>
  <c r="R38" i="22"/>
  <c r="S38" i="22"/>
  <c r="T38" i="22"/>
  <c r="Q39" i="22"/>
  <c r="R39" i="22"/>
  <c r="S39" i="22"/>
  <c r="T39" i="22"/>
  <c r="Q40" i="22"/>
  <c r="R40" i="22"/>
  <c r="S40" i="22"/>
  <c r="T40" i="22"/>
  <c r="Q41" i="22"/>
  <c r="R41" i="22"/>
  <c r="S41" i="22"/>
  <c r="T41" i="22"/>
  <c r="Q42" i="22"/>
  <c r="R42" i="22"/>
  <c r="S42" i="22"/>
  <c r="T42" i="22"/>
  <c r="R37" i="22"/>
  <c r="S37" i="22"/>
  <c r="T37" i="22"/>
  <c r="Q37" i="22"/>
  <c r="I20" i="12"/>
  <c r="E263" i="37"/>
  <c r="F263" i="37"/>
  <c r="G263" i="37"/>
  <c r="E265" i="37"/>
  <c r="F265" i="37"/>
  <c r="G265" i="37"/>
  <c r="E267" i="37"/>
  <c r="F267" i="37"/>
  <c r="G267" i="37"/>
  <c r="E269" i="37"/>
  <c r="F269" i="37"/>
  <c r="G269" i="37"/>
  <c r="F261" i="37"/>
  <c r="G261" i="37"/>
  <c r="E261" i="37"/>
  <c r="C161" i="12" a="1"/>
  <c r="C161" i="12" s="1"/>
  <c r="A1" i="31"/>
  <c r="C25" i="12" a="1"/>
  <c r="C25" i="12" s="1"/>
  <c r="C18" i="12" a="1"/>
  <c r="C18" i="12" s="1"/>
  <c r="C16" i="12" a="1"/>
  <c r="C16" i="12" s="1"/>
  <c r="C16" i="23" s="1"/>
  <c r="J20" i="12"/>
  <c r="K20" i="12"/>
  <c r="L20" i="12"/>
  <c r="M20" i="12"/>
  <c r="N20" i="12"/>
  <c r="O20" i="12"/>
  <c r="P20" i="12"/>
  <c r="Q20" i="12"/>
  <c r="R20" i="12"/>
  <c r="J50" i="23"/>
  <c r="I71" i="12"/>
  <c r="C38" i="32" a="1"/>
  <c r="C38" i="32" s="1"/>
  <c r="J21" i="23"/>
  <c r="K21" i="23"/>
  <c r="L21" i="23"/>
  <c r="M21" i="23"/>
  <c r="N21" i="23"/>
  <c r="O21" i="23"/>
  <c r="P21" i="23"/>
  <c r="Q21" i="23"/>
  <c r="R21" i="23"/>
  <c r="J22" i="23"/>
  <c r="K22" i="23"/>
  <c r="L22" i="23"/>
  <c r="M22" i="23"/>
  <c r="N22" i="23"/>
  <c r="O22" i="23"/>
  <c r="P22" i="23"/>
  <c r="Q22" i="23"/>
  <c r="R22" i="23"/>
  <c r="I22" i="23"/>
  <c r="J19" i="23"/>
  <c r="K19" i="23"/>
  <c r="L19" i="23"/>
  <c r="M19" i="23"/>
  <c r="N19" i="23"/>
  <c r="O19" i="23"/>
  <c r="P19" i="23"/>
  <c r="P225" i="23" s="1"/>
  <c r="Q19" i="23"/>
  <c r="R19" i="23"/>
  <c r="V28" i="31" a="1"/>
  <c r="H17" i="22" a="1"/>
  <c r="V24" i="31" a="1"/>
  <c r="C169" i="12" a="1"/>
  <c r="G24" i="22" a="1"/>
  <c r="H153" i="12" a="1"/>
  <c r="H41" i="22" a="1"/>
  <c r="H45" i="22" a="1"/>
  <c r="H158" i="12" a="1"/>
  <c r="H50" i="22" a="1"/>
  <c r="C167" i="12" a="1"/>
  <c r="C168" i="12" a="1"/>
  <c r="P22" i="31" a="1"/>
  <c r="H19" i="22" a="1"/>
  <c r="H53" i="22" a="1"/>
  <c r="H27" i="22" a="1"/>
  <c r="G38" i="22" a="1"/>
  <c r="C152" i="12" a="1"/>
  <c r="H39" i="22" a="1"/>
  <c r="C158" i="12" a="1"/>
  <c r="H28" i="12" a="1"/>
  <c r="C34" i="12" a="1"/>
  <c r="C191" i="12" a="1"/>
  <c r="H35" i="22" a="1"/>
  <c r="H152" i="23" a="1"/>
  <c r="H27" i="23" a="1"/>
  <c r="H18" i="22" a="1"/>
  <c r="C24" i="12" a="1"/>
  <c r="H21" i="22" a="1"/>
  <c r="C164" i="12" a="1"/>
  <c r="H47" i="22" a="1"/>
  <c r="H49" i="22" a="1"/>
  <c r="P25" i="31" a="1"/>
  <c r="C153" i="12" a="1"/>
  <c r="C147" i="23" a="1"/>
  <c r="C180" i="12" a="1"/>
  <c r="C171" i="12" a="1"/>
  <c r="C178" i="12" a="1"/>
  <c r="C21" i="12" a="1"/>
  <c r="C29" i="12" a="1"/>
  <c r="G46" i="22" a="1"/>
  <c r="C28" i="12" a="1"/>
  <c r="V29" i="31" a="1"/>
  <c r="C174" i="12" a="1"/>
  <c r="C172" i="12" a="1"/>
  <c r="C30" i="23" a="1"/>
  <c r="H22" i="22" a="1"/>
  <c r="B6" i="36" a="1"/>
  <c r="H15" i="22" a="1"/>
  <c r="C170" i="12" a="1"/>
  <c r="C154" i="12" a="1"/>
  <c r="C194" i="12" a="1"/>
  <c r="C28" i="23" a="1"/>
  <c r="H28" i="22" a="1"/>
  <c r="C158" i="23" a="1"/>
  <c r="C19" i="12" a="1"/>
  <c r="P28" i="31" a="1"/>
  <c r="D7" i="30" a="1"/>
  <c r="H38" i="22" a="1"/>
  <c r="C150" i="23" a="1"/>
  <c r="C175" i="12" a="1"/>
  <c r="H32" i="12" a="1"/>
  <c r="H20" i="22" a="1"/>
  <c r="H153" i="23" a="1"/>
  <c r="C155" i="23" a="1"/>
  <c r="C32" i="23" a="1"/>
  <c r="H30" i="23" a="1"/>
  <c r="C23" i="12" a="1"/>
  <c r="C36" i="23" a="1"/>
  <c r="H23" i="22" a="1"/>
  <c r="C32" i="12" a="1"/>
  <c r="C179" i="12" a="1"/>
  <c r="H36" i="23" a="1"/>
  <c r="C166" i="12" a="1"/>
  <c r="H33" i="22" a="1"/>
  <c r="C23" i="23" a="1"/>
  <c r="G33" i="22" a="1"/>
  <c r="C146" i="12" a="1"/>
  <c r="H42" i="22" a="1"/>
  <c r="V26" i="31" a="1"/>
  <c r="H30" i="22" a="1"/>
  <c r="C29" i="23" a="1"/>
  <c r="H23" i="12" a="1"/>
  <c r="H16" i="22" a="1"/>
  <c r="C20" i="23" a="1"/>
  <c r="H54" i="22" a="1"/>
  <c r="H14" i="22" a="1"/>
  <c r="G13" i="22" a="1"/>
  <c r="C35" i="23" a="1"/>
  <c r="P26" i="31" a="1"/>
  <c r="C173" i="12" a="1"/>
  <c r="H13" i="22" a="1"/>
  <c r="H46" i="22" a="1"/>
  <c r="H34" i="12" a="1"/>
  <c r="H24" i="23" a="1"/>
  <c r="C196" i="12" a="1"/>
  <c r="C27" i="12" a="1"/>
  <c r="H152" i="12" a="1"/>
  <c r="H48" i="22" a="1"/>
  <c r="C30" i="12" a="1"/>
  <c r="H158" i="23" a="1"/>
  <c r="C176" i="12" a="1"/>
  <c r="C152" i="23" a="1"/>
  <c r="C157" i="12" a="1"/>
  <c r="C22" i="23" a="1"/>
  <c r="H34" i="22" a="1"/>
  <c r="C156" i="23" a="1"/>
  <c r="C31" i="23" a="1"/>
  <c r="H31" i="22" a="1"/>
  <c r="H23" i="23" a="1"/>
  <c r="C34" i="23" a="1"/>
  <c r="C177" i="12" a="1"/>
  <c r="C22" i="12" a="1"/>
  <c r="H29" i="23" a="1"/>
  <c r="C26" i="23" a="1"/>
  <c r="C149" i="12" a="1"/>
  <c r="C31" i="12" a="1"/>
  <c r="C25" i="23" a="1"/>
  <c r="C18" i="23" a="1"/>
  <c r="P21" i="31" a="1"/>
  <c r="C146" i="23" a="1"/>
  <c r="H191" i="12" a="1"/>
  <c r="C26" i="12" a="1"/>
  <c r="C21" i="23" a="1"/>
  <c r="C195" i="12" a="1"/>
  <c r="C153" i="23" a="1"/>
  <c r="C27" i="23" a="1"/>
  <c r="P24" i="31" a="1"/>
  <c r="C155" i="12" a="1"/>
  <c r="P27" i="31" a="1"/>
  <c r="H36" i="12" a="1"/>
  <c r="H44" i="22" a="1"/>
  <c r="C35" i="12" a="1"/>
  <c r="H26" i="22" a="1"/>
  <c r="C163" i="12" a="1"/>
  <c r="C19" i="23" a="1"/>
  <c r="H33" i="12" a="1"/>
  <c r="H30" i="12" a="1"/>
  <c r="C33" i="12" a="1"/>
  <c r="C33" i="23" a="1"/>
  <c r="H40" i="22" a="1"/>
  <c r="H43" i="22" a="1"/>
  <c r="H37" i="22" a="1"/>
  <c r="H24" i="22" a="1"/>
  <c r="P20" i="31" a="1"/>
  <c r="C154" i="23" a="1"/>
  <c r="C192" i="12" a="1"/>
  <c r="C156" i="12" a="1"/>
  <c r="H28" i="23" a="1"/>
  <c r="P29" i="31" a="1"/>
  <c r="H147" i="12" a="1"/>
  <c r="H51" i="22" a="1"/>
  <c r="C20" i="12" a="1"/>
  <c r="H29" i="12" a="1"/>
  <c r="C165" i="12" a="1"/>
  <c r="C36" i="12" a="1"/>
  <c r="H25" i="22" a="1"/>
  <c r="H29" i="22" a="1"/>
  <c r="C147" i="12" a="1"/>
  <c r="C157" i="23" a="1"/>
  <c r="H36" i="22" a="1"/>
  <c r="C24" i="23" a="1"/>
  <c r="H24" i="12" a="1"/>
  <c r="H32" i="22" a="1"/>
  <c r="C149" i="23" a="1"/>
  <c r="H27" i="12" a="1"/>
  <c r="H52" i="22" a="1"/>
  <c r="P19" i="31" a="1"/>
  <c r="B6" i="36" l="1"/>
  <c r="D7" i="30"/>
  <c r="H14" i="22"/>
  <c r="H13" i="22"/>
  <c r="H19" i="22"/>
  <c r="H23" i="22"/>
  <c r="H22" i="22"/>
  <c r="H21" i="22"/>
  <c r="H15" i="22"/>
  <c r="H18" i="22"/>
  <c r="H16" i="22"/>
  <c r="H20" i="22"/>
  <c r="H17" i="22"/>
  <c r="H52" i="22"/>
  <c r="H48" i="22"/>
  <c r="H47" i="22"/>
  <c r="H46" i="22"/>
  <c r="H45" i="22"/>
  <c r="H54" i="22"/>
  <c r="H44" i="22"/>
  <c r="H43" i="22"/>
  <c r="H50" i="22"/>
  <c r="H40" i="22"/>
  <c r="H53" i="22"/>
  <c r="H42" i="22"/>
  <c r="H51" i="22"/>
  <c r="H41" i="22"/>
  <c r="H49" i="22"/>
  <c r="H39" i="22"/>
  <c r="H38" i="22"/>
  <c r="H35" i="22"/>
  <c r="H37" i="22"/>
  <c r="H36" i="22"/>
  <c r="H34" i="22"/>
  <c r="H33" i="22"/>
  <c r="H32" i="22"/>
  <c r="H31" i="22"/>
  <c r="H30" i="22"/>
  <c r="H26" i="22"/>
  <c r="H29" i="22"/>
  <c r="H28" i="22"/>
  <c r="H27" i="22"/>
  <c r="H25" i="22"/>
  <c r="H24" i="22"/>
  <c r="G46" i="22"/>
  <c r="U12" i="22" s="1"/>
  <c r="G38" i="22"/>
  <c r="G33" i="22"/>
  <c r="G24" i="22"/>
  <c r="G13" i="22"/>
  <c r="H158" i="23"/>
  <c r="H153" i="23"/>
  <c r="H152" i="23"/>
  <c r="C158" i="23"/>
  <c r="C157" i="23"/>
  <c r="C156" i="23"/>
  <c r="C155" i="23"/>
  <c r="C154" i="23"/>
  <c r="C153" i="23"/>
  <c r="C152" i="23"/>
  <c r="C150" i="23"/>
  <c r="C149" i="23"/>
  <c r="C196" i="12"/>
  <c r="C195" i="12"/>
  <c r="C194" i="12"/>
  <c r="C192" i="12"/>
  <c r="C191" i="12"/>
  <c r="C180" i="12"/>
  <c r="C179" i="12"/>
  <c r="C178" i="12"/>
  <c r="C177" i="12"/>
  <c r="C176" i="12"/>
  <c r="H191" i="12"/>
  <c r="H192" i="12" s="1"/>
  <c r="C175" i="12"/>
  <c r="C174" i="12"/>
  <c r="C190" i="12" s="1"/>
  <c r="C172" i="12"/>
  <c r="C188" i="12" s="1"/>
  <c r="C165" i="12"/>
  <c r="C181" i="12" s="1"/>
  <c r="C173" i="12"/>
  <c r="C189" i="12" s="1"/>
  <c r="C171" i="12"/>
  <c r="C187" i="12" s="1"/>
  <c r="C170" i="12"/>
  <c r="C186" i="12" s="1"/>
  <c r="C169" i="12"/>
  <c r="C185" i="12" s="1"/>
  <c r="C168" i="12"/>
  <c r="C184" i="12" s="1"/>
  <c r="C167" i="12"/>
  <c r="C183" i="12" s="1"/>
  <c r="C166" i="12"/>
  <c r="C182" i="12" s="1"/>
  <c r="C164" i="12"/>
  <c r="C163" i="12"/>
  <c r="C146" i="12"/>
  <c r="C149" i="12"/>
  <c r="H158" i="12"/>
  <c r="H153" i="12"/>
  <c r="H152" i="12"/>
  <c r="C158" i="12"/>
  <c r="C157" i="12"/>
  <c r="C156" i="12"/>
  <c r="C155" i="12"/>
  <c r="C154" i="12"/>
  <c r="C153" i="12"/>
  <c r="C152" i="12"/>
  <c r="H147" i="12"/>
  <c r="C147" i="12"/>
  <c r="C147" i="23"/>
  <c r="C146" i="23"/>
  <c r="H24" i="23"/>
  <c r="H23" i="23"/>
  <c r="H36" i="23"/>
  <c r="H30" i="23"/>
  <c r="H138" i="23" s="1"/>
  <c r="H28" i="23"/>
  <c r="H136" i="23" s="1"/>
  <c r="H29" i="23"/>
  <c r="H137" i="23" s="1"/>
  <c r="H27" i="23"/>
  <c r="H135" i="23" s="1"/>
  <c r="C34" i="23"/>
  <c r="C36" i="23"/>
  <c r="C144" i="23" s="1"/>
  <c r="C35" i="23"/>
  <c r="C143" i="23" s="1"/>
  <c r="C33" i="23"/>
  <c r="C32" i="23"/>
  <c r="C31" i="23"/>
  <c r="C139" i="23" s="1"/>
  <c r="C30" i="23"/>
  <c r="C138" i="23" s="1"/>
  <c r="C29" i="23"/>
  <c r="C137" i="23" s="1"/>
  <c r="C28" i="23"/>
  <c r="C136" i="23" s="1"/>
  <c r="C27" i="23"/>
  <c r="C135" i="23" s="1"/>
  <c r="C26" i="23"/>
  <c r="C134" i="23" s="1"/>
  <c r="C25" i="23"/>
  <c r="C22" i="23"/>
  <c r="C21" i="23"/>
  <c r="C20" i="23"/>
  <c r="C24" i="23"/>
  <c r="C23" i="23"/>
  <c r="C19" i="23"/>
  <c r="H36" i="12"/>
  <c r="H144" i="12" s="1"/>
  <c r="H30" i="12"/>
  <c r="H138" i="12" s="1"/>
  <c r="H29" i="12"/>
  <c r="H137" i="12" s="1"/>
  <c r="H28" i="12"/>
  <c r="H136" i="12" s="1"/>
  <c r="H27" i="12"/>
  <c r="H24" i="12"/>
  <c r="H23" i="12"/>
  <c r="C24" i="12"/>
  <c r="C23" i="12"/>
  <c r="C21" i="12"/>
  <c r="C22" i="12"/>
  <c r="C20" i="12"/>
  <c r="C19" i="12"/>
  <c r="C18" i="23"/>
  <c r="C36" i="12"/>
  <c r="C48" i="12" s="1"/>
  <c r="C35" i="12"/>
  <c r="C47" i="12" s="1"/>
  <c r="C34" i="12"/>
  <c r="C46" i="12" s="1"/>
  <c r="C33" i="12"/>
  <c r="C45" i="12" s="1"/>
  <c r="C32" i="12"/>
  <c r="C44" i="12" s="1"/>
  <c r="C31" i="12"/>
  <c r="C43" i="12" s="1"/>
  <c r="C28" i="12"/>
  <c r="C40" i="12" s="1"/>
  <c r="C30" i="12"/>
  <c r="C42" i="12" s="1"/>
  <c r="C29" i="12"/>
  <c r="C41" i="12" s="1"/>
  <c r="C27" i="12"/>
  <c r="C39" i="12" s="1"/>
  <c r="C26" i="12"/>
  <c r="V29" i="31"/>
  <c r="K19" i="30" s="1"/>
  <c r="V28" i="31"/>
  <c r="K18" i="30" s="1"/>
  <c r="V26" i="31"/>
  <c r="K16" i="30" s="1"/>
  <c r="V24" i="31"/>
  <c r="P29" i="31"/>
  <c r="D19" i="30" s="1"/>
  <c r="P27" i="31"/>
  <c r="D17" i="30" s="1"/>
  <c r="P26" i="31"/>
  <c r="D16" i="30" s="1"/>
  <c r="P28" i="31"/>
  <c r="D18" i="30" s="1"/>
  <c r="P25" i="31"/>
  <c r="P24" i="31"/>
  <c r="D14" i="30" s="1"/>
  <c r="P21" i="31"/>
  <c r="D12" i="30" s="1"/>
  <c r="P22" i="31"/>
  <c r="D13" i="30" s="1"/>
  <c r="P20" i="31"/>
  <c r="P19" i="31"/>
  <c r="P219" i="23"/>
  <c r="N185" i="23"/>
  <c r="R219" i="23"/>
  <c r="O182" i="23"/>
  <c r="O219" i="23"/>
  <c r="Q222" i="23"/>
  <c r="M188" i="23"/>
  <c r="M219" i="23"/>
  <c r="L167" i="23"/>
  <c r="K165" i="23"/>
  <c r="O167" i="23"/>
  <c r="Q219" i="23"/>
  <c r="H32" i="12"/>
  <c r="H34" i="12"/>
  <c r="H33" i="12"/>
  <c r="P167" i="23"/>
  <c r="Q167" i="23"/>
  <c r="P222" i="23"/>
  <c r="O222" i="23"/>
  <c r="N167" i="23"/>
  <c r="M167" i="23"/>
  <c r="Q190" i="23"/>
  <c r="M225" i="23"/>
  <c r="M222" i="23"/>
  <c r="N190" i="23"/>
  <c r="N222" i="23"/>
  <c r="N219" i="23"/>
  <c r="R190" i="23"/>
  <c r="P190" i="23"/>
  <c r="Q187" i="23"/>
  <c r="O173" i="23"/>
  <c r="R187" i="23"/>
  <c r="O187" i="23"/>
  <c r="N182" i="23"/>
  <c r="O170" i="23"/>
  <c r="O190" i="23"/>
  <c r="M173" i="23"/>
  <c r="M185" i="23"/>
  <c r="P170" i="23"/>
  <c r="N170" i="23"/>
  <c r="O225" i="23"/>
  <c r="M190" i="23"/>
  <c r="N173" i="23"/>
  <c r="N187" i="23"/>
  <c r="M182" i="23"/>
  <c r="M170" i="23"/>
  <c r="N225" i="23"/>
  <c r="R181" i="23"/>
  <c r="R172" i="23"/>
  <c r="P184" i="23"/>
  <c r="R224" i="23"/>
  <c r="Q181" i="23"/>
  <c r="Q172" i="23"/>
  <c r="R169" i="23"/>
  <c r="O184" i="23"/>
  <c r="P181" i="23"/>
  <c r="Q224" i="23"/>
  <c r="P172" i="23"/>
  <c r="Q169" i="23"/>
  <c r="M187" i="23"/>
  <c r="N184" i="23"/>
  <c r="O181" i="23"/>
  <c r="P224" i="23"/>
  <c r="Q221" i="23"/>
  <c r="R218" i="23"/>
  <c r="O172" i="23"/>
  <c r="Q166" i="23"/>
  <c r="M184" i="23"/>
  <c r="N181" i="23"/>
  <c r="Q218" i="23"/>
  <c r="N172" i="23"/>
  <c r="O169" i="23"/>
  <c r="P166" i="23"/>
  <c r="Q189" i="23"/>
  <c r="M181" i="23"/>
  <c r="N224" i="23"/>
  <c r="O221" i="23"/>
  <c r="P218" i="23"/>
  <c r="Q174" i="23"/>
  <c r="R171" i="23"/>
  <c r="M166" i="23"/>
  <c r="P183" i="23"/>
  <c r="Q226" i="23"/>
  <c r="M218" i="23"/>
  <c r="O174" i="23"/>
  <c r="P171" i="23"/>
  <c r="Q168" i="23"/>
  <c r="R165" i="23"/>
  <c r="M186" i="23"/>
  <c r="N183" i="23"/>
  <c r="O226" i="23"/>
  <c r="P223" i="23"/>
  <c r="Q220" i="23"/>
  <c r="R217" i="23"/>
  <c r="P168" i="23"/>
  <c r="R189" i="23"/>
  <c r="P221" i="23"/>
  <c r="P174" i="23"/>
  <c r="Q171" i="23"/>
  <c r="R168" i="23"/>
  <c r="L166" i="23"/>
  <c r="M189" i="23"/>
  <c r="N186" i="23"/>
  <c r="O183" i="23"/>
  <c r="P226" i="23"/>
  <c r="Q223" i="23"/>
  <c r="R220" i="23"/>
  <c r="P169" i="23"/>
  <c r="O224" i="23"/>
  <c r="R186" i="23"/>
  <c r="M172" i="23"/>
  <c r="N169" i="23"/>
  <c r="O166" i="23"/>
  <c r="P189" i="23"/>
  <c r="Q186" i="23"/>
  <c r="R183" i="23"/>
  <c r="M224" i="23"/>
  <c r="N221" i="23"/>
  <c r="O218" i="23"/>
  <c r="R223" i="23"/>
  <c r="N174" i="23"/>
  <c r="O171" i="23"/>
  <c r="Q165" i="23"/>
  <c r="R188" i="23"/>
  <c r="M183" i="23"/>
  <c r="N226" i="23"/>
  <c r="O223" i="23"/>
  <c r="P220" i="23"/>
  <c r="Q217" i="23"/>
  <c r="N171" i="23"/>
  <c r="Q188" i="23"/>
  <c r="N223" i="23"/>
  <c r="P217" i="23"/>
  <c r="M171" i="23"/>
  <c r="O165" i="23"/>
  <c r="Q185" i="23"/>
  <c r="M223" i="23"/>
  <c r="N220" i="23"/>
  <c r="R173" i="23"/>
  <c r="M168" i="23"/>
  <c r="O188" i="23"/>
  <c r="P185" i="23"/>
  <c r="Q182" i="23"/>
  <c r="R225" i="23"/>
  <c r="M220" i="23"/>
  <c r="N217" i="23"/>
  <c r="R221" i="23"/>
  <c r="R166" i="23"/>
  <c r="N189" i="23"/>
  <c r="N168" i="23"/>
  <c r="R182" i="23"/>
  <c r="O217" i="23"/>
  <c r="N188" i="23"/>
  <c r="P182" i="23"/>
  <c r="Q225" i="23"/>
  <c r="R222" i="23"/>
  <c r="M217" i="23"/>
  <c r="R184" i="23"/>
  <c r="P187" i="23"/>
  <c r="Q184" i="23"/>
  <c r="R174" i="23"/>
  <c r="M169" i="23"/>
  <c r="N166" i="23"/>
  <c r="O189" i="23"/>
  <c r="P186" i="23"/>
  <c r="Q183" i="23"/>
  <c r="R226" i="23"/>
  <c r="M221" i="23"/>
  <c r="N218" i="23"/>
  <c r="O186" i="23"/>
  <c r="L221" i="23"/>
  <c r="M174" i="23"/>
  <c r="O168" i="23"/>
  <c r="P165" i="23"/>
  <c r="R185" i="23"/>
  <c r="M226" i="23"/>
  <c r="O220" i="23"/>
  <c r="L174" i="23"/>
  <c r="P188" i="23"/>
  <c r="N165" i="23"/>
  <c r="Q173" i="23"/>
  <c r="R170" i="23"/>
  <c r="M165" i="23"/>
  <c r="O185" i="23"/>
  <c r="P173" i="23"/>
  <c r="Q170" i="23"/>
  <c r="R167" i="23"/>
  <c r="L165" i="23"/>
  <c r="K174" i="23"/>
  <c r="K167" i="23"/>
  <c r="K166" i="23"/>
  <c r="L152" i="23"/>
  <c r="M152" i="23"/>
  <c r="N152" i="23"/>
  <c r="O152" i="23"/>
  <c r="P152" i="23"/>
  <c r="Q152" i="23"/>
  <c r="R152" i="23"/>
  <c r="K152" i="23"/>
  <c r="J24" i="23"/>
  <c r="K24" i="23"/>
  <c r="L24" i="23"/>
  <c r="M24" i="23"/>
  <c r="N24" i="23"/>
  <c r="O24" i="23"/>
  <c r="P24" i="23"/>
  <c r="Q24" i="23"/>
  <c r="R24" i="23"/>
  <c r="I24" i="23"/>
  <c r="J23" i="23"/>
  <c r="J165" i="23" s="1"/>
  <c r="K23" i="23"/>
  <c r="L23" i="23"/>
  <c r="M23" i="23"/>
  <c r="N23" i="23"/>
  <c r="O23" i="23"/>
  <c r="P23" i="23"/>
  <c r="Q23" i="23"/>
  <c r="R23" i="23"/>
  <c r="I23" i="23"/>
  <c r="I167" i="12"/>
  <c r="J168" i="12"/>
  <c r="J62" i="23"/>
  <c r="O38" i="23"/>
  <c r="P38" i="23"/>
  <c r="Q38" i="23"/>
  <c r="R38" i="23"/>
  <c r="J134" i="23"/>
  <c r="K134" i="23"/>
  <c r="L134" i="23"/>
  <c r="M134" i="23"/>
  <c r="N134" i="23"/>
  <c r="O134" i="23"/>
  <c r="P134" i="23"/>
  <c r="Q134" i="23"/>
  <c r="R134" i="23"/>
  <c r="I134" i="23"/>
  <c r="J122" i="23"/>
  <c r="K122" i="23"/>
  <c r="L122" i="23"/>
  <c r="M122" i="23"/>
  <c r="N122" i="23"/>
  <c r="O122" i="23"/>
  <c r="P122" i="23"/>
  <c r="Q122" i="23"/>
  <c r="R122" i="23"/>
  <c r="I122" i="23"/>
  <c r="J110" i="23"/>
  <c r="K110" i="23"/>
  <c r="L110" i="23"/>
  <c r="M110" i="23"/>
  <c r="N110" i="23"/>
  <c r="O110" i="23"/>
  <c r="P110" i="23"/>
  <c r="Q110" i="23"/>
  <c r="R110" i="23"/>
  <c r="I110" i="23"/>
  <c r="J98" i="23"/>
  <c r="K98" i="23"/>
  <c r="L98" i="23"/>
  <c r="M98" i="23"/>
  <c r="N98" i="23"/>
  <c r="O98" i="23"/>
  <c r="P98" i="23"/>
  <c r="Q98" i="23"/>
  <c r="R98" i="23"/>
  <c r="I98" i="23"/>
  <c r="J86" i="23"/>
  <c r="K86" i="23"/>
  <c r="L86" i="23"/>
  <c r="M86" i="23"/>
  <c r="N86" i="23"/>
  <c r="O86" i="23"/>
  <c r="P86" i="23"/>
  <c r="Q86" i="23"/>
  <c r="R86" i="23"/>
  <c r="I86" i="23"/>
  <c r="J74" i="23"/>
  <c r="K74" i="23"/>
  <c r="L74" i="23"/>
  <c r="M74" i="23"/>
  <c r="N74" i="23"/>
  <c r="O74" i="23"/>
  <c r="P74" i="23"/>
  <c r="Q74" i="23"/>
  <c r="R74" i="23"/>
  <c r="I74" i="23"/>
  <c r="K62" i="23"/>
  <c r="L62" i="23"/>
  <c r="M62" i="23"/>
  <c r="N62" i="23"/>
  <c r="O62" i="23"/>
  <c r="P62" i="23"/>
  <c r="Q62" i="23"/>
  <c r="R62" i="23"/>
  <c r="I62" i="23"/>
  <c r="K50" i="23"/>
  <c r="L50" i="23"/>
  <c r="M50" i="23"/>
  <c r="N50" i="23"/>
  <c r="O50" i="23"/>
  <c r="P50" i="23"/>
  <c r="Q50" i="23"/>
  <c r="R50" i="23"/>
  <c r="I50" i="23"/>
  <c r="J38" i="23"/>
  <c r="K38" i="23"/>
  <c r="L38" i="23"/>
  <c r="M38" i="23"/>
  <c r="N38" i="23"/>
  <c r="I38" i="23"/>
  <c r="J26" i="23"/>
  <c r="K26" i="23"/>
  <c r="L26" i="23"/>
  <c r="M26" i="23"/>
  <c r="N26" i="23"/>
  <c r="O26" i="23"/>
  <c r="P26" i="23"/>
  <c r="Q26" i="23"/>
  <c r="R26" i="23"/>
  <c r="I26" i="23"/>
  <c r="I143" i="23"/>
  <c r="J143" i="23"/>
  <c r="K143" i="23"/>
  <c r="K226" i="23" s="1"/>
  <c r="L143" i="23"/>
  <c r="L226" i="23" s="1"/>
  <c r="M143" i="23"/>
  <c r="N143" i="23"/>
  <c r="O143" i="23"/>
  <c r="P143" i="23"/>
  <c r="Q143" i="23"/>
  <c r="R143" i="23"/>
  <c r="I131" i="23"/>
  <c r="J131" i="23"/>
  <c r="K131" i="23"/>
  <c r="K225" i="23" s="1"/>
  <c r="L131" i="23"/>
  <c r="L225" i="23" s="1"/>
  <c r="M131" i="23"/>
  <c r="N131" i="23"/>
  <c r="O131" i="23"/>
  <c r="P131" i="23"/>
  <c r="Q131" i="23"/>
  <c r="R131" i="23"/>
  <c r="I119" i="23"/>
  <c r="J119" i="23"/>
  <c r="K119" i="23"/>
  <c r="K188" i="23" s="1"/>
  <c r="L119" i="23"/>
  <c r="L224" i="23" s="1"/>
  <c r="M119" i="23"/>
  <c r="N119" i="23"/>
  <c r="O119" i="23"/>
  <c r="P119" i="23"/>
  <c r="Q119" i="23"/>
  <c r="R119" i="23"/>
  <c r="J107" i="23"/>
  <c r="K107" i="23"/>
  <c r="K187" i="23" s="1"/>
  <c r="L107" i="23"/>
  <c r="L187" i="23" s="1"/>
  <c r="M107" i="23"/>
  <c r="N107" i="23"/>
  <c r="O107" i="23"/>
  <c r="P107" i="23"/>
  <c r="Q107" i="23"/>
  <c r="R107" i="23"/>
  <c r="I95" i="23"/>
  <c r="J95" i="23"/>
  <c r="J186" i="23" s="1"/>
  <c r="K95" i="23"/>
  <c r="K186" i="23" s="1"/>
  <c r="L95" i="23"/>
  <c r="L222" i="23" s="1"/>
  <c r="M95" i="23"/>
  <c r="N95" i="23"/>
  <c r="O95" i="23"/>
  <c r="P95" i="23"/>
  <c r="Q95" i="23"/>
  <c r="R95" i="23"/>
  <c r="J83" i="23"/>
  <c r="K83" i="23"/>
  <c r="K185" i="23" s="1"/>
  <c r="L83" i="23"/>
  <c r="L185" i="23" s="1"/>
  <c r="M83" i="23"/>
  <c r="N83" i="23"/>
  <c r="O83" i="23"/>
  <c r="P83" i="23"/>
  <c r="Q83" i="23"/>
  <c r="R83" i="23"/>
  <c r="I71" i="23"/>
  <c r="J71" i="23"/>
  <c r="K71" i="23"/>
  <c r="K220" i="23" s="1"/>
  <c r="L71" i="23"/>
  <c r="L220" i="23" s="1"/>
  <c r="M71" i="23"/>
  <c r="N71" i="23"/>
  <c r="O71" i="23"/>
  <c r="P71" i="23"/>
  <c r="Q71" i="23"/>
  <c r="R71" i="23"/>
  <c r="J59" i="23"/>
  <c r="K59" i="23"/>
  <c r="K219" i="23" s="1"/>
  <c r="L59" i="23"/>
  <c r="L183" i="23" s="1"/>
  <c r="N59" i="23"/>
  <c r="O59" i="23"/>
  <c r="P59" i="23"/>
  <c r="Q59" i="23"/>
  <c r="R59" i="23"/>
  <c r="I47" i="23"/>
  <c r="K47" i="23"/>
  <c r="K218" i="23" s="1"/>
  <c r="M47" i="23"/>
  <c r="O47" i="23"/>
  <c r="P47" i="23"/>
  <c r="Q47" i="23"/>
  <c r="R47" i="23"/>
  <c r="K59" i="12"/>
  <c r="J59" i="12"/>
  <c r="I59" i="12"/>
  <c r="I183" i="12" s="1"/>
  <c r="K47" i="12"/>
  <c r="I47" i="12"/>
  <c r="J47" i="12"/>
  <c r="D15" i="30" l="1"/>
  <c r="D4" i="30"/>
  <c r="D11" i="30"/>
  <c r="U13" i="22" a="1"/>
  <c r="U13" i="22" s="1"/>
  <c r="H155" i="23"/>
  <c r="H156" i="23"/>
  <c r="H157" i="23"/>
  <c r="H194" i="12"/>
  <c r="H195" i="12"/>
  <c r="H155" i="12"/>
  <c r="H156" i="12"/>
  <c r="H157" i="12"/>
  <c r="C110" i="23"/>
  <c r="C122" i="23"/>
  <c r="C113" i="23"/>
  <c r="C125" i="23"/>
  <c r="C112" i="23"/>
  <c r="C124" i="23"/>
  <c r="C114" i="23"/>
  <c r="C126" i="23"/>
  <c r="C115" i="23"/>
  <c r="C127" i="23"/>
  <c r="C111" i="23"/>
  <c r="C123" i="23"/>
  <c r="C119" i="23"/>
  <c r="C131" i="23"/>
  <c r="C120" i="23"/>
  <c r="C132" i="23"/>
  <c r="C86" i="23"/>
  <c r="C98" i="23"/>
  <c r="C87" i="23"/>
  <c r="C99" i="23"/>
  <c r="C90" i="23"/>
  <c r="C102" i="23"/>
  <c r="C91" i="23"/>
  <c r="C103" i="23"/>
  <c r="C88" i="23"/>
  <c r="C100" i="23"/>
  <c r="C89" i="23"/>
  <c r="C101" i="23"/>
  <c r="C95" i="23"/>
  <c r="C107" i="23"/>
  <c r="C96" i="23"/>
  <c r="C108" i="23"/>
  <c r="C71" i="23"/>
  <c r="C83" i="23"/>
  <c r="C62" i="23"/>
  <c r="C74" i="23"/>
  <c r="C63" i="23"/>
  <c r="C75" i="23"/>
  <c r="C64" i="23"/>
  <c r="C76" i="23"/>
  <c r="C65" i="23"/>
  <c r="C77" i="23"/>
  <c r="C66" i="23"/>
  <c r="C78" i="23"/>
  <c r="C67" i="23"/>
  <c r="C79" i="23"/>
  <c r="C72" i="23"/>
  <c r="C84" i="23"/>
  <c r="C48" i="23"/>
  <c r="C60" i="23"/>
  <c r="C38" i="23"/>
  <c r="C50" i="23"/>
  <c r="C39" i="23"/>
  <c r="C51" i="23"/>
  <c r="C40" i="23"/>
  <c r="C52" i="23"/>
  <c r="C41" i="23"/>
  <c r="C53" i="23"/>
  <c r="C42" i="23"/>
  <c r="C54" i="23"/>
  <c r="C43" i="23"/>
  <c r="C55" i="23"/>
  <c r="C47" i="23"/>
  <c r="C59" i="23"/>
  <c r="H132" i="23"/>
  <c r="H120" i="23"/>
  <c r="H84" i="23"/>
  <c r="H147" i="23"/>
  <c r="H144" i="23"/>
  <c r="H108" i="23"/>
  <c r="H96" i="23"/>
  <c r="H48" i="23"/>
  <c r="H72" i="23"/>
  <c r="H60" i="23"/>
  <c r="H111" i="23"/>
  <c r="H123" i="23"/>
  <c r="H113" i="23"/>
  <c r="H125" i="23"/>
  <c r="H112" i="23"/>
  <c r="H124" i="23"/>
  <c r="H114" i="23"/>
  <c r="H126" i="23"/>
  <c r="H87" i="23"/>
  <c r="H99" i="23"/>
  <c r="H89" i="23"/>
  <c r="H101" i="23"/>
  <c r="H88" i="23"/>
  <c r="H100" i="23"/>
  <c r="H90" i="23"/>
  <c r="H102" i="23"/>
  <c r="H63" i="23"/>
  <c r="H75" i="23"/>
  <c r="H65" i="23"/>
  <c r="H77" i="23"/>
  <c r="H64" i="23"/>
  <c r="H76" i="23"/>
  <c r="H66" i="23"/>
  <c r="H78" i="23"/>
  <c r="H39" i="23"/>
  <c r="H51" i="23"/>
  <c r="H41" i="23"/>
  <c r="H53" i="23"/>
  <c r="H40" i="23"/>
  <c r="H52" i="23"/>
  <c r="H42" i="23"/>
  <c r="H54" i="23"/>
  <c r="C134" i="12"/>
  <c r="C38" i="12"/>
  <c r="C131" i="12"/>
  <c r="C143" i="12"/>
  <c r="C123" i="12"/>
  <c r="C135" i="12"/>
  <c r="C124" i="12"/>
  <c r="C136" i="12"/>
  <c r="C125" i="12"/>
  <c r="C137" i="12"/>
  <c r="C126" i="12"/>
  <c r="C138" i="12"/>
  <c r="C127" i="12"/>
  <c r="C139" i="12"/>
  <c r="C132" i="12"/>
  <c r="C144" i="12"/>
  <c r="C110" i="12"/>
  <c r="C122" i="12"/>
  <c r="C101" i="12"/>
  <c r="C113" i="12"/>
  <c r="C102" i="12"/>
  <c r="C114" i="12"/>
  <c r="C107" i="12"/>
  <c r="C119" i="12"/>
  <c r="C108" i="12"/>
  <c r="C120" i="12"/>
  <c r="C99" i="12"/>
  <c r="C111" i="12"/>
  <c r="C100" i="12"/>
  <c r="C112" i="12"/>
  <c r="C103" i="12"/>
  <c r="C115" i="12"/>
  <c r="C86" i="12"/>
  <c r="C98" i="12"/>
  <c r="C83" i="12"/>
  <c r="C95" i="12"/>
  <c r="C79" i="12"/>
  <c r="C91" i="12"/>
  <c r="C78" i="12"/>
  <c r="C90" i="12"/>
  <c r="C84" i="12"/>
  <c r="C96" i="12"/>
  <c r="C75" i="12"/>
  <c r="C87" i="12"/>
  <c r="C76" i="12"/>
  <c r="C88" i="12"/>
  <c r="C77" i="12"/>
  <c r="C89" i="12"/>
  <c r="C62" i="12"/>
  <c r="C74" i="12"/>
  <c r="C53" i="12"/>
  <c r="C65" i="12"/>
  <c r="C54" i="12"/>
  <c r="C66" i="12"/>
  <c r="C55" i="12"/>
  <c r="C67" i="12"/>
  <c r="C60" i="12"/>
  <c r="C72" i="12"/>
  <c r="C51" i="12"/>
  <c r="C63" i="12"/>
  <c r="C52" i="12"/>
  <c r="C64" i="12"/>
  <c r="C59" i="12"/>
  <c r="C71" i="12"/>
  <c r="C50" i="12"/>
  <c r="C57" i="12"/>
  <c r="C69" i="12" s="1"/>
  <c r="C81" i="12" s="1"/>
  <c r="C93" i="12" s="1"/>
  <c r="C105" i="12" s="1"/>
  <c r="C117" i="12" s="1"/>
  <c r="C129" i="12" s="1"/>
  <c r="C141" i="12" s="1"/>
  <c r="C58" i="12"/>
  <c r="C56" i="12"/>
  <c r="H123" i="12"/>
  <c r="H135" i="12"/>
  <c r="H114" i="12"/>
  <c r="H126" i="12"/>
  <c r="H112" i="12"/>
  <c r="H124" i="12"/>
  <c r="H120" i="12"/>
  <c r="H132" i="12"/>
  <c r="H113" i="12"/>
  <c r="H125" i="12"/>
  <c r="H99" i="12"/>
  <c r="H111" i="12"/>
  <c r="H90" i="12"/>
  <c r="H102" i="12"/>
  <c r="H88" i="12"/>
  <c r="H100" i="12"/>
  <c r="H96" i="12"/>
  <c r="H108" i="12"/>
  <c r="H89" i="12"/>
  <c r="H101" i="12"/>
  <c r="H75" i="12"/>
  <c r="H87" i="12"/>
  <c r="H72" i="12"/>
  <c r="H84" i="12"/>
  <c r="H65" i="12"/>
  <c r="H77" i="12"/>
  <c r="H66" i="12"/>
  <c r="H78" i="12"/>
  <c r="H64" i="12"/>
  <c r="H76" i="12"/>
  <c r="H51" i="12"/>
  <c r="H63" i="12"/>
  <c r="H42" i="12"/>
  <c r="H54" i="12"/>
  <c r="H40" i="12"/>
  <c r="H52" i="12"/>
  <c r="H48" i="12"/>
  <c r="H60" i="12"/>
  <c r="H41" i="12"/>
  <c r="H53" i="12"/>
  <c r="H39" i="12"/>
  <c r="L189" i="23"/>
  <c r="L184" i="23"/>
  <c r="L223" i="23"/>
  <c r="L219" i="23"/>
  <c r="L190" i="23"/>
  <c r="L186" i="23"/>
  <c r="L188" i="23"/>
  <c r="K222" i="23"/>
  <c r="K190" i="23"/>
  <c r="K189" i="23"/>
  <c r="K182" i="23"/>
  <c r="K224" i="23"/>
  <c r="K183" i="23"/>
  <c r="K184" i="23"/>
  <c r="J223" i="23"/>
  <c r="K223" i="23"/>
  <c r="K221" i="23"/>
  <c r="J221" i="23"/>
  <c r="J225" i="23"/>
  <c r="J226" i="23"/>
  <c r="J184" i="23"/>
  <c r="J187" i="23"/>
  <c r="J188" i="23"/>
  <c r="J183" i="23"/>
  <c r="J190" i="23"/>
  <c r="J222" i="23"/>
  <c r="J220" i="23"/>
  <c r="J189" i="23"/>
  <c r="J224" i="23"/>
  <c r="J185" i="23"/>
  <c r="J219" i="23"/>
  <c r="I226" i="23"/>
  <c r="I225" i="23"/>
  <c r="I224" i="23"/>
  <c r="I220" i="23"/>
  <c r="I218" i="23"/>
  <c r="I222" i="23"/>
  <c r="I188" i="23"/>
  <c r="I190" i="23"/>
  <c r="I186" i="23"/>
  <c r="I182" i="23"/>
  <c r="I184" i="23"/>
  <c r="I189" i="23"/>
  <c r="I165" i="23"/>
  <c r="I219" i="12"/>
  <c r="H18" i="32"/>
  <c r="I18" i="32" s="1"/>
  <c r="J18" i="32" s="1"/>
  <c r="K18" i="32" s="1"/>
  <c r="L18" i="32" s="1"/>
  <c r="M18" i="32" s="1"/>
  <c r="N18" i="32" s="1"/>
  <c r="O18" i="32" s="1"/>
  <c r="P18" i="32" s="1"/>
  <c r="Q18" i="32" s="1"/>
  <c r="R18" i="32" s="1"/>
  <c r="S18" i="32" s="1"/>
  <c r="T18" i="32" s="1"/>
  <c r="U18" i="32" s="1"/>
  <c r="V18" i="32" s="1"/>
  <c r="W18" i="32" s="1"/>
  <c r="X18" i="32" s="1"/>
  <c r="Y18" i="32" s="1"/>
  <c r="Z18" i="32" s="1"/>
  <c r="AA18" i="32" s="1"/>
  <c r="H34" i="32"/>
  <c r="I165" i="12"/>
  <c r="I166" i="12"/>
  <c r="B16" i="32"/>
  <c r="H14" i="12"/>
  <c r="H13" i="12"/>
  <c r="H12" i="12"/>
  <c r="H11" i="12"/>
  <c r="H10" i="12"/>
  <c r="H9" i="12"/>
  <c r="F7" i="12"/>
  <c r="F6" i="12"/>
  <c r="F5" i="12"/>
  <c r="H10" i="23"/>
  <c r="H11" i="23"/>
  <c r="H12" i="23"/>
  <c r="H13" i="23"/>
  <c r="H14" i="23"/>
  <c r="H9" i="23"/>
  <c r="F6" i="23"/>
  <c r="F7" i="23"/>
  <c r="F5" i="23"/>
  <c r="H166" i="12" l="1"/>
  <c r="H167" i="12"/>
  <c r="H175" i="12"/>
  <c r="H168" i="12"/>
  <c r="H169" i="12"/>
  <c r="H170" i="12"/>
  <c r="H171" i="12"/>
  <c r="H173" i="12"/>
  <c r="H174" i="12"/>
  <c r="H176" i="12"/>
  <c r="H172" i="12"/>
  <c r="H165" i="12"/>
  <c r="C68" i="12"/>
  <c r="C80" i="12" s="1"/>
  <c r="C92" i="12" s="1"/>
  <c r="C104" i="12" s="1"/>
  <c r="C116" i="12" s="1"/>
  <c r="C128" i="12" s="1"/>
  <c r="C140" i="12" s="1"/>
  <c r="C70" i="12"/>
  <c r="C82" i="12" s="1"/>
  <c r="C94" i="12" s="1"/>
  <c r="C106" i="12" s="1"/>
  <c r="C118" i="12" s="1"/>
  <c r="C130" i="12" s="1"/>
  <c r="C142" i="12" s="1"/>
  <c r="N47" i="23"/>
  <c r="M59" i="23"/>
  <c r="B25" i="32"/>
  <c r="B24" i="32"/>
  <c r="B23" i="32"/>
  <c r="B22" i="32"/>
  <c r="B21" i="32"/>
  <c r="B20" i="32"/>
  <c r="B17" i="32"/>
  <c r="B19" i="32"/>
  <c r="B18" i="32"/>
  <c r="Z10" i="27"/>
  <c r="G10" i="27"/>
  <c r="J10" i="27"/>
  <c r="C166" i="23"/>
  <c r="C182" i="23" s="1"/>
  <c r="C174" i="23"/>
  <c r="C190" i="23" s="1"/>
  <c r="C173" i="23"/>
  <c r="C208" i="23" s="1"/>
  <c r="C172" i="23"/>
  <c r="C207" i="23" s="1"/>
  <c r="C171" i="23"/>
  <c r="C206" i="23" s="1"/>
  <c r="C165" i="23"/>
  <c r="C200" i="23" s="1"/>
  <c r="C170" i="23"/>
  <c r="C186" i="23" s="1"/>
  <c r="C169" i="23"/>
  <c r="C185" i="23" s="1"/>
  <c r="C168" i="23"/>
  <c r="C203" i="23" s="1"/>
  <c r="C167" i="23"/>
  <c r="C183" i="23" s="1"/>
  <c r="G3" i="22"/>
  <c r="G4" i="22"/>
  <c r="J162" i="12"/>
  <c r="J151" i="12" s="1"/>
  <c r="Q13" i="22" a="1"/>
  <c r="Q13" i="22" s="1"/>
  <c r="R26" i="25"/>
  <c r="Q26" i="25"/>
  <c r="P26" i="25"/>
  <c r="O26" i="25"/>
  <c r="N26" i="25"/>
  <c r="M26" i="25"/>
  <c r="L26" i="25"/>
  <c r="K26" i="25"/>
  <c r="J26" i="25"/>
  <c r="I26" i="25"/>
  <c r="R26" i="24"/>
  <c r="Q26" i="24"/>
  <c r="P26" i="24"/>
  <c r="O26" i="24"/>
  <c r="N26" i="24"/>
  <c r="M26" i="24"/>
  <c r="L26" i="24"/>
  <c r="K26" i="24"/>
  <c r="J26" i="24"/>
  <c r="I26" i="24"/>
  <c r="R20" i="23"/>
  <c r="Q20" i="23"/>
  <c r="P20" i="23"/>
  <c r="O20" i="23"/>
  <c r="N20" i="23"/>
  <c r="M20" i="23"/>
  <c r="L20" i="23"/>
  <c r="K20" i="23"/>
  <c r="J20" i="23"/>
  <c r="I20" i="23"/>
  <c r="R12" i="22"/>
  <c r="T12" i="22"/>
  <c r="S12" i="22"/>
  <c r="Q12" i="22"/>
  <c r="R13" i="22" a="1"/>
  <c r="R13" i="22" s="1"/>
  <c r="R142" i="23" l="1" a="1"/>
  <c r="R142" i="23" s="1"/>
  <c r="R141" i="23" a="1"/>
  <c r="R141" i="23" s="1"/>
  <c r="R140" i="23" a="1"/>
  <c r="R140" i="23" s="1"/>
  <c r="Q140" i="23" a="1"/>
  <c r="Q140" i="23" s="1"/>
  <c r="O142" i="23" a="1"/>
  <c r="O142" i="23" s="1"/>
  <c r="O140" i="23" a="1"/>
  <c r="O140" i="23" s="1"/>
  <c r="M140" i="23" a="1"/>
  <c r="M140" i="23" s="1"/>
  <c r="L142" i="23" a="1"/>
  <c r="L142" i="23" s="1"/>
  <c r="J140" i="23" a="1"/>
  <c r="J140" i="23" s="1"/>
  <c r="I141" i="23" a="1"/>
  <c r="I141" i="23" s="1"/>
  <c r="Q142" i="23" a="1"/>
  <c r="Q142" i="23" s="1"/>
  <c r="Q141" i="23" a="1"/>
  <c r="Q141" i="23" s="1"/>
  <c r="O141" i="23" a="1"/>
  <c r="O141" i="23" s="1"/>
  <c r="M141" i="23" a="1"/>
  <c r="M141" i="23" s="1"/>
  <c r="J141" i="23" a="1"/>
  <c r="J141" i="23" s="1"/>
  <c r="I140" i="23" a="1"/>
  <c r="I140" i="23" s="1"/>
  <c r="P142" i="23" a="1"/>
  <c r="P142" i="23" s="1"/>
  <c r="P140" i="23" a="1"/>
  <c r="P140" i="23" s="1"/>
  <c r="M142" i="23" a="1"/>
  <c r="M142" i="23" s="1"/>
  <c r="K141" i="23" a="1"/>
  <c r="K141" i="23" s="1"/>
  <c r="P141" i="23" a="1"/>
  <c r="P141" i="23" s="1"/>
  <c r="L141" i="23" a="1"/>
  <c r="L141" i="23" s="1"/>
  <c r="J142" i="23" a="1"/>
  <c r="J142" i="23" s="1"/>
  <c r="N142" i="23" a="1"/>
  <c r="N142" i="23" s="1"/>
  <c r="N141" i="23" a="1"/>
  <c r="N141" i="23" s="1"/>
  <c r="N140" i="23" a="1"/>
  <c r="N140" i="23" s="1"/>
  <c r="L140" i="23" a="1"/>
  <c r="L140" i="23" s="1"/>
  <c r="K140" i="23" a="1"/>
  <c r="K140" i="23" s="1"/>
  <c r="I142" i="23" a="1"/>
  <c r="I142" i="23" s="1"/>
  <c r="K142" i="23" a="1"/>
  <c r="K142" i="23" s="1"/>
  <c r="P130" i="23" a="1"/>
  <c r="P130" i="23" s="1"/>
  <c r="P129" i="23" a="1"/>
  <c r="P129" i="23" s="1"/>
  <c r="P128" i="23" a="1"/>
  <c r="P128" i="23" s="1"/>
  <c r="M129" i="23" a="1"/>
  <c r="M129" i="23" s="1"/>
  <c r="L129" i="23" a="1"/>
  <c r="L129" i="23" s="1"/>
  <c r="L128" i="23" a="1"/>
  <c r="L128" i="23" s="1"/>
  <c r="I129" i="23" a="1"/>
  <c r="I129" i="23" s="1"/>
  <c r="R130" i="23" a="1"/>
  <c r="R130" i="23" s="1"/>
  <c r="Q128" i="23" a="1"/>
  <c r="Q128" i="23" s="1"/>
  <c r="O130" i="23" a="1"/>
  <c r="O130" i="23" s="1"/>
  <c r="O129" i="23" a="1"/>
  <c r="O129" i="23" s="1"/>
  <c r="O128" i="23" a="1"/>
  <c r="O128" i="23" s="1"/>
  <c r="N130" i="23" a="1"/>
  <c r="N130" i="23" s="1"/>
  <c r="N129" i="23" a="1"/>
  <c r="N129" i="23" s="1"/>
  <c r="N128" i="23" a="1"/>
  <c r="N128" i="23" s="1"/>
  <c r="M130" i="23" a="1"/>
  <c r="M130" i="23" s="1"/>
  <c r="M128" i="23" a="1"/>
  <c r="M128" i="23" s="1"/>
  <c r="L130" i="23" a="1"/>
  <c r="L130" i="23" s="1"/>
  <c r="I130" i="23" a="1"/>
  <c r="I130" i="23" s="1"/>
  <c r="R128" i="23" a="1"/>
  <c r="R128" i="23" s="1"/>
  <c r="Q130" i="23" a="1"/>
  <c r="Q130" i="23" s="1"/>
  <c r="K130" i="23" a="1"/>
  <c r="K130" i="23" s="1"/>
  <c r="K129" i="23" a="1"/>
  <c r="K129" i="23" s="1"/>
  <c r="K128" i="23" a="1"/>
  <c r="K128" i="23" s="1"/>
  <c r="J130" i="23" a="1"/>
  <c r="J130" i="23" s="1"/>
  <c r="J129" i="23" a="1"/>
  <c r="J129" i="23" s="1"/>
  <c r="J128" i="23" a="1"/>
  <c r="J128" i="23" s="1"/>
  <c r="I128" i="23" a="1"/>
  <c r="I128" i="23" s="1"/>
  <c r="R129" i="23" a="1"/>
  <c r="R129" i="23" s="1"/>
  <c r="Q129" i="23" a="1"/>
  <c r="Q129" i="23" s="1"/>
  <c r="Q118" i="23" a="1"/>
  <c r="Q118" i="23" s="1"/>
  <c r="Q117" i="23" a="1"/>
  <c r="Q117" i="23" s="1"/>
  <c r="Q116" i="23" a="1"/>
  <c r="Q116" i="23" s="1"/>
  <c r="O117" i="23" a="1"/>
  <c r="O117" i="23" s="1"/>
  <c r="M117" i="23" a="1"/>
  <c r="M117" i="23" s="1"/>
  <c r="L117" i="23" a="1"/>
  <c r="L117" i="23" s="1"/>
  <c r="J116" i="23" a="1"/>
  <c r="J116" i="23" s="1"/>
  <c r="R118" i="23" a="1"/>
  <c r="R118" i="23" s="1"/>
  <c r="P118" i="23" a="1"/>
  <c r="P118" i="23" s="1"/>
  <c r="P117" i="23" a="1"/>
  <c r="P117" i="23" s="1"/>
  <c r="P116" i="23" a="1"/>
  <c r="P116" i="23" s="1"/>
  <c r="O118" i="23" a="1"/>
  <c r="O118" i="23" s="1"/>
  <c r="O116" i="23" a="1"/>
  <c r="O116" i="23" s="1"/>
  <c r="L118" i="23" a="1"/>
  <c r="L118" i="23" s="1"/>
  <c r="I118" i="23" a="1"/>
  <c r="I118" i="23" s="1"/>
  <c r="R117" i="23" a="1"/>
  <c r="R117" i="23" s="1"/>
  <c r="N118" i="23" a="1"/>
  <c r="N118" i="23" s="1"/>
  <c r="N117" i="23" a="1"/>
  <c r="N117" i="23" s="1"/>
  <c r="N116" i="23" a="1"/>
  <c r="N116" i="23" s="1"/>
  <c r="M118" i="23" a="1"/>
  <c r="M118" i="23" s="1"/>
  <c r="M116" i="23" a="1"/>
  <c r="M116" i="23" s="1"/>
  <c r="L116" i="23" a="1"/>
  <c r="L116" i="23" s="1"/>
  <c r="I116" i="23" a="1"/>
  <c r="I116" i="23" s="1"/>
  <c r="R116" i="23" a="1"/>
  <c r="R116" i="23" s="1"/>
  <c r="K118" i="23" a="1"/>
  <c r="K118" i="23" s="1"/>
  <c r="K117" i="23" a="1"/>
  <c r="K117" i="23" s="1"/>
  <c r="K116" i="23" a="1"/>
  <c r="K116" i="23" s="1"/>
  <c r="J118" i="23" a="1"/>
  <c r="J118" i="23" s="1"/>
  <c r="J117" i="23" a="1"/>
  <c r="J117" i="23" s="1"/>
  <c r="I117" i="23" a="1"/>
  <c r="I117" i="23" s="1"/>
  <c r="R106" i="23" a="1"/>
  <c r="R106" i="23" s="1"/>
  <c r="R105" i="23" a="1"/>
  <c r="R105" i="23" s="1"/>
  <c r="R104" i="23" a="1"/>
  <c r="R104" i="23" s="1"/>
  <c r="Q106" i="23" a="1"/>
  <c r="Q106" i="23" s="1"/>
  <c r="Q105" i="23" a="1"/>
  <c r="Q105" i="23" s="1"/>
  <c r="Q104" i="23" a="1"/>
  <c r="Q104" i="23" s="1"/>
  <c r="P106" i="23" a="1"/>
  <c r="P106" i="23" s="1"/>
  <c r="P105" i="23" a="1"/>
  <c r="P105" i="23" s="1"/>
  <c r="P104" i="23" a="1"/>
  <c r="P104" i="23" s="1"/>
  <c r="O106" i="23" a="1"/>
  <c r="O106" i="23" s="1"/>
  <c r="O105" i="23" a="1"/>
  <c r="O105" i="23" s="1"/>
  <c r="O104" i="23" a="1"/>
  <c r="O104" i="23" s="1"/>
  <c r="N105" i="23" a="1"/>
  <c r="N105" i="23" s="1"/>
  <c r="N104" i="23" a="1"/>
  <c r="N104" i="23" s="1"/>
  <c r="M106" i="23" a="1"/>
  <c r="M106" i="23" s="1"/>
  <c r="M105" i="23" a="1"/>
  <c r="M105" i="23" s="1"/>
  <c r="M104" i="23" a="1"/>
  <c r="M104" i="23" s="1"/>
  <c r="L106" i="23" a="1"/>
  <c r="L106" i="23" s="1"/>
  <c r="L104" i="23" a="1"/>
  <c r="L104" i="23" s="1"/>
  <c r="N106" i="23" a="1"/>
  <c r="N106" i="23" s="1"/>
  <c r="K106" i="23" a="1"/>
  <c r="K106" i="23" s="1"/>
  <c r="K105" i="23" a="1"/>
  <c r="K105" i="23" s="1"/>
  <c r="K104" i="23" a="1"/>
  <c r="K104" i="23" s="1"/>
  <c r="J106" i="23" a="1"/>
  <c r="J106" i="23" s="1"/>
  <c r="J105" i="23" a="1"/>
  <c r="J105" i="23" s="1"/>
  <c r="J104" i="23" a="1"/>
  <c r="J104" i="23" s="1"/>
  <c r="I106" i="23" a="1"/>
  <c r="I106" i="23" s="1"/>
  <c r="I105" i="23" a="1"/>
  <c r="I105" i="23" s="1"/>
  <c r="I104" i="23" a="1"/>
  <c r="I104" i="23" s="1"/>
  <c r="L105" i="23" a="1"/>
  <c r="L105" i="23" s="1"/>
  <c r="Q94" i="23" a="1"/>
  <c r="Q94" i="23" s="1"/>
  <c r="Q93" i="23" a="1"/>
  <c r="Q93" i="23" s="1"/>
  <c r="Q92" i="23" a="1"/>
  <c r="Q92" i="23" s="1"/>
  <c r="P93" i="23" a="1"/>
  <c r="P93" i="23" s="1"/>
  <c r="P92" i="23" a="1"/>
  <c r="P92" i="23" s="1"/>
  <c r="O94" i="23" a="1"/>
  <c r="O94" i="23" s="1"/>
  <c r="O93" i="23" a="1"/>
  <c r="O93" i="23" s="1"/>
  <c r="O92" i="23" a="1"/>
  <c r="O92" i="23" s="1"/>
  <c r="N94" i="23" a="1"/>
  <c r="N94" i="23" s="1"/>
  <c r="N93" i="23" a="1"/>
  <c r="N93" i="23" s="1"/>
  <c r="N92" i="23" a="1"/>
  <c r="N92" i="23" s="1"/>
  <c r="M94" i="23" a="1"/>
  <c r="M94" i="23" s="1"/>
  <c r="M93" i="23" a="1"/>
  <c r="M93" i="23" s="1"/>
  <c r="M92" i="23" a="1"/>
  <c r="M92" i="23" s="1"/>
  <c r="L94" i="23" a="1"/>
  <c r="L94" i="23" s="1"/>
  <c r="L93" i="23" a="1"/>
  <c r="L93" i="23" s="1"/>
  <c r="L92" i="23" a="1"/>
  <c r="L92" i="23" s="1"/>
  <c r="K94" i="23" a="1"/>
  <c r="K94" i="23" s="1"/>
  <c r="K93" i="23" a="1"/>
  <c r="K93" i="23" s="1"/>
  <c r="J93" i="23" a="1"/>
  <c r="J93" i="23" s="1"/>
  <c r="I94" i="23" a="1"/>
  <c r="I94" i="23" s="1"/>
  <c r="R93" i="23" a="1"/>
  <c r="R93" i="23" s="1"/>
  <c r="R92" i="23" a="1"/>
  <c r="R92" i="23" s="1"/>
  <c r="P94" i="23" a="1"/>
  <c r="P94" i="23" s="1"/>
  <c r="K92" i="23" a="1"/>
  <c r="K92" i="23" s="1"/>
  <c r="J94" i="23" a="1"/>
  <c r="J94" i="23" s="1"/>
  <c r="J92" i="23" a="1"/>
  <c r="J92" i="23" s="1"/>
  <c r="I93" i="23" a="1"/>
  <c r="I93" i="23" s="1"/>
  <c r="I92" i="23" a="1"/>
  <c r="I92" i="23" s="1"/>
  <c r="R94" i="23" a="1"/>
  <c r="R94" i="23" s="1"/>
  <c r="R81" i="23" a="1"/>
  <c r="R81" i="23" s="1"/>
  <c r="R80" i="23" a="1"/>
  <c r="R80" i="23" s="1"/>
  <c r="O82" i="23" a="1"/>
  <c r="O82" i="23" s="1"/>
  <c r="N80" i="23" a="1"/>
  <c r="N80" i="23" s="1"/>
  <c r="M80" i="23" a="1"/>
  <c r="M80" i="23" s="1"/>
  <c r="L81" i="23" a="1"/>
  <c r="L81" i="23" s="1"/>
  <c r="J81" i="23" a="1"/>
  <c r="J81" i="23" s="1"/>
  <c r="R82" i="23" a="1"/>
  <c r="R82" i="23" s="1"/>
  <c r="O80" i="23" a="1"/>
  <c r="O80" i="23" s="1"/>
  <c r="N81" i="23" a="1"/>
  <c r="N81" i="23" s="1"/>
  <c r="J80" i="23" a="1"/>
  <c r="J80" i="23" s="1"/>
  <c r="Q81" i="23" a="1"/>
  <c r="Q81" i="23" s="1"/>
  <c r="Q80" i="23" a="1"/>
  <c r="Q80" i="23" s="1"/>
  <c r="P82" i="23" a="1"/>
  <c r="P82" i="23" s="1"/>
  <c r="O81" i="23" a="1"/>
  <c r="O81" i="23" s="1"/>
  <c r="K81" i="23" a="1"/>
  <c r="K81" i="23" s="1"/>
  <c r="I80" i="23" a="1"/>
  <c r="I80" i="23" s="1"/>
  <c r="Q82" i="23" a="1"/>
  <c r="Q82" i="23" s="1"/>
  <c r="P80" i="23" a="1"/>
  <c r="P80" i="23" s="1"/>
  <c r="N82" i="23" a="1"/>
  <c r="N82" i="23" s="1"/>
  <c r="M82" i="23" a="1"/>
  <c r="M82" i="23" s="1"/>
  <c r="L82" i="23" a="1"/>
  <c r="L82" i="23" s="1"/>
  <c r="K82" i="23" a="1"/>
  <c r="K82" i="23" s="1"/>
  <c r="I81" i="23" a="1"/>
  <c r="I81" i="23" s="1"/>
  <c r="P81" i="23" a="1"/>
  <c r="P81" i="23" s="1"/>
  <c r="M81" i="23" a="1"/>
  <c r="M81" i="23" s="1"/>
  <c r="L80" i="23" a="1"/>
  <c r="L80" i="23" s="1"/>
  <c r="K80" i="23" a="1"/>
  <c r="K80" i="23" s="1"/>
  <c r="J82" i="23" a="1"/>
  <c r="J82" i="23" s="1"/>
  <c r="I82" i="23" a="1"/>
  <c r="I82" i="23" s="1"/>
  <c r="R69" i="23" a="1"/>
  <c r="R69" i="23" s="1"/>
  <c r="R68" i="23" a="1"/>
  <c r="R68" i="23" s="1"/>
  <c r="Q69" i="23" a="1"/>
  <c r="Q69" i="23" s="1"/>
  <c r="Q68" i="23" a="1"/>
  <c r="Q68" i="23" s="1"/>
  <c r="P70" i="23" a="1"/>
  <c r="P70" i="23" s="1"/>
  <c r="P69" i="23" a="1"/>
  <c r="P69" i="23" s="1"/>
  <c r="P68" i="23" a="1"/>
  <c r="P68" i="23" s="1"/>
  <c r="O70" i="23" a="1"/>
  <c r="O70" i="23" s="1"/>
  <c r="O69" i="23" a="1"/>
  <c r="O69" i="23" s="1"/>
  <c r="O68" i="23" a="1"/>
  <c r="O68" i="23" s="1"/>
  <c r="L69" i="23" a="1"/>
  <c r="L69" i="23" s="1"/>
  <c r="I68" i="23" a="1"/>
  <c r="I68" i="23" s="1"/>
  <c r="R70" i="23" a="1"/>
  <c r="R70" i="23" s="1"/>
  <c r="Q70" i="23" a="1"/>
  <c r="Q70" i="23" s="1"/>
  <c r="N70" i="23" a="1"/>
  <c r="N70" i="23" s="1"/>
  <c r="N69" i="23" a="1"/>
  <c r="N69" i="23" s="1"/>
  <c r="N68" i="23" a="1"/>
  <c r="N68" i="23" s="1"/>
  <c r="M70" i="23" a="1"/>
  <c r="M70" i="23" s="1"/>
  <c r="M69" i="23" a="1"/>
  <c r="M69" i="23" s="1"/>
  <c r="M68" i="23" a="1"/>
  <c r="M68" i="23" s="1"/>
  <c r="L70" i="23" a="1"/>
  <c r="L70" i="23" s="1"/>
  <c r="L68" i="23" a="1"/>
  <c r="L68" i="23" s="1"/>
  <c r="I69" i="23" a="1"/>
  <c r="I69" i="23" s="1"/>
  <c r="K70" i="23" a="1"/>
  <c r="K70" i="23" s="1"/>
  <c r="K69" i="23" a="1"/>
  <c r="K69" i="23" s="1"/>
  <c r="K68" i="23" a="1"/>
  <c r="K68" i="23" s="1"/>
  <c r="J70" i="23" a="1"/>
  <c r="J70" i="23" s="1"/>
  <c r="J69" i="23" a="1"/>
  <c r="J69" i="23" s="1"/>
  <c r="J68" i="23" a="1"/>
  <c r="J68" i="23" s="1"/>
  <c r="I70" i="23" a="1"/>
  <c r="I70" i="23" s="1"/>
  <c r="R58" i="23" a="1"/>
  <c r="R58" i="23" s="1"/>
  <c r="R57" i="23" a="1"/>
  <c r="R57" i="23" s="1"/>
  <c r="R56" i="23" a="1"/>
  <c r="R56" i="23" s="1"/>
  <c r="Q58" i="23" a="1"/>
  <c r="Q58" i="23" s="1"/>
  <c r="Q57" i="23" a="1"/>
  <c r="Q57" i="23" s="1"/>
  <c r="Q56" i="23" a="1"/>
  <c r="Q56" i="23" s="1"/>
  <c r="N56" i="23" a="1"/>
  <c r="N56" i="23" s="1"/>
  <c r="M57" i="23" a="1"/>
  <c r="M57" i="23" s="1"/>
  <c r="L57" i="23" a="1"/>
  <c r="L57" i="23" s="1"/>
  <c r="L56" i="23" a="1"/>
  <c r="L56" i="23" s="1"/>
  <c r="K57" i="23" a="1"/>
  <c r="K57" i="23" s="1"/>
  <c r="J57" i="23" a="1"/>
  <c r="J57" i="23" s="1"/>
  <c r="J56" i="23" a="1"/>
  <c r="J56" i="23" s="1"/>
  <c r="I58" i="23" a="1"/>
  <c r="I58" i="23" s="1"/>
  <c r="I56" i="23" a="1"/>
  <c r="I56" i="23" s="1"/>
  <c r="P58" i="23" a="1"/>
  <c r="P58" i="23" s="1"/>
  <c r="P57" i="23" a="1"/>
  <c r="P57" i="23" s="1"/>
  <c r="P56" i="23" a="1"/>
  <c r="P56" i="23" s="1"/>
  <c r="O58" i="23" a="1"/>
  <c r="O58" i="23" s="1"/>
  <c r="O57" i="23" a="1"/>
  <c r="O57" i="23" s="1"/>
  <c r="O56" i="23" a="1"/>
  <c r="O56" i="23" s="1"/>
  <c r="N58" i="23" a="1"/>
  <c r="N58" i="23" s="1"/>
  <c r="N57" i="23" a="1"/>
  <c r="N57" i="23" s="1"/>
  <c r="M58" i="23" a="1"/>
  <c r="M58" i="23" s="1"/>
  <c r="M56" i="23" a="1"/>
  <c r="M56" i="23" s="1"/>
  <c r="L58" i="23" a="1"/>
  <c r="L58" i="23" s="1"/>
  <c r="K58" i="23" a="1"/>
  <c r="K58" i="23" s="1"/>
  <c r="K56" i="23" a="1"/>
  <c r="K56" i="23" s="1"/>
  <c r="J58" i="23" a="1"/>
  <c r="J58" i="23" s="1"/>
  <c r="I57" i="23" a="1"/>
  <c r="I57" i="23" s="1"/>
  <c r="R45" i="23" a="1"/>
  <c r="R45" i="23" s="1"/>
  <c r="R44" i="23" a="1"/>
  <c r="R44" i="23" s="1"/>
  <c r="P46" i="23" a="1"/>
  <c r="P46" i="23" s="1"/>
  <c r="O46" i="23" a="1"/>
  <c r="O46" i="23" s="1"/>
  <c r="L45" i="23" a="1"/>
  <c r="L45" i="23" s="1"/>
  <c r="K45" i="23" a="1"/>
  <c r="K45" i="23" s="1"/>
  <c r="I45" i="23" a="1"/>
  <c r="I45" i="23" s="1"/>
  <c r="R46" i="23" a="1"/>
  <c r="R46" i="23" s="1"/>
  <c r="P44" i="23" a="1"/>
  <c r="P44" i="23" s="1"/>
  <c r="O44" i="23" a="1"/>
  <c r="O44" i="23" s="1"/>
  <c r="M44" i="23" a="1"/>
  <c r="M44" i="23" s="1"/>
  <c r="K46" i="23" a="1"/>
  <c r="K46" i="23" s="1"/>
  <c r="I46" i="23" a="1"/>
  <c r="I46" i="23" s="1"/>
  <c r="Q46" i="23" a="1"/>
  <c r="Q46" i="23" s="1"/>
  <c r="Q45" i="23" a="1"/>
  <c r="Q45" i="23" s="1"/>
  <c r="Q44" i="23" a="1"/>
  <c r="Q44" i="23" s="1"/>
  <c r="P45" i="23" a="1"/>
  <c r="P45" i="23" s="1"/>
  <c r="O45" i="23" a="1"/>
  <c r="O45" i="23" s="1"/>
  <c r="L46" i="23" a="1"/>
  <c r="L46" i="23" s="1"/>
  <c r="K44" i="23" a="1"/>
  <c r="K44" i="23" s="1"/>
  <c r="J44" i="23" a="1"/>
  <c r="J44" i="23" s="1"/>
  <c r="N46" i="23" a="1"/>
  <c r="N46" i="23" s="1"/>
  <c r="N45" i="23" a="1"/>
  <c r="N45" i="23" s="1"/>
  <c r="N44" i="23" a="1"/>
  <c r="N44" i="23" s="1"/>
  <c r="M46" i="23" a="1"/>
  <c r="M46" i="23" s="1"/>
  <c r="M45" i="23" a="1"/>
  <c r="M45" i="23" s="1"/>
  <c r="L44" i="23" a="1"/>
  <c r="L44" i="23" s="1"/>
  <c r="J46" i="23" a="1"/>
  <c r="J46" i="23" s="1"/>
  <c r="J45" i="23" a="1"/>
  <c r="J45" i="23" s="1"/>
  <c r="I44" i="23" a="1"/>
  <c r="I44" i="23" s="1"/>
  <c r="R33" i="23" a="1"/>
  <c r="R33" i="23" s="1"/>
  <c r="Q32" i="23" a="1"/>
  <c r="Q32" i="23" s="1"/>
  <c r="P33" i="23" a="1"/>
  <c r="P33" i="23" s="1"/>
  <c r="O33" i="23" a="1"/>
  <c r="O33" i="23" s="1"/>
  <c r="N32" i="23" a="1"/>
  <c r="N32" i="23" s="1"/>
  <c r="M34" i="23" a="1"/>
  <c r="M34" i="23" s="1"/>
  <c r="L33" i="23" a="1"/>
  <c r="L33" i="23" s="1"/>
  <c r="K32" i="23" a="1"/>
  <c r="K32" i="23" s="1"/>
  <c r="J33" i="23" a="1"/>
  <c r="J33" i="23" s="1"/>
  <c r="I32" i="23" a="1"/>
  <c r="I32" i="23" s="1"/>
  <c r="R34" i="23" a="1"/>
  <c r="R34" i="23" s="1"/>
  <c r="R32" i="23" a="1"/>
  <c r="R32" i="23" s="1"/>
  <c r="P34" i="23" a="1"/>
  <c r="P34" i="23" s="1"/>
  <c r="O32" i="23" a="1"/>
  <c r="O32" i="23" s="1"/>
  <c r="N34" i="23" a="1"/>
  <c r="N34" i="23" s="1"/>
  <c r="M32" i="23" a="1"/>
  <c r="M32" i="23" s="1"/>
  <c r="L34" i="23" a="1"/>
  <c r="L34" i="23" s="1"/>
  <c r="K34" i="23" a="1"/>
  <c r="K34" i="23" s="1"/>
  <c r="J34" i="23" a="1"/>
  <c r="J34" i="23" s="1"/>
  <c r="I34" i="23" a="1"/>
  <c r="I34" i="23" s="1"/>
  <c r="Q34" i="23" a="1"/>
  <c r="Q34" i="23" s="1"/>
  <c r="Q33" i="23" a="1"/>
  <c r="Q33" i="23" s="1"/>
  <c r="P32" i="23" a="1"/>
  <c r="P32" i="23" s="1"/>
  <c r="O34" i="23" a="1"/>
  <c r="O34" i="23" s="1"/>
  <c r="N33" i="23" a="1"/>
  <c r="N33" i="23" s="1"/>
  <c r="M33" i="23" a="1"/>
  <c r="M33" i="23" s="1"/>
  <c r="L32" i="23" a="1"/>
  <c r="L32" i="23" s="1"/>
  <c r="K33" i="23" a="1"/>
  <c r="K33" i="23" s="1"/>
  <c r="J32" i="23" a="1"/>
  <c r="J32" i="23" s="1"/>
  <c r="I33" i="23" a="1"/>
  <c r="I33" i="23" s="1"/>
  <c r="R141" i="12" a="1"/>
  <c r="R141" i="12" s="1"/>
  <c r="O142" i="12" a="1"/>
  <c r="O142" i="12" s="1"/>
  <c r="O141" i="12" a="1"/>
  <c r="O141" i="12" s="1"/>
  <c r="O140" i="12" a="1"/>
  <c r="O140" i="12" s="1"/>
  <c r="M141" i="12" a="1"/>
  <c r="M141" i="12" s="1"/>
  <c r="M140" i="12" a="1"/>
  <c r="M140" i="12" s="1"/>
  <c r="L141" i="12" a="1"/>
  <c r="L141" i="12" s="1"/>
  <c r="J142" i="12" a="1"/>
  <c r="J142" i="12" s="1"/>
  <c r="J141" i="12" a="1"/>
  <c r="J141" i="12" s="1"/>
  <c r="R142" i="12" a="1"/>
  <c r="R142" i="12" s="1"/>
  <c r="R140" i="12" a="1"/>
  <c r="R140" i="12" s="1"/>
  <c r="Q140" i="12" a="1"/>
  <c r="Q140" i="12" s="1"/>
  <c r="P142" i="12" a="1"/>
  <c r="P142" i="12" s="1"/>
  <c r="P141" i="12" a="1"/>
  <c r="P141" i="12" s="1"/>
  <c r="P140" i="12" a="1"/>
  <c r="P140" i="12" s="1"/>
  <c r="M142" i="12" a="1"/>
  <c r="M142" i="12" s="1"/>
  <c r="L142" i="12" a="1"/>
  <c r="L142" i="12" s="1"/>
  <c r="J140" i="12" a="1"/>
  <c r="J140" i="12" s="1"/>
  <c r="I142" i="12" a="1"/>
  <c r="I142" i="12" s="1"/>
  <c r="I140" i="12" a="1"/>
  <c r="I140" i="12" s="1"/>
  <c r="Q141" i="12" a="1"/>
  <c r="Q141" i="12" s="1"/>
  <c r="K141" i="12" a="1"/>
  <c r="K141" i="12" s="1"/>
  <c r="Q142" i="12" a="1"/>
  <c r="Q142" i="12" s="1"/>
  <c r="N142" i="12" a="1"/>
  <c r="N142" i="12" s="1"/>
  <c r="N141" i="12" a="1"/>
  <c r="N141" i="12" s="1"/>
  <c r="N140" i="12" a="1"/>
  <c r="N140" i="12" s="1"/>
  <c r="L140" i="12" a="1"/>
  <c r="L140" i="12" s="1"/>
  <c r="K140" i="12" a="1"/>
  <c r="K140" i="12" s="1"/>
  <c r="I141" i="12" a="1"/>
  <c r="I141" i="12" s="1"/>
  <c r="K142" i="12" a="1"/>
  <c r="K142" i="12" s="1"/>
  <c r="R130" i="12" a="1"/>
  <c r="R130" i="12" s="1"/>
  <c r="P130" i="12" a="1"/>
  <c r="P130" i="12" s="1"/>
  <c r="P129" i="12" a="1"/>
  <c r="P129" i="12" s="1"/>
  <c r="P128" i="12" a="1"/>
  <c r="P128" i="12" s="1"/>
  <c r="O130" i="12" a="1"/>
  <c r="O130" i="12" s="1"/>
  <c r="O129" i="12" a="1"/>
  <c r="O129" i="12" s="1"/>
  <c r="O128" i="12" a="1"/>
  <c r="O128" i="12" s="1"/>
  <c r="L128" i="12" a="1"/>
  <c r="L128" i="12" s="1"/>
  <c r="K130" i="12" a="1"/>
  <c r="K130" i="12" s="1"/>
  <c r="J129" i="12" a="1"/>
  <c r="J129" i="12" s="1"/>
  <c r="J128" i="12" a="1"/>
  <c r="J128" i="12" s="1"/>
  <c r="I130" i="12" a="1"/>
  <c r="I130" i="12" s="1"/>
  <c r="I129" i="12" a="1"/>
  <c r="I129" i="12" s="1"/>
  <c r="I128" i="12" a="1"/>
  <c r="I128" i="12" s="1"/>
  <c r="R129" i="12" a="1"/>
  <c r="R129" i="12" s="1"/>
  <c r="Q130" i="12" a="1"/>
  <c r="Q130" i="12" s="1"/>
  <c r="Q129" i="12" a="1"/>
  <c r="Q129" i="12" s="1"/>
  <c r="Q128" i="12" a="1"/>
  <c r="Q128" i="12" s="1"/>
  <c r="N130" i="12" a="1"/>
  <c r="N130" i="12" s="1"/>
  <c r="N129" i="12" a="1"/>
  <c r="N129" i="12" s="1"/>
  <c r="N128" i="12" a="1"/>
  <c r="N128" i="12" s="1"/>
  <c r="M130" i="12" a="1"/>
  <c r="M130" i="12" s="1"/>
  <c r="M129" i="12" a="1"/>
  <c r="M129" i="12" s="1"/>
  <c r="M128" i="12" a="1"/>
  <c r="M128" i="12" s="1"/>
  <c r="L130" i="12" a="1"/>
  <c r="L130" i="12" s="1"/>
  <c r="L129" i="12" a="1"/>
  <c r="L129" i="12" s="1"/>
  <c r="K129" i="12" a="1"/>
  <c r="K129" i="12" s="1"/>
  <c r="K128" i="12" a="1"/>
  <c r="K128" i="12" s="1"/>
  <c r="J130" i="12" a="1"/>
  <c r="J130" i="12" s="1"/>
  <c r="R128" i="12" a="1"/>
  <c r="R128" i="12" s="1"/>
  <c r="R118" i="12" a="1"/>
  <c r="R118" i="12" s="1"/>
  <c r="R117" i="12" a="1"/>
  <c r="R117" i="12" s="1"/>
  <c r="R116" i="12" a="1"/>
  <c r="R116" i="12" s="1"/>
  <c r="P118" i="12" a="1"/>
  <c r="P118" i="12" s="1"/>
  <c r="O117" i="12" a="1"/>
  <c r="O117" i="12" s="1"/>
  <c r="N117" i="12" a="1"/>
  <c r="N117" i="12" s="1"/>
  <c r="M117" i="12" a="1"/>
  <c r="M117" i="12" s="1"/>
  <c r="L116" i="12" a="1"/>
  <c r="L116" i="12" s="1"/>
  <c r="K118" i="12" a="1"/>
  <c r="K118" i="12" s="1"/>
  <c r="J116" i="12" a="1"/>
  <c r="J116" i="12" s="1"/>
  <c r="I118" i="12" a="1"/>
  <c r="I118" i="12" s="1"/>
  <c r="Q117" i="12" a="1"/>
  <c r="Q117" i="12" s="1"/>
  <c r="P116" i="12" a="1"/>
  <c r="P116" i="12" s="1"/>
  <c r="O116" i="12" a="1"/>
  <c r="O116" i="12" s="1"/>
  <c r="N116" i="12" a="1"/>
  <c r="N116" i="12" s="1"/>
  <c r="M116" i="12" a="1"/>
  <c r="M116" i="12" s="1"/>
  <c r="L117" i="12" a="1"/>
  <c r="L117" i="12" s="1"/>
  <c r="K116" i="12" a="1"/>
  <c r="K116" i="12" s="1"/>
  <c r="J117" i="12" a="1"/>
  <c r="J117" i="12" s="1"/>
  <c r="I116" i="12" a="1"/>
  <c r="I116" i="12" s="1"/>
  <c r="Q118" i="12" a="1"/>
  <c r="Q118" i="12" s="1"/>
  <c r="Q116" i="12" a="1"/>
  <c r="Q116" i="12" s="1"/>
  <c r="P117" i="12" a="1"/>
  <c r="P117" i="12" s="1"/>
  <c r="O118" i="12" a="1"/>
  <c r="O118" i="12" s="1"/>
  <c r="N118" i="12" a="1"/>
  <c r="N118" i="12" s="1"/>
  <c r="M118" i="12" a="1"/>
  <c r="M118" i="12" s="1"/>
  <c r="L118" i="12" a="1"/>
  <c r="L118" i="12" s="1"/>
  <c r="K117" i="12" a="1"/>
  <c r="K117" i="12" s="1"/>
  <c r="J118" i="12" a="1"/>
  <c r="J118" i="12" s="1"/>
  <c r="I117" i="12" a="1"/>
  <c r="I117" i="12" s="1"/>
  <c r="R106" i="12" a="1"/>
  <c r="R106" i="12" s="1"/>
  <c r="R105" i="12" a="1"/>
  <c r="R105" i="12" s="1"/>
  <c r="R104" i="12" a="1"/>
  <c r="R104" i="12" s="1"/>
  <c r="Q106" i="12" a="1"/>
  <c r="Q106" i="12" s="1"/>
  <c r="Q105" i="12" a="1"/>
  <c r="Q105" i="12" s="1"/>
  <c r="Q104" i="12" a="1"/>
  <c r="Q104" i="12" s="1"/>
  <c r="K104" i="12" a="1"/>
  <c r="K104" i="12" s="1"/>
  <c r="J105" i="12" a="1"/>
  <c r="J105" i="12" s="1"/>
  <c r="I106" i="12" a="1"/>
  <c r="I106" i="12" s="1"/>
  <c r="I104" i="12" a="1"/>
  <c r="I104" i="12" s="1"/>
  <c r="P106" i="12" a="1"/>
  <c r="P106" i="12" s="1"/>
  <c r="P105" i="12" a="1"/>
  <c r="P105" i="12" s="1"/>
  <c r="P104" i="12" a="1"/>
  <c r="P104" i="12" s="1"/>
  <c r="O106" i="12" a="1"/>
  <c r="O106" i="12" s="1"/>
  <c r="O105" i="12" a="1"/>
  <c r="O105" i="12" s="1"/>
  <c r="O104" i="12" a="1"/>
  <c r="O104" i="12" s="1"/>
  <c r="N106" i="12" a="1"/>
  <c r="N106" i="12" s="1"/>
  <c r="N105" i="12" a="1"/>
  <c r="N105" i="12" s="1"/>
  <c r="N104" i="12" a="1"/>
  <c r="N104" i="12" s="1"/>
  <c r="M106" i="12" a="1"/>
  <c r="M106" i="12" s="1"/>
  <c r="M105" i="12" a="1"/>
  <c r="M105" i="12" s="1"/>
  <c r="M104" i="12" a="1"/>
  <c r="M104" i="12" s="1"/>
  <c r="L106" i="12" a="1"/>
  <c r="L106" i="12" s="1"/>
  <c r="L105" i="12" a="1"/>
  <c r="L105" i="12" s="1"/>
  <c r="L104" i="12" a="1"/>
  <c r="L104" i="12" s="1"/>
  <c r="K106" i="12" a="1"/>
  <c r="K106" i="12" s="1"/>
  <c r="K105" i="12" a="1"/>
  <c r="K105" i="12" s="1"/>
  <c r="J106" i="12" a="1"/>
  <c r="J106" i="12" s="1"/>
  <c r="J104" i="12" a="1"/>
  <c r="J104" i="12" s="1"/>
  <c r="I105" i="12" a="1"/>
  <c r="I105" i="12" s="1"/>
  <c r="R92" i="12" a="1"/>
  <c r="R92" i="12" s="1"/>
  <c r="Q92" i="12" a="1"/>
  <c r="Q92" i="12" s="1"/>
  <c r="P94" i="12" a="1"/>
  <c r="P94" i="12" s="1"/>
  <c r="O94" i="12" a="1"/>
  <c r="O94" i="12" s="1"/>
  <c r="O92" i="12" a="1"/>
  <c r="O92" i="12" s="1"/>
  <c r="N93" i="12" a="1"/>
  <c r="N93" i="12" s="1"/>
  <c r="M93" i="12" a="1"/>
  <c r="M93" i="12" s="1"/>
  <c r="L93" i="12" a="1"/>
  <c r="L93" i="12" s="1"/>
  <c r="K94" i="12" a="1"/>
  <c r="K94" i="12" s="1"/>
  <c r="J93" i="12" a="1"/>
  <c r="J93" i="12" s="1"/>
  <c r="J92" i="12" a="1"/>
  <c r="J92" i="12" s="1"/>
  <c r="R94" i="12" a="1"/>
  <c r="R94" i="12" s="1"/>
  <c r="R93" i="12" a="1"/>
  <c r="R93" i="12" s="1"/>
  <c r="Q94" i="12" a="1"/>
  <c r="Q94" i="12" s="1"/>
  <c r="Q93" i="12" a="1"/>
  <c r="Q93" i="12" s="1"/>
  <c r="P93" i="12" a="1"/>
  <c r="P93" i="12" s="1"/>
  <c r="P92" i="12" a="1"/>
  <c r="P92" i="12" s="1"/>
  <c r="O93" i="12" a="1"/>
  <c r="O93" i="12" s="1"/>
  <c r="N94" i="12" a="1"/>
  <c r="N94" i="12" s="1"/>
  <c r="M94" i="12" a="1"/>
  <c r="M94" i="12" s="1"/>
  <c r="M92" i="12" a="1"/>
  <c r="M92" i="12" s="1"/>
  <c r="L94" i="12" a="1"/>
  <c r="L94" i="12" s="1"/>
  <c r="L92" i="12" a="1"/>
  <c r="L92" i="12" s="1"/>
  <c r="K93" i="12" a="1"/>
  <c r="K93" i="12" s="1"/>
  <c r="K92" i="12" a="1"/>
  <c r="K92" i="12" s="1"/>
  <c r="J94" i="12" a="1"/>
  <c r="J94" i="12" s="1"/>
  <c r="I94" i="12" a="1"/>
  <c r="I94" i="12" s="1"/>
  <c r="I93" i="12" a="1"/>
  <c r="I93" i="12" s="1"/>
  <c r="I92" i="12" a="1"/>
  <c r="I92" i="12" s="1"/>
  <c r="N92" i="12" a="1"/>
  <c r="N92" i="12" s="1"/>
  <c r="P81" i="12" a="1"/>
  <c r="P81" i="12" s="1"/>
  <c r="O80" i="12" a="1"/>
  <c r="O80" i="12" s="1"/>
  <c r="R82" i="12" a="1"/>
  <c r="R82" i="12" s="1"/>
  <c r="R81" i="12" a="1"/>
  <c r="R81" i="12" s="1"/>
  <c r="R80" i="12" a="1"/>
  <c r="R80" i="12" s="1"/>
  <c r="Q82" i="12" a="1"/>
  <c r="Q82" i="12" s="1"/>
  <c r="Q81" i="12" a="1"/>
  <c r="Q81" i="12" s="1"/>
  <c r="O81" i="12" a="1"/>
  <c r="O81" i="12" s="1"/>
  <c r="N82" i="12" a="1"/>
  <c r="N82" i="12" s="1"/>
  <c r="N81" i="12" a="1"/>
  <c r="N81" i="12" s="1"/>
  <c r="N80" i="12" a="1"/>
  <c r="N80" i="12" s="1"/>
  <c r="M80" i="12" a="1"/>
  <c r="M80" i="12" s="1"/>
  <c r="L81" i="12" a="1"/>
  <c r="L81" i="12" s="1"/>
  <c r="K81" i="12" a="1"/>
  <c r="K81" i="12" s="1"/>
  <c r="J82" i="12" a="1"/>
  <c r="J82" i="12" s="1"/>
  <c r="J80" i="12" a="1"/>
  <c r="J80" i="12" s="1"/>
  <c r="I82" i="12" a="1"/>
  <c r="I82" i="12" s="1"/>
  <c r="I80" i="12" a="1"/>
  <c r="I80" i="12" s="1"/>
  <c r="Q80" i="12" a="1"/>
  <c r="Q80" i="12" s="1"/>
  <c r="P80" i="12" a="1"/>
  <c r="P80" i="12" s="1"/>
  <c r="M82" i="12" a="1"/>
  <c r="M82" i="12" s="1"/>
  <c r="M81" i="12" a="1"/>
  <c r="M81" i="12" s="1"/>
  <c r="L82" i="12" a="1"/>
  <c r="L82" i="12" s="1"/>
  <c r="L80" i="12" a="1"/>
  <c r="L80" i="12" s="1"/>
  <c r="K82" i="12" a="1"/>
  <c r="K82" i="12" s="1"/>
  <c r="K80" i="12" a="1"/>
  <c r="K80" i="12" s="1"/>
  <c r="J81" i="12" a="1"/>
  <c r="J81" i="12" s="1"/>
  <c r="I81" i="12" a="1"/>
  <c r="I81" i="12" s="1"/>
  <c r="P82" i="12" a="1"/>
  <c r="P82" i="12" s="1"/>
  <c r="O82" i="12" a="1"/>
  <c r="O82" i="12" s="1"/>
  <c r="R69" i="12" a="1"/>
  <c r="R69" i="12" s="1"/>
  <c r="Q70" i="12" a="1"/>
  <c r="Q70" i="12" s="1"/>
  <c r="Q68" i="12" a="1"/>
  <c r="Q68" i="12" s="1"/>
  <c r="O69" i="12" a="1"/>
  <c r="O69" i="12" s="1"/>
  <c r="N69" i="12" a="1"/>
  <c r="N69" i="12" s="1"/>
  <c r="M70" i="12" a="1"/>
  <c r="M70" i="12" s="1"/>
  <c r="L68" i="12" a="1"/>
  <c r="L68" i="12" s="1"/>
  <c r="R70" i="12" a="1"/>
  <c r="R70" i="12" s="1"/>
  <c r="R68" i="12" a="1"/>
  <c r="R68" i="12" s="1"/>
  <c r="Q69" i="12" a="1"/>
  <c r="Q69" i="12" s="1"/>
  <c r="O68" i="12" a="1"/>
  <c r="O68" i="12" s="1"/>
  <c r="N68" i="12" a="1"/>
  <c r="N68" i="12" s="1"/>
  <c r="M68" i="12" a="1"/>
  <c r="M68" i="12" s="1"/>
  <c r="L69" i="12" a="1"/>
  <c r="L69" i="12" s="1"/>
  <c r="P70" i="12" a="1"/>
  <c r="P70" i="12" s="1"/>
  <c r="P69" i="12" a="1"/>
  <c r="P69" i="12" s="1"/>
  <c r="P68" i="12" a="1"/>
  <c r="P68" i="12" s="1"/>
  <c r="O70" i="12" a="1"/>
  <c r="O70" i="12" s="1"/>
  <c r="N70" i="12" a="1"/>
  <c r="N70" i="12" s="1"/>
  <c r="M69" i="12" a="1"/>
  <c r="M69" i="12" s="1"/>
  <c r="L70" i="12" a="1"/>
  <c r="L70" i="12" s="1"/>
  <c r="K70" i="12" a="1"/>
  <c r="K70" i="12" s="1"/>
  <c r="K69" i="12" a="1"/>
  <c r="K69" i="12" s="1"/>
  <c r="K68" i="12" a="1"/>
  <c r="K68" i="12" s="1"/>
  <c r="J70" i="12" a="1"/>
  <c r="J70" i="12" s="1"/>
  <c r="J69" i="12" a="1"/>
  <c r="J69" i="12" s="1"/>
  <c r="J68" i="12" a="1"/>
  <c r="J68" i="12" s="1"/>
  <c r="I70" i="12" a="1"/>
  <c r="I70" i="12" s="1"/>
  <c r="I69" i="12" a="1"/>
  <c r="I69" i="12" s="1"/>
  <c r="I68" i="12" a="1"/>
  <c r="I68" i="12" s="1"/>
  <c r="R58" i="12" a="1"/>
  <c r="R58" i="12" s="1"/>
  <c r="N58" i="12" a="1"/>
  <c r="N58" i="12" s="1"/>
  <c r="N57" i="12" a="1"/>
  <c r="N57" i="12" s="1"/>
  <c r="N56" i="12" a="1"/>
  <c r="N56" i="12" s="1"/>
  <c r="M58" i="12" a="1"/>
  <c r="M58" i="12" s="1"/>
  <c r="M57" i="12" a="1"/>
  <c r="M57" i="12" s="1"/>
  <c r="M56" i="12" a="1"/>
  <c r="M56" i="12" s="1"/>
  <c r="L58" i="12" a="1"/>
  <c r="L58" i="12" s="1"/>
  <c r="L57" i="12" a="1"/>
  <c r="L57" i="12" s="1"/>
  <c r="L56" i="12" a="1"/>
  <c r="L56" i="12" s="1"/>
  <c r="R57" i="12" a="1"/>
  <c r="R57" i="12" s="1"/>
  <c r="Q58" i="12" a="1"/>
  <c r="Q58" i="12" s="1"/>
  <c r="Q56" i="12" a="1"/>
  <c r="Q56" i="12" s="1"/>
  <c r="P58" i="12" a="1"/>
  <c r="P58" i="12" s="1"/>
  <c r="P56" i="12" a="1"/>
  <c r="P56" i="12" s="1"/>
  <c r="O58" i="12" a="1"/>
  <c r="O58" i="12" s="1"/>
  <c r="O56" i="12" a="1"/>
  <c r="O56" i="12" s="1"/>
  <c r="K58" i="12" a="1"/>
  <c r="K58" i="12" s="1"/>
  <c r="K57" i="12" a="1"/>
  <c r="K57" i="12" s="1"/>
  <c r="K56" i="12" a="1"/>
  <c r="K56" i="12" s="1"/>
  <c r="J58" i="12" a="1"/>
  <c r="J58" i="12" s="1"/>
  <c r="J57" i="12" a="1"/>
  <c r="J57" i="12" s="1"/>
  <c r="J56" i="12" a="1"/>
  <c r="J56" i="12" s="1"/>
  <c r="I58" i="12" a="1"/>
  <c r="I58" i="12" s="1"/>
  <c r="I57" i="12" a="1"/>
  <c r="I57" i="12" s="1"/>
  <c r="I56" i="12" a="1"/>
  <c r="I56" i="12" s="1"/>
  <c r="R56" i="12" a="1"/>
  <c r="R56" i="12" s="1"/>
  <c r="Q57" i="12" a="1"/>
  <c r="Q57" i="12" s="1"/>
  <c r="P57" i="12" a="1"/>
  <c r="P57" i="12" s="1"/>
  <c r="O57" i="12" a="1"/>
  <c r="O57" i="12" s="1"/>
  <c r="R46" i="12" a="1"/>
  <c r="R46" i="12" s="1"/>
  <c r="R45" i="12" a="1"/>
  <c r="R45" i="12" s="1"/>
  <c r="R44" i="12" a="1"/>
  <c r="R44" i="12" s="1"/>
  <c r="Q46" i="12" a="1"/>
  <c r="Q46" i="12" s="1"/>
  <c r="Q45" i="12" a="1"/>
  <c r="Q45" i="12" s="1"/>
  <c r="Q44" i="12" a="1"/>
  <c r="Q44" i="12" s="1"/>
  <c r="P46" i="12" a="1"/>
  <c r="P46" i="12" s="1"/>
  <c r="P45" i="12" a="1"/>
  <c r="P45" i="12" s="1"/>
  <c r="P44" i="12" a="1"/>
  <c r="P44" i="12" s="1"/>
  <c r="O46" i="12" a="1"/>
  <c r="O46" i="12" s="1"/>
  <c r="O45" i="12" a="1"/>
  <c r="O45" i="12" s="1"/>
  <c r="O44" i="12" a="1"/>
  <c r="O44" i="12" s="1"/>
  <c r="N46" i="12" a="1"/>
  <c r="N46" i="12" s="1"/>
  <c r="N45" i="12" a="1"/>
  <c r="N45" i="12" s="1"/>
  <c r="N44" i="12" a="1"/>
  <c r="N44" i="12" s="1"/>
  <c r="M46" i="12" a="1"/>
  <c r="M46" i="12" s="1"/>
  <c r="M45" i="12" a="1"/>
  <c r="M45" i="12" s="1"/>
  <c r="M44" i="12" a="1"/>
  <c r="M44" i="12" s="1"/>
  <c r="L46" i="12" a="1"/>
  <c r="L46" i="12" s="1"/>
  <c r="L45" i="12" a="1"/>
  <c r="L45" i="12" s="1"/>
  <c r="L44" i="12" a="1"/>
  <c r="L44" i="12" s="1"/>
  <c r="K46" i="12" a="1"/>
  <c r="K46" i="12" s="1"/>
  <c r="K45" i="12" a="1"/>
  <c r="K45" i="12" s="1"/>
  <c r="K44" i="12" a="1"/>
  <c r="K44" i="12" s="1"/>
  <c r="J46" i="12" a="1"/>
  <c r="J46" i="12" s="1"/>
  <c r="J45" i="12" a="1"/>
  <c r="J45" i="12" s="1"/>
  <c r="J44" i="12" a="1"/>
  <c r="J44" i="12" s="1"/>
  <c r="I46" i="12" a="1"/>
  <c r="I46" i="12" s="1"/>
  <c r="I45" i="12" a="1"/>
  <c r="I45" i="12" s="1"/>
  <c r="I44" i="12" a="1"/>
  <c r="I44" i="12" s="1"/>
  <c r="L34" i="12" a="1"/>
  <c r="L34" i="12" s="1"/>
  <c r="M34" i="12" a="1"/>
  <c r="M34" i="12" s="1"/>
  <c r="K34" i="12" a="1"/>
  <c r="K34" i="12" s="1"/>
  <c r="N34" i="12" a="1"/>
  <c r="N34" i="12" s="1"/>
  <c r="O34" i="12" a="1"/>
  <c r="O34" i="12" s="1"/>
  <c r="P34" i="12" a="1"/>
  <c r="P34" i="12" s="1"/>
  <c r="Q34" i="12" a="1"/>
  <c r="Q34" i="12" s="1"/>
  <c r="J34" i="12" a="1"/>
  <c r="J34" i="12" s="1"/>
  <c r="R34" i="12" a="1"/>
  <c r="R34" i="12" s="1"/>
  <c r="J33" i="12" a="1"/>
  <c r="J33" i="12" s="1"/>
  <c r="M33" i="12" a="1"/>
  <c r="M33" i="12" s="1"/>
  <c r="N33" i="12" a="1"/>
  <c r="N33" i="12" s="1"/>
  <c r="O33" i="12" a="1"/>
  <c r="O33" i="12" s="1"/>
  <c r="P33" i="12" a="1"/>
  <c r="P33" i="12" s="1"/>
  <c r="Q33" i="12" a="1"/>
  <c r="Q33" i="12" s="1"/>
  <c r="R33" i="12" a="1"/>
  <c r="R33" i="12" s="1"/>
  <c r="K33" i="12" a="1"/>
  <c r="K33" i="12" s="1"/>
  <c r="L33" i="12" a="1"/>
  <c r="L33" i="12" s="1"/>
  <c r="J32" i="12" a="1"/>
  <c r="J32" i="12" s="1"/>
  <c r="K32" i="12" a="1"/>
  <c r="K32" i="12" s="1"/>
  <c r="L32" i="12" a="1"/>
  <c r="L32" i="12" s="1"/>
  <c r="M32" i="12" a="1"/>
  <c r="M32" i="12" s="1"/>
  <c r="N32" i="12" a="1"/>
  <c r="N32" i="12" s="1"/>
  <c r="O32" i="12" a="1"/>
  <c r="O32" i="12" s="1"/>
  <c r="P32" i="12" a="1"/>
  <c r="P32" i="12" s="1"/>
  <c r="Q32" i="12" a="1"/>
  <c r="Q32" i="12" s="1"/>
  <c r="R32" i="12" a="1"/>
  <c r="R32" i="12" s="1"/>
  <c r="I33" i="12" a="1"/>
  <c r="I33" i="12" s="1"/>
  <c r="I34" i="12" a="1"/>
  <c r="I34" i="12" s="1"/>
  <c r="I32" i="12" a="1"/>
  <c r="I32" i="12" s="1"/>
  <c r="R38" i="24" a="1"/>
  <c r="R38" i="24" s="1"/>
  <c r="L37" i="24" a="1"/>
  <c r="L37" i="24" s="1"/>
  <c r="M37" i="24" a="1"/>
  <c r="M37" i="24" s="1"/>
  <c r="I39" i="24" a="1"/>
  <c r="I39" i="24" s="1"/>
  <c r="I38" i="25" a="1"/>
  <c r="I38" i="25" s="1"/>
  <c r="K38" i="25" a="1"/>
  <c r="K38" i="25" s="1"/>
  <c r="N38" i="25" a="1"/>
  <c r="N38" i="25" s="1"/>
  <c r="O38" i="25" a="1"/>
  <c r="O38" i="25" s="1"/>
  <c r="K39" i="24" a="1"/>
  <c r="K39" i="24" s="1"/>
  <c r="L39" i="24" a="1"/>
  <c r="L39" i="24" s="1"/>
  <c r="J39" i="24" a="1"/>
  <c r="J39" i="24" s="1"/>
  <c r="M39" i="24" a="1"/>
  <c r="M39" i="24" s="1"/>
  <c r="N39" i="24" a="1"/>
  <c r="N39" i="24" s="1"/>
  <c r="L38" i="25" a="1"/>
  <c r="L38" i="25" s="1"/>
  <c r="M38" i="25" a="1"/>
  <c r="M38" i="25" s="1"/>
  <c r="I37" i="24" a="1"/>
  <c r="I37" i="24" s="1"/>
  <c r="J37" i="24" a="1"/>
  <c r="J37" i="24" s="1"/>
  <c r="Q37" i="25" a="1"/>
  <c r="Q37" i="25" s="1"/>
  <c r="R37" i="25" a="1"/>
  <c r="R37" i="25" s="1"/>
  <c r="J38" i="25" a="1"/>
  <c r="J38" i="25" s="1"/>
  <c r="Q39" i="25" a="1"/>
  <c r="Q39" i="25" s="1"/>
  <c r="K37" i="24" a="1"/>
  <c r="K37" i="24" s="1"/>
  <c r="N37" i="24" a="1"/>
  <c r="N37" i="24" s="1"/>
  <c r="R39" i="25" a="1"/>
  <c r="R39" i="25" s="1"/>
  <c r="P38" i="24" a="1"/>
  <c r="P38" i="24" s="1"/>
  <c r="Q38" i="24" a="1"/>
  <c r="Q38" i="24" s="1"/>
  <c r="I37" i="25" a="1"/>
  <c r="I37" i="25" s="1"/>
  <c r="O37" i="24" a="1"/>
  <c r="O37" i="24" s="1"/>
  <c r="O39" i="24" a="1"/>
  <c r="O39" i="24" s="1"/>
  <c r="P38" i="25" a="1"/>
  <c r="P38" i="25" s="1"/>
  <c r="P37" i="24" a="1"/>
  <c r="P37" i="24" s="1"/>
  <c r="P39" i="24" a="1"/>
  <c r="P39" i="24" s="1"/>
  <c r="Q38" i="25" a="1"/>
  <c r="Q38" i="25" s="1"/>
  <c r="Q37" i="24" a="1"/>
  <c r="Q37" i="24" s="1"/>
  <c r="Q39" i="24" a="1"/>
  <c r="Q39" i="24" s="1"/>
  <c r="R38" i="25" a="1"/>
  <c r="R38" i="25" s="1"/>
  <c r="R37" i="24" a="1"/>
  <c r="R37" i="24" s="1"/>
  <c r="R39" i="24" a="1"/>
  <c r="R39" i="24" s="1"/>
  <c r="I39" i="25" a="1"/>
  <c r="I39" i="25" s="1"/>
  <c r="I38" i="24" a="1"/>
  <c r="I38" i="24" s="1"/>
  <c r="J37" i="25" a="1"/>
  <c r="J37" i="25" s="1"/>
  <c r="J39" i="25" a="1"/>
  <c r="J39" i="25" s="1"/>
  <c r="J38" i="24" a="1"/>
  <c r="J38" i="24" s="1"/>
  <c r="K37" i="25" a="1"/>
  <c r="K37" i="25" s="1"/>
  <c r="K39" i="25" a="1"/>
  <c r="K39" i="25" s="1"/>
  <c r="K38" i="24" a="1"/>
  <c r="K38" i="24" s="1"/>
  <c r="L37" i="25" a="1"/>
  <c r="L37" i="25" s="1"/>
  <c r="L39" i="25" a="1"/>
  <c r="L39" i="25" s="1"/>
  <c r="L38" i="24" a="1"/>
  <c r="L38" i="24" s="1"/>
  <c r="M37" i="25" a="1"/>
  <c r="M37" i="25" s="1"/>
  <c r="M39" i="25" a="1"/>
  <c r="M39" i="25" s="1"/>
  <c r="M38" i="24" a="1"/>
  <c r="M38" i="24" s="1"/>
  <c r="N37" i="25" a="1"/>
  <c r="N37" i="25" s="1"/>
  <c r="N39" i="25" a="1"/>
  <c r="N39" i="25" s="1"/>
  <c r="N38" i="24" a="1"/>
  <c r="N38" i="24" s="1"/>
  <c r="O37" i="25" a="1"/>
  <c r="O37" i="25" s="1"/>
  <c r="O39" i="25" a="1"/>
  <c r="O39" i="25" s="1"/>
  <c r="O38" i="24" a="1"/>
  <c r="O38" i="24" s="1"/>
  <c r="P37" i="25" a="1"/>
  <c r="P37" i="25" s="1"/>
  <c r="P39" i="25" a="1"/>
  <c r="P39" i="25" s="1"/>
  <c r="H197" i="12"/>
  <c r="H213" i="12"/>
  <c r="B31" i="32" a="1"/>
  <c r="B31" i="32" s="1"/>
  <c r="I83" i="23"/>
  <c r="I185" i="23" s="1"/>
  <c r="L168" i="23"/>
  <c r="L169" i="23"/>
  <c r="L170" i="23"/>
  <c r="I107" i="23"/>
  <c r="K168" i="23"/>
  <c r="K170" i="23"/>
  <c r="K169" i="23"/>
  <c r="I59" i="23"/>
  <c r="I219" i="23" s="1"/>
  <c r="J47" i="23"/>
  <c r="L47" i="23"/>
  <c r="C188" i="23"/>
  <c r="C202" i="23"/>
  <c r="C205" i="23"/>
  <c r="C184" i="23"/>
  <c r="C181" i="23"/>
  <c r="C201" i="23"/>
  <c r="C204" i="23"/>
  <c r="C189" i="23"/>
  <c r="C187" i="23"/>
  <c r="C209" i="23"/>
  <c r="T13" i="22" a="1"/>
  <c r="T13" i="22" s="1"/>
  <c r="S13" i="22" a="1"/>
  <c r="S13" i="22" s="1"/>
  <c r="G4" i="29"/>
  <c r="G3" i="29"/>
  <c r="I221" i="23" l="1"/>
  <c r="L182" i="23"/>
  <c r="L218" i="23"/>
  <c r="I187" i="23"/>
  <c r="I223" i="23"/>
  <c r="J218" i="23"/>
  <c r="J182" i="23"/>
  <c r="I183" i="23"/>
  <c r="R148" i="25"/>
  <c r="Q148" i="25"/>
  <c r="P148" i="25"/>
  <c r="O148" i="25"/>
  <c r="N148" i="25"/>
  <c r="M148" i="25"/>
  <c r="L148" i="25"/>
  <c r="K148" i="25"/>
  <c r="J148" i="25"/>
  <c r="I148" i="25"/>
  <c r="R136" i="25"/>
  <c r="Q136" i="25"/>
  <c r="P136" i="25"/>
  <c r="O136" i="25"/>
  <c r="N136" i="25"/>
  <c r="M136" i="25"/>
  <c r="L136" i="25"/>
  <c r="K136" i="25"/>
  <c r="J136" i="25"/>
  <c r="I136" i="25"/>
  <c r="R124" i="25"/>
  <c r="Q124" i="25"/>
  <c r="P124" i="25"/>
  <c r="O124" i="25"/>
  <c r="N124" i="25"/>
  <c r="M124" i="25"/>
  <c r="L124" i="25"/>
  <c r="K124" i="25"/>
  <c r="J124" i="25"/>
  <c r="I124" i="25"/>
  <c r="R112" i="25"/>
  <c r="Q112" i="25"/>
  <c r="P112" i="25"/>
  <c r="O112" i="25"/>
  <c r="N112" i="25"/>
  <c r="M112" i="25"/>
  <c r="L112" i="25"/>
  <c r="K112" i="25"/>
  <c r="J112" i="25"/>
  <c r="I112" i="25"/>
  <c r="R100" i="25"/>
  <c r="Q100" i="25"/>
  <c r="P100" i="25"/>
  <c r="O100" i="25"/>
  <c r="N100" i="25"/>
  <c r="M100" i="25"/>
  <c r="L100" i="25"/>
  <c r="K100" i="25"/>
  <c r="J100" i="25"/>
  <c r="I100" i="25"/>
  <c r="R88" i="25"/>
  <c r="Q88" i="25"/>
  <c r="P88" i="25"/>
  <c r="O88" i="25"/>
  <c r="N88" i="25"/>
  <c r="M88" i="25"/>
  <c r="L88" i="25"/>
  <c r="K88" i="25"/>
  <c r="J88" i="25"/>
  <c r="I88" i="25"/>
  <c r="R76" i="25"/>
  <c r="Q76" i="25"/>
  <c r="P76" i="25"/>
  <c r="O76" i="25"/>
  <c r="N76" i="25"/>
  <c r="M76" i="25"/>
  <c r="L76" i="25"/>
  <c r="K76" i="25"/>
  <c r="J76" i="25"/>
  <c r="I76" i="25"/>
  <c r="R64" i="25"/>
  <c r="Q64" i="25"/>
  <c r="P64" i="25"/>
  <c r="O64" i="25"/>
  <c r="N64" i="25"/>
  <c r="M64" i="25"/>
  <c r="L64" i="25"/>
  <c r="K64" i="25"/>
  <c r="J64" i="25"/>
  <c r="I64" i="25"/>
  <c r="R52" i="25"/>
  <c r="Q52" i="25"/>
  <c r="P52" i="25"/>
  <c r="O52" i="25"/>
  <c r="N52" i="25"/>
  <c r="M52" i="25"/>
  <c r="L52" i="25"/>
  <c r="K52" i="25"/>
  <c r="J52" i="25"/>
  <c r="I52" i="25"/>
  <c r="J40" i="25"/>
  <c r="K40" i="25"/>
  <c r="L40" i="25"/>
  <c r="M40" i="25"/>
  <c r="N40" i="25"/>
  <c r="O40" i="25"/>
  <c r="P40" i="25"/>
  <c r="Q40" i="25"/>
  <c r="R40" i="25"/>
  <c r="R148" i="24"/>
  <c r="Q148" i="24"/>
  <c r="P148" i="24"/>
  <c r="O148" i="24"/>
  <c r="N148" i="24"/>
  <c r="M148" i="24"/>
  <c r="L148" i="24"/>
  <c r="K148" i="24"/>
  <c r="J148" i="24"/>
  <c r="I148" i="24"/>
  <c r="R136" i="24"/>
  <c r="Q136" i="24"/>
  <c r="P136" i="24"/>
  <c r="O136" i="24"/>
  <c r="N136" i="24"/>
  <c r="M136" i="24"/>
  <c r="L136" i="24"/>
  <c r="K136" i="24"/>
  <c r="J136" i="24"/>
  <c r="I136" i="24"/>
  <c r="R124" i="24"/>
  <c r="Q124" i="24"/>
  <c r="P124" i="24"/>
  <c r="O124" i="24"/>
  <c r="N124" i="24"/>
  <c r="M124" i="24"/>
  <c r="L124" i="24"/>
  <c r="K124" i="24"/>
  <c r="J124" i="24"/>
  <c r="I124" i="24"/>
  <c r="R112" i="24"/>
  <c r="Q112" i="24"/>
  <c r="P112" i="24"/>
  <c r="O112" i="24"/>
  <c r="N112" i="24"/>
  <c r="M112" i="24"/>
  <c r="L112" i="24"/>
  <c r="K112" i="24"/>
  <c r="J112" i="24"/>
  <c r="I112" i="24"/>
  <c r="R100" i="24"/>
  <c r="Q100" i="24"/>
  <c r="P100" i="24"/>
  <c r="O100" i="24"/>
  <c r="N100" i="24"/>
  <c r="M100" i="24"/>
  <c r="L100" i="24"/>
  <c r="K100" i="24"/>
  <c r="J100" i="24"/>
  <c r="I100" i="24"/>
  <c r="R88" i="24"/>
  <c r="Q88" i="24"/>
  <c r="P88" i="24"/>
  <c r="O88" i="24"/>
  <c r="N88" i="24"/>
  <c r="M88" i="24"/>
  <c r="L88" i="24"/>
  <c r="K88" i="24"/>
  <c r="J88" i="24"/>
  <c r="I88" i="24"/>
  <c r="R76" i="24"/>
  <c r="Q76" i="24"/>
  <c r="P76" i="24"/>
  <c r="O76" i="24"/>
  <c r="N76" i="24"/>
  <c r="M76" i="24"/>
  <c r="L76" i="24"/>
  <c r="K76" i="24"/>
  <c r="J76" i="24"/>
  <c r="I76" i="24"/>
  <c r="R64" i="24"/>
  <c r="Q64" i="24"/>
  <c r="P64" i="24"/>
  <c r="O64" i="24"/>
  <c r="N64" i="24"/>
  <c r="M64" i="24"/>
  <c r="L64" i="24"/>
  <c r="K64" i="24"/>
  <c r="J64" i="24"/>
  <c r="I64" i="24"/>
  <c r="R52" i="24"/>
  <c r="Q52" i="24"/>
  <c r="P52" i="24"/>
  <c r="O52" i="24"/>
  <c r="N52" i="24"/>
  <c r="M52" i="24"/>
  <c r="L52" i="24"/>
  <c r="K52" i="24"/>
  <c r="J52" i="24"/>
  <c r="I52" i="24"/>
  <c r="J40" i="24"/>
  <c r="K40" i="24"/>
  <c r="L40" i="24"/>
  <c r="M40" i="24"/>
  <c r="N40" i="24"/>
  <c r="O40" i="24"/>
  <c r="P40" i="24"/>
  <c r="Q40" i="24"/>
  <c r="R40" i="24"/>
  <c r="J35" i="23"/>
  <c r="K35" i="23"/>
  <c r="L35" i="23"/>
  <c r="M35" i="23"/>
  <c r="N35" i="23"/>
  <c r="O35" i="23"/>
  <c r="P35" i="23"/>
  <c r="Q35" i="23"/>
  <c r="R35" i="23"/>
  <c r="I40" i="25"/>
  <c r="I40" i="24"/>
  <c r="I35" i="23"/>
  <c r="I35" i="12"/>
  <c r="R143" i="12"/>
  <c r="Q143" i="12"/>
  <c r="P143" i="12"/>
  <c r="O143" i="12"/>
  <c r="N143" i="12"/>
  <c r="M143" i="12"/>
  <c r="L143" i="12"/>
  <c r="K143" i="12"/>
  <c r="J143" i="12"/>
  <c r="I143" i="12"/>
  <c r="R131" i="12"/>
  <c r="Q131" i="12"/>
  <c r="P131" i="12"/>
  <c r="O131" i="12"/>
  <c r="N131" i="12"/>
  <c r="M131" i="12"/>
  <c r="L131" i="12"/>
  <c r="K131" i="12"/>
  <c r="J131" i="12"/>
  <c r="I131" i="12"/>
  <c r="R119" i="12"/>
  <c r="Q119" i="12"/>
  <c r="P119" i="12"/>
  <c r="O119" i="12"/>
  <c r="N119" i="12"/>
  <c r="M119" i="12"/>
  <c r="L119" i="12"/>
  <c r="K119" i="12"/>
  <c r="J119" i="12"/>
  <c r="I119" i="12"/>
  <c r="R107" i="12"/>
  <c r="Q107" i="12"/>
  <c r="P107" i="12"/>
  <c r="O107" i="12"/>
  <c r="N107" i="12"/>
  <c r="M107" i="12"/>
  <c r="L107" i="12"/>
  <c r="K107" i="12"/>
  <c r="J107" i="12"/>
  <c r="I107" i="12"/>
  <c r="R95" i="12"/>
  <c r="Q95" i="12"/>
  <c r="P95" i="12"/>
  <c r="O95" i="12"/>
  <c r="N95" i="12"/>
  <c r="M95" i="12"/>
  <c r="L95" i="12"/>
  <c r="K95" i="12"/>
  <c r="J95" i="12"/>
  <c r="I95" i="12"/>
  <c r="I185" i="12"/>
  <c r="R71" i="12"/>
  <c r="Q71" i="12"/>
  <c r="P71" i="12"/>
  <c r="O71" i="12"/>
  <c r="N71" i="12"/>
  <c r="M71" i="12"/>
  <c r="L71" i="12"/>
  <c r="K71" i="12"/>
  <c r="J71" i="12"/>
  <c r="R59" i="12"/>
  <c r="Q59" i="12"/>
  <c r="P59" i="12"/>
  <c r="O59" i="12"/>
  <c r="N59" i="12"/>
  <c r="M59" i="12"/>
  <c r="L59" i="12"/>
  <c r="L181" i="23" l="1"/>
  <c r="L173" i="23"/>
  <c r="L217" i="23"/>
  <c r="L172" i="23"/>
  <c r="L171" i="23"/>
  <c r="K173" i="23"/>
  <c r="K217" i="23"/>
  <c r="K181" i="23"/>
  <c r="K172" i="23"/>
  <c r="K171" i="23"/>
  <c r="J184" i="12"/>
  <c r="J220" i="12"/>
  <c r="J217" i="23"/>
  <c r="J181" i="23"/>
  <c r="I181" i="23"/>
  <c r="I217" i="23"/>
  <c r="L47" i="12"/>
  <c r="M47" i="12"/>
  <c r="N47" i="12"/>
  <c r="O47" i="12"/>
  <c r="P47" i="12"/>
  <c r="Q47" i="12"/>
  <c r="R47" i="12"/>
  <c r="J35" i="12"/>
  <c r="K35" i="12"/>
  <c r="L35" i="12"/>
  <c r="M35" i="12"/>
  <c r="N35" i="12"/>
  <c r="O35" i="12"/>
  <c r="P35" i="12"/>
  <c r="Q35" i="12"/>
  <c r="R35" i="12"/>
  <c r="K8" i="27"/>
  <c r="E8" i="27"/>
  <c r="D6" i="27"/>
  <c r="D5" i="27"/>
  <c r="D4" i="27"/>
  <c r="G4" i="20"/>
  <c r="G3" i="20"/>
  <c r="G4" i="21"/>
  <c r="G3" i="21"/>
  <c r="G4" i="25"/>
  <c r="G3" i="25"/>
  <c r="G4" i="24"/>
  <c r="G3" i="24"/>
  <c r="J16" i="27" l="1"/>
  <c r="G16" i="27"/>
  <c r="N229" i="25"/>
  <c r="Q228" i="25"/>
  <c r="L226" i="25"/>
  <c r="O225" i="25"/>
  <c r="J223" i="25"/>
  <c r="M222" i="25"/>
  <c r="I217" i="25"/>
  <c r="R214" i="25"/>
  <c r="Q214" i="25"/>
  <c r="P214" i="25"/>
  <c r="O214" i="25"/>
  <c r="N214" i="25"/>
  <c r="M214" i="25"/>
  <c r="L214" i="25"/>
  <c r="K214" i="25"/>
  <c r="J214" i="25"/>
  <c r="I214" i="25"/>
  <c r="R213" i="25"/>
  <c r="Q213" i="25"/>
  <c r="P213" i="25"/>
  <c r="O213" i="25"/>
  <c r="N213" i="25"/>
  <c r="M213" i="25"/>
  <c r="L213" i="25"/>
  <c r="K213" i="25"/>
  <c r="J213" i="25"/>
  <c r="I213" i="25"/>
  <c r="R212" i="25"/>
  <c r="Q212" i="25"/>
  <c r="P212" i="25"/>
  <c r="O212" i="25"/>
  <c r="N212" i="25"/>
  <c r="M212" i="25"/>
  <c r="L212" i="25"/>
  <c r="K212" i="25"/>
  <c r="J212" i="25"/>
  <c r="I212" i="25"/>
  <c r="R211" i="25"/>
  <c r="Q211" i="25"/>
  <c r="P211" i="25"/>
  <c r="O211" i="25"/>
  <c r="N211" i="25"/>
  <c r="M211" i="25"/>
  <c r="L211" i="25"/>
  <c r="K211" i="25"/>
  <c r="J211" i="25"/>
  <c r="I211" i="25"/>
  <c r="R210" i="25"/>
  <c r="Q210" i="25"/>
  <c r="P210" i="25"/>
  <c r="O210" i="25"/>
  <c r="N210" i="25"/>
  <c r="M210" i="25"/>
  <c r="L210" i="25"/>
  <c r="K210" i="25"/>
  <c r="J210" i="25"/>
  <c r="I210" i="25"/>
  <c r="R209" i="25"/>
  <c r="Q209" i="25"/>
  <c r="P209" i="25"/>
  <c r="O209" i="25"/>
  <c r="N209" i="25"/>
  <c r="M209" i="25"/>
  <c r="L209" i="25"/>
  <c r="K209" i="25"/>
  <c r="J209" i="25"/>
  <c r="I209" i="25"/>
  <c r="R208" i="25"/>
  <c r="Q208" i="25"/>
  <c r="P208" i="25"/>
  <c r="O208" i="25"/>
  <c r="N208" i="25"/>
  <c r="M208" i="25"/>
  <c r="L208" i="25"/>
  <c r="K208" i="25"/>
  <c r="J208" i="25"/>
  <c r="I208" i="25"/>
  <c r="R207" i="25"/>
  <c r="Q207" i="25"/>
  <c r="P207" i="25"/>
  <c r="O207" i="25"/>
  <c r="N207" i="25"/>
  <c r="M207" i="25"/>
  <c r="L207" i="25"/>
  <c r="K207" i="25"/>
  <c r="J207" i="25"/>
  <c r="I207" i="25"/>
  <c r="R206" i="25"/>
  <c r="Q206" i="25"/>
  <c r="P206" i="25"/>
  <c r="O206" i="25"/>
  <c r="O215" i="25" s="1"/>
  <c r="N206" i="25"/>
  <c r="M206" i="25"/>
  <c r="L206" i="25"/>
  <c r="K206" i="25"/>
  <c r="J206" i="25"/>
  <c r="I206" i="25"/>
  <c r="R205" i="25"/>
  <c r="Q205" i="25"/>
  <c r="Q215" i="25" s="1"/>
  <c r="P205" i="25"/>
  <c r="O205" i="25"/>
  <c r="N205" i="25"/>
  <c r="M205" i="25"/>
  <c r="L205" i="25"/>
  <c r="K205" i="25"/>
  <c r="J205" i="25"/>
  <c r="I205" i="25"/>
  <c r="I215" i="25" s="1"/>
  <c r="I201" i="25"/>
  <c r="P195" i="25"/>
  <c r="Q192" i="25"/>
  <c r="N192" i="25"/>
  <c r="O189" i="25"/>
  <c r="L189" i="25"/>
  <c r="M186" i="25"/>
  <c r="J186" i="25"/>
  <c r="R179" i="25"/>
  <c r="Q179" i="25"/>
  <c r="P179" i="25"/>
  <c r="O179" i="25"/>
  <c r="N179" i="25"/>
  <c r="M179" i="25"/>
  <c r="L179" i="25"/>
  <c r="K179" i="25"/>
  <c r="J179" i="25"/>
  <c r="I179" i="25"/>
  <c r="R178" i="25"/>
  <c r="Q178" i="25"/>
  <c r="P178" i="25"/>
  <c r="O178" i="25"/>
  <c r="N178" i="25"/>
  <c r="M178" i="25"/>
  <c r="L178" i="25"/>
  <c r="K178" i="25"/>
  <c r="J178" i="25"/>
  <c r="I178" i="25"/>
  <c r="R177" i="25"/>
  <c r="Q177" i="25"/>
  <c r="P177" i="25"/>
  <c r="O177" i="25"/>
  <c r="N177" i="25"/>
  <c r="M177" i="25"/>
  <c r="L177" i="25"/>
  <c r="K177" i="25"/>
  <c r="J177" i="25"/>
  <c r="I177" i="25"/>
  <c r="R176" i="25"/>
  <c r="Q176" i="25"/>
  <c r="P176" i="25"/>
  <c r="O176" i="25"/>
  <c r="N176" i="25"/>
  <c r="M176" i="25"/>
  <c r="L176" i="25"/>
  <c r="K176" i="25"/>
  <c r="J176" i="25"/>
  <c r="I176" i="25"/>
  <c r="R175" i="25"/>
  <c r="Q175" i="25"/>
  <c r="P175" i="25"/>
  <c r="O175" i="25"/>
  <c r="N175" i="25"/>
  <c r="M175" i="25"/>
  <c r="L175" i="25"/>
  <c r="K175" i="25"/>
  <c r="J175" i="25"/>
  <c r="I175" i="25"/>
  <c r="R174" i="25"/>
  <c r="Q174" i="25"/>
  <c r="P174" i="25"/>
  <c r="O174" i="25"/>
  <c r="N174" i="25"/>
  <c r="M174" i="25"/>
  <c r="L174" i="25"/>
  <c r="K174" i="25"/>
  <c r="J174" i="25"/>
  <c r="I174" i="25"/>
  <c r="R173" i="25"/>
  <c r="Q173" i="25"/>
  <c r="P173" i="25"/>
  <c r="O173" i="25"/>
  <c r="N173" i="25"/>
  <c r="M173" i="25"/>
  <c r="L173" i="25"/>
  <c r="K173" i="25"/>
  <c r="J173" i="25"/>
  <c r="I173" i="25"/>
  <c r="R172" i="25"/>
  <c r="Q172" i="25"/>
  <c r="P172" i="25"/>
  <c r="O172" i="25"/>
  <c r="N172" i="25"/>
  <c r="M172" i="25"/>
  <c r="L172" i="25"/>
  <c r="K172" i="25"/>
  <c r="J172" i="25"/>
  <c r="I172" i="25"/>
  <c r="R171" i="25"/>
  <c r="Q171" i="25"/>
  <c r="P171" i="25"/>
  <c r="O171" i="25"/>
  <c r="N171" i="25"/>
  <c r="M171" i="25"/>
  <c r="L171" i="25"/>
  <c r="K171" i="25"/>
  <c r="J171" i="25"/>
  <c r="I171" i="25"/>
  <c r="R170" i="25"/>
  <c r="Q170" i="25"/>
  <c r="P170" i="25"/>
  <c r="O170" i="25"/>
  <c r="N170" i="25"/>
  <c r="M170" i="25"/>
  <c r="M180" i="25" s="1"/>
  <c r="L170" i="25"/>
  <c r="K170" i="25"/>
  <c r="J170" i="25"/>
  <c r="I170" i="25"/>
  <c r="R167" i="25"/>
  <c r="Q167" i="25"/>
  <c r="Q156" i="25" s="1"/>
  <c r="P167" i="25"/>
  <c r="P156" i="25" s="1"/>
  <c r="O167" i="25"/>
  <c r="O156" i="25" s="1"/>
  <c r="N167" i="25"/>
  <c r="N156" i="25" s="1"/>
  <c r="M167" i="25"/>
  <c r="M156" i="25" s="1"/>
  <c r="L167" i="25"/>
  <c r="K167" i="25"/>
  <c r="J167" i="25"/>
  <c r="J156" i="25" s="1"/>
  <c r="I167" i="25"/>
  <c r="I156" i="25" s="1"/>
  <c r="R156" i="25"/>
  <c r="L156" i="25"/>
  <c r="K156" i="25"/>
  <c r="R155" i="25"/>
  <c r="Q155" i="25"/>
  <c r="P155" i="25"/>
  <c r="O155" i="25"/>
  <c r="N155" i="25"/>
  <c r="M155" i="25"/>
  <c r="L155" i="25"/>
  <c r="K155" i="25"/>
  <c r="J155" i="25"/>
  <c r="R195" i="25"/>
  <c r="Q231" i="25"/>
  <c r="P231" i="25"/>
  <c r="O231" i="25"/>
  <c r="N231" i="25"/>
  <c r="M195" i="25"/>
  <c r="L231" i="25"/>
  <c r="K195" i="25"/>
  <c r="J195" i="25"/>
  <c r="I231" i="25"/>
  <c r="R230" i="25"/>
  <c r="Q230" i="25"/>
  <c r="P230" i="25"/>
  <c r="O194" i="25"/>
  <c r="N230" i="25"/>
  <c r="M194" i="25"/>
  <c r="L194" i="25"/>
  <c r="K230" i="25"/>
  <c r="J230" i="25"/>
  <c r="I230" i="25"/>
  <c r="R229" i="25"/>
  <c r="Q193" i="25"/>
  <c r="P229" i="25"/>
  <c r="O193" i="25"/>
  <c r="N193" i="25"/>
  <c r="M229" i="25"/>
  <c r="L229" i="25"/>
  <c r="K229" i="25"/>
  <c r="J229" i="25"/>
  <c r="I193" i="25"/>
  <c r="R228" i="25"/>
  <c r="P192" i="25"/>
  <c r="O228" i="25"/>
  <c r="N228" i="25"/>
  <c r="M228" i="25"/>
  <c r="L228" i="25"/>
  <c r="K192" i="25"/>
  <c r="J228" i="25"/>
  <c r="I192" i="25"/>
  <c r="R191" i="25"/>
  <c r="Q227" i="25"/>
  <c r="P227" i="25"/>
  <c r="O227" i="25"/>
  <c r="N227" i="25"/>
  <c r="M191" i="25"/>
  <c r="L227" i="25"/>
  <c r="K191" i="25"/>
  <c r="J191" i="25"/>
  <c r="I227" i="25"/>
  <c r="R226" i="25"/>
  <c r="Q226" i="25"/>
  <c r="P226" i="25"/>
  <c r="O190" i="25"/>
  <c r="N226" i="25"/>
  <c r="M190" i="25"/>
  <c r="L190" i="25"/>
  <c r="K226" i="25"/>
  <c r="J226" i="25"/>
  <c r="I226" i="25"/>
  <c r="R225" i="25"/>
  <c r="Q189" i="25"/>
  <c r="P225" i="25"/>
  <c r="N189" i="25"/>
  <c r="M225" i="25"/>
  <c r="L225" i="25"/>
  <c r="K225" i="25"/>
  <c r="J225" i="25"/>
  <c r="I189" i="25"/>
  <c r="R224" i="25"/>
  <c r="Q188" i="25"/>
  <c r="P188" i="25"/>
  <c r="O224" i="25"/>
  <c r="N224" i="25"/>
  <c r="M224" i="25"/>
  <c r="L224" i="25"/>
  <c r="K188" i="25"/>
  <c r="J224" i="25"/>
  <c r="I188" i="25"/>
  <c r="R187" i="25"/>
  <c r="Q223" i="25"/>
  <c r="P223" i="25"/>
  <c r="O223" i="25"/>
  <c r="N223" i="25"/>
  <c r="M187" i="25"/>
  <c r="L223" i="25"/>
  <c r="K187" i="25"/>
  <c r="J187" i="25"/>
  <c r="I223" i="25"/>
  <c r="R222" i="25"/>
  <c r="Q222" i="25"/>
  <c r="P222" i="25"/>
  <c r="O186" i="25"/>
  <c r="N222" i="25"/>
  <c r="L186" i="25"/>
  <c r="K222" i="25"/>
  <c r="J222" i="25"/>
  <c r="I222" i="25"/>
  <c r="I229" i="24"/>
  <c r="R228" i="24"/>
  <c r="Q225" i="24"/>
  <c r="P225" i="24"/>
  <c r="O222" i="24"/>
  <c r="N222" i="24"/>
  <c r="I217" i="24"/>
  <c r="R214" i="24"/>
  <c r="Q214" i="24"/>
  <c r="P214" i="24"/>
  <c r="O214" i="24"/>
  <c r="N214" i="24"/>
  <c r="M214" i="24"/>
  <c r="L214" i="24"/>
  <c r="K214" i="24"/>
  <c r="J214" i="24"/>
  <c r="I214" i="24"/>
  <c r="R213" i="24"/>
  <c r="Q213" i="24"/>
  <c r="P213" i="24"/>
  <c r="O213" i="24"/>
  <c r="N213" i="24"/>
  <c r="M213" i="24"/>
  <c r="L213" i="24"/>
  <c r="K213" i="24"/>
  <c r="J213" i="24"/>
  <c r="I213" i="24"/>
  <c r="R212" i="24"/>
  <c r="Q212" i="24"/>
  <c r="P212" i="24"/>
  <c r="O212" i="24"/>
  <c r="N212" i="24"/>
  <c r="M212" i="24"/>
  <c r="L212" i="24"/>
  <c r="K212" i="24"/>
  <c r="J212" i="24"/>
  <c r="I212" i="24"/>
  <c r="R211" i="24"/>
  <c r="Q211" i="24"/>
  <c r="P211" i="24"/>
  <c r="O211" i="24"/>
  <c r="N211" i="24"/>
  <c r="M211" i="24"/>
  <c r="L211" i="24"/>
  <c r="K211" i="24"/>
  <c r="J211" i="24"/>
  <c r="I211" i="24"/>
  <c r="R210" i="24"/>
  <c r="Q210" i="24"/>
  <c r="P210" i="24"/>
  <c r="O210" i="24"/>
  <c r="N210" i="24"/>
  <c r="M210" i="24"/>
  <c r="L210" i="24"/>
  <c r="K210" i="24"/>
  <c r="J210" i="24"/>
  <c r="I210" i="24"/>
  <c r="R209" i="24"/>
  <c r="Q209" i="24"/>
  <c r="P209" i="24"/>
  <c r="O209" i="24"/>
  <c r="N209" i="24"/>
  <c r="M209" i="24"/>
  <c r="L209" i="24"/>
  <c r="K209" i="24"/>
  <c r="J209" i="24"/>
  <c r="I209" i="24"/>
  <c r="R208" i="24"/>
  <c r="Q208" i="24"/>
  <c r="P208" i="24"/>
  <c r="O208" i="24"/>
  <c r="N208" i="24"/>
  <c r="M208" i="24"/>
  <c r="L208" i="24"/>
  <c r="K208" i="24"/>
  <c r="J208" i="24"/>
  <c r="I208" i="24"/>
  <c r="R207" i="24"/>
  <c r="Q207" i="24"/>
  <c r="P207" i="24"/>
  <c r="O207" i="24"/>
  <c r="N207" i="24"/>
  <c r="M207" i="24"/>
  <c r="L207" i="24"/>
  <c r="K207" i="24"/>
  <c r="J207" i="24"/>
  <c r="I207" i="24"/>
  <c r="R206" i="24"/>
  <c r="Q206" i="24"/>
  <c r="P206" i="24"/>
  <c r="O206" i="24"/>
  <c r="N206" i="24"/>
  <c r="M206" i="24"/>
  <c r="L206" i="24"/>
  <c r="K206" i="24"/>
  <c r="J206" i="24"/>
  <c r="I206" i="24"/>
  <c r="R205" i="24"/>
  <c r="Q205" i="24"/>
  <c r="Q215" i="24" s="1"/>
  <c r="P205" i="24"/>
  <c r="O205" i="24"/>
  <c r="N205" i="24"/>
  <c r="M205" i="24"/>
  <c r="L205" i="24"/>
  <c r="K205" i="24"/>
  <c r="J205" i="24"/>
  <c r="I205" i="24"/>
  <c r="I215" i="24" s="1"/>
  <c r="I201" i="24"/>
  <c r="M195" i="24"/>
  <c r="O194" i="24"/>
  <c r="M191" i="24"/>
  <c r="I189" i="24"/>
  <c r="K188" i="24"/>
  <c r="R179" i="24"/>
  <c r="Q179" i="24"/>
  <c r="P179" i="24"/>
  <c r="O179" i="24"/>
  <c r="N179" i="24"/>
  <c r="M179" i="24"/>
  <c r="L179" i="24"/>
  <c r="K179" i="24"/>
  <c r="J179" i="24"/>
  <c r="I179" i="24"/>
  <c r="R178" i="24"/>
  <c r="Q178" i="24"/>
  <c r="P178" i="24"/>
  <c r="O178" i="24"/>
  <c r="N178" i="24"/>
  <c r="M178" i="24"/>
  <c r="L178" i="24"/>
  <c r="K178" i="24"/>
  <c r="J178" i="24"/>
  <c r="I178" i="24"/>
  <c r="R177" i="24"/>
  <c r="Q177" i="24"/>
  <c r="P177" i="24"/>
  <c r="O177" i="24"/>
  <c r="N177" i="24"/>
  <c r="M177" i="24"/>
  <c r="L177" i="24"/>
  <c r="K177" i="24"/>
  <c r="J177" i="24"/>
  <c r="I177" i="24"/>
  <c r="R176" i="24"/>
  <c r="Q176" i="24"/>
  <c r="P176" i="24"/>
  <c r="O176" i="24"/>
  <c r="N176" i="24"/>
  <c r="M176" i="24"/>
  <c r="L176" i="24"/>
  <c r="K176" i="24"/>
  <c r="J176" i="24"/>
  <c r="I176" i="24"/>
  <c r="R175" i="24"/>
  <c r="Q175" i="24"/>
  <c r="P175" i="24"/>
  <c r="O175" i="24"/>
  <c r="N175" i="24"/>
  <c r="M175" i="24"/>
  <c r="L175" i="24"/>
  <c r="K175" i="24"/>
  <c r="J175" i="24"/>
  <c r="I175" i="24"/>
  <c r="R174" i="24"/>
  <c r="Q174" i="24"/>
  <c r="P174" i="24"/>
  <c r="O174" i="24"/>
  <c r="N174" i="24"/>
  <c r="M174" i="24"/>
  <c r="L174" i="24"/>
  <c r="K174" i="24"/>
  <c r="J174" i="24"/>
  <c r="I174" i="24"/>
  <c r="R173" i="24"/>
  <c r="Q173" i="24"/>
  <c r="P173" i="24"/>
  <c r="O173" i="24"/>
  <c r="N173" i="24"/>
  <c r="M173" i="24"/>
  <c r="L173" i="24"/>
  <c r="K173" i="24"/>
  <c r="J173" i="24"/>
  <c r="I173" i="24"/>
  <c r="R172" i="24"/>
  <c r="Q172" i="24"/>
  <c r="P172" i="24"/>
  <c r="O172" i="24"/>
  <c r="N172" i="24"/>
  <c r="M172" i="24"/>
  <c r="L172" i="24"/>
  <c r="K172" i="24"/>
  <c r="J172" i="24"/>
  <c r="I172" i="24"/>
  <c r="R171" i="24"/>
  <c r="Q171" i="24"/>
  <c r="P171" i="24"/>
  <c r="O171" i="24"/>
  <c r="N171" i="24"/>
  <c r="M171" i="24"/>
  <c r="L171" i="24"/>
  <c r="K171" i="24"/>
  <c r="J171" i="24"/>
  <c r="I171" i="24"/>
  <c r="R170" i="24"/>
  <c r="Q170" i="24"/>
  <c r="P170" i="24"/>
  <c r="O170" i="24"/>
  <c r="N170" i="24"/>
  <c r="M170" i="24"/>
  <c r="L170" i="24"/>
  <c r="K170" i="24"/>
  <c r="J170" i="24"/>
  <c r="I170" i="24"/>
  <c r="R167" i="24"/>
  <c r="Q167" i="24"/>
  <c r="Q156" i="24" s="1"/>
  <c r="P167" i="24"/>
  <c r="P156" i="24" s="1"/>
  <c r="O167" i="24"/>
  <c r="O156" i="24" s="1"/>
  <c r="N167" i="24"/>
  <c r="M167" i="24"/>
  <c r="M156" i="24" s="1"/>
  <c r="L167" i="24"/>
  <c r="L156" i="24" s="1"/>
  <c r="K167" i="24"/>
  <c r="K156" i="24" s="1"/>
  <c r="J167" i="24"/>
  <c r="I167" i="24"/>
  <c r="I156" i="24" s="1"/>
  <c r="R156" i="24"/>
  <c r="N156" i="24"/>
  <c r="J156" i="24"/>
  <c r="R155" i="24"/>
  <c r="Q155" i="24"/>
  <c r="P155" i="24"/>
  <c r="O155" i="24"/>
  <c r="N155" i="24"/>
  <c r="M155" i="24"/>
  <c r="L155" i="24"/>
  <c r="K155" i="24"/>
  <c r="J155" i="24"/>
  <c r="R231" i="24"/>
  <c r="Q231" i="24"/>
  <c r="P231" i="24"/>
  <c r="O231" i="24"/>
  <c r="N195" i="24"/>
  <c r="M231" i="24"/>
  <c r="L195" i="24"/>
  <c r="K231" i="24"/>
  <c r="J231" i="24"/>
  <c r="I231" i="24"/>
  <c r="R230" i="24"/>
  <c r="Q230" i="24"/>
  <c r="P230" i="24"/>
  <c r="O230" i="24"/>
  <c r="N194" i="24"/>
  <c r="M230" i="24"/>
  <c r="L230" i="24"/>
  <c r="K230" i="24"/>
  <c r="J230" i="24"/>
  <c r="I230" i="24"/>
  <c r="R193" i="24"/>
  <c r="Q229" i="24"/>
  <c r="P193" i="24"/>
  <c r="O229" i="24"/>
  <c r="N229" i="24"/>
  <c r="M229" i="24"/>
  <c r="L229" i="24"/>
  <c r="K229" i="24"/>
  <c r="J193" i="24"/>
  <c r="I193" i="24"/>
  <c r="R192" i="24"/>
  <c r="Q228" i="24"/>
  <c r="P228" i="24"/>
  <c r="O228" i="24"/>
  <c r="N228" i="24"/>
  <c r="M228" i="24"/>
  <c r="L192" i="24"/>
  <c r="K192" i="24"/>
  <c r="J192" i="24"/>
  <c r="I228" i="24"/>
  <c r="R227" i="24"/>
  <c r="Q227" i="24"/>
  <c r="P227" i="24"/>
  <c r="O227" i="24"/>
  <c r="N191" i="24"/>
  <c r="M227" i="24"/>
  <c r="L191" i="24"/>
  <c r="K227" i="24"/>
  <c r="J227" i="24"/>
  <c r="I227" i="24"/>
  <c r="R226" i="24"/>
  <c r="Q226" i="24"/>
  <c r="P190" i="24"/>
  <c r="O226" i="24"/>
  <c r="N190" i="24"/>
  <c r="M226" i="24"/>
  <c r="L226" i="24"/>
  <c r="K226" i="24"/>
  <c r="J226" i="24"/>
  <c r="I226" i="24"/>
  <c r="R189" i="24"/>
  <c r="Q189" i="24"/>
  <c r="P189" i="24"/>
  <c r="O225" i="24"/>
  <c r="N225" i="24"/>
  <c r="M225" i="24"/>
  <c r="L225" i="24"/>
  <c r="K225" i="24"/>
  <c r="J225" i="24"/>
  <c r="I225" i="24"/>
  <c r="R188" i="24"/>
  <c r="Q224" i="24"/>
  <c r="P224" i="24"/>
  <c r="O224" i="24"/>
  <c r="N224" i="24"/>
  <c r="M224" i="24"/>
  <c r="L188" i="24"/>
  <c r="K224" i="24"/>
  <c r="J188" i="24"/>
  <c r="I224" i="24"/>
  <c r="R223" i="24"/>
  <c r="Q223" i="24"/>
  <c r="P223" i="24"/>
  <c r="O223" i="24"/>
  <c r="N187" i="24"/>
  <c r="M223" i="24"/>
  <c r="L187" i="24"/>
  <c r="K223" i="24"/>
  <c r="J223" i="24"/>
  <c r="I223" i="24"/>
  <c r="R222" i="24"/>
  <c r="Q222" i="24"/>
  <c r="P186" i="24"/>
  <c r="O186" i="24"/>
  <c r="N186" i="24"/>
  <c r="M222" i="24"/>
  <c r="L222" i="24"/>
  <c r="K222" i="24"/>
  <c r="J222" i="24"/>
  <c r="I222" i="24"/>
  <c r="I212" i="23"/>
  <c r="R209" i="23"/>
  <c r="Q209" i="23"/>
  <c r="P209" i="23"/>
  <c r="O209" i="23"/>
  <c r="N209" i="23"/>
  <c r="M209" i="23"/>
  <c r="L209" i="23"/>
  <c r="K209" i="23"/>
  <c r="J209" i="23"/>
  <c r="I209" i="23"/>
  <c r="R208" i="23"/>
  <c r="Q208" i="23"/>
  <c r="P208" i="23"/>
  <c r="O208" i="23"/>
  <c r="N208" i="23"/>
  <c r="M208" i="23"/>
  <c r="L208" i="23"/>
  <c r="K208" i="23"/>
  <c r="J208" i="23"/>
  <c r="I208" i="23"/>
  <c r="R207" i="23"/>
  <c r="Q207" i="23"/>
  <c r="P207" i="23"/>
  <c r="O207" i="23"/>
  <c r="N207" i="23"/>
  <c r="M207" i="23"/>
  <c r="L207" i="23"/>
  <c r="K207" i="23"/>
  <c r="J207" i="23"/>
  <c r="I207" i="23"/>
  <c r="R206" i="23"/>
  <c r="Q206" i="23"/>
  <c r="P206" i="23"/>
  <c r="O206" i="23"/>
  <c r="N206" i="23"/>
  <c r="M206" i="23"/>
  <c r="L206" i="23"/>
  <c r="K206" i="23"/>
  <c r="J206" i="23"/>
  <c r="I206" i="23"/>
  <c r="R205" i="23"/>
  <c r="Q205" i="23"/>
  <c r="P205" i="23"/>
  <c r="O205" i="23"/>
  <c r="N205" i="23"/>
  <c r="M205" i="23"/>
  <c r="L205" i="23"/>
  <c r="K205" i="23"/>
  <c r="J205" i="23"/>
  <c r="I205" i="23"/>
  <c r="R204" i="23"/>
  <c r="Q204" i="23"/>
  <c r="P204" i="23"/>
  <c r="O204" i="23"/>
  <c r="N204" i="23"/>
  <c r="M204" i="23"/>
  <c r="L204" i="23"/>
  <c r="K204" i="23"/>
  <c r="J204" i="23"/>
  <c r="I204" i="23"/>
  <c r="R203" i="23"/>
  <c r="Q203" i="23"/>
  <c r="P203" i="23"/>
  <c r="O203" i="23"/>
  <c r="N203" i="23"/>
  <c r="M203" i="23"/>
  <c r="L203" i="23"/>
  <c r="K203" i="23"/>
  <c r="J203" i="23"/>
  <c r="I203" i="23"/>
  <c r="R202" i="23"/>
  <c r="Q202" i="23"/>
  <c r="P202" i="23"/>
  <c r="O202" i="23"/>
  <c r="N202" i="23"/>
  <c r="M202" i="23"/>
  <c r="L202" i="23"/>
  <c r="K202" i="23"/>
  <c r="J202" i="23"/>
  <c r="I202" i="23"/>
  <c r="R201" i="23"/>
  <c r="Q201" i="23"/>
  <c r="P201" i="23"/>
  <c r="O201" i="23"/>
  <c r="N201" i="23"/>
  <c r="M201" i="23"/>
  <c r="L201" i="23"/>
  <c r="K201" i="23"/>
  <c r="J201" i="23"/>
  <c r="I201" i="23"/>
  <c r="R200" i="23"/>
  <c r="Q200" i="23"/>
  <c r="P200" i="23"/>
  <c r="O200" i="23"/>
  <c r="N200" i="23"/>
  <c r="M200" i="23"/>
  <c r="L200" i="23"/>
  <c r="K200" i="23"/>
  <c r="J200" i="23"/>
  <c r="I200" i="23"/>
  <c r="I196" i="23"/>
  <c r="J174" i="23"/>
  <c r="I174" i="23"/>
  <c r="J173" i="23"/>
  <c r="I173" i="23"/>
  <c r="J172" i="23"/>
  <c r="I172" i="23"/>
  <c r="J171" i="23"/>
  <c r="I171" i="23"/>
  <c r="J170" i="23"/>
  <c r="I170" i="23"/>
  <c r="J169" i="23"/>
  <c r="I169" i="23"/>
  <c r="J168" i="23"/>
  <c r="I168" i="23"/>
  <c r="J167" i="23"/>
  <c r="I167" i="23"/>
  <c r="J166" i="23"/>
  <c r="I166" i="23"/>
  <c r="R162" i="23"/>
  <c r="R151" i="23" s="1"/>
  <c r="Q162" i="23"/>
  <c r="Q151" i="23" s="1"/>
  <c r="P162" i="23"/>
  <c r="P151" i="23" s="1"/>
  <c r="O162" i="23"/>
  <c r="O151" i="23" s="1"/>
  <c r="N162" i="23"/>
  <c r="N151" i="23" s="1"/>
  <c r="M162" i="23"/>
  <c r="M151" i="23" s="1"/>
  <c r="L162" i="23"/>
  <c r="L151" i="23" s="1"/>
  <c r="K162" i="23"/>
  <c r="K151" i="23" s="1"/>
  <c r="J162" i="23"/>
  <c r="J151" i="23" s="1"/>
  <c r="I162" i="23"/>
  <c r="I151" i="23" s="1"/>
  <c r="R150" i="23"/>
  <c r="Q150" i="23"/>
  <c r="P150" i="23"/>
  <c r="O150" i="23"/>
  <c r="N150" i="23"/>
  <c r="M150" i="23"/>
  <c r="L150" i="23"/>
  <c r="K150" i="23"/>
  <c r="J150" i="23"/>
  <c r="J217" i="12"/>
  <c r="K181" i="12"/>
  <c r="L181" i="12"/>
  <c r="M217" i="12"/>
  <c r="N181" i="12"/>
  <c r="O181" i="12"/>
  <c r="P217" i="12"/>
  <c r="Q181" i="12"/>
  <c r="R181" i="12"/>
  <c r="J182" i="12"/>
  <c r="K218" i="12"/>
  <c r="N182" i="12"/>
  <c r="O218" i="12"/>
  <c r="P182" i="12"/>
  <c r="Q182" i="12"/>
  <c r="R182" i="12"/>
  <c r="J183" i="12"/>
  <c r="K219" i="12"/>
  <c r="N219" i="12"/>
  <c r="O183" i="12"/>
  <c r="P219" i="12"/>
  <c r="Q219" i="12"/>
  <c r="R219" i="12"/>
  <c r="M184" i="12"/>
  <c r="O220" i="12"/>
  <c r="P220" i="12"/>
  <c r="Q220" i="12"/>
  <c r="R220" i="12"/>
  <c r="J221" i="12"/>
  <c r="L221" i="12"/>
  <c r="M221" i="12"/>
  <c r="O185" i="12"/>
  <c r="P185" i="12"/>
  <c r="Q221" i="12"/>
  <c r="R185" i="12"/>
  <c r="J186" i="12"/>
  <c r="K186" i="12"/>
  <c r="L222" i="12"/>
  <c r="M222" i="12"/>
  <c r="N222" i="12"/>
  <c r="O186" i="12"/>
  <c r="R186" i="12"/>
  <c r="J187" i="12"/>
  <c r="L187" i="12"/>
  <c r="N223" i="12"/>
  <c r="P223" i="12"/>
  <c r="Q223" i="12"/>
  <c r="R187" i="12"/>
  <c r="J224" i="12"/>
  <c r="K188" i="12"/>
  <c r="L188" i="12"/>
  <c r="M188" i="12"/>
  <c r="O188" i="12"/>
  <c r="P188" i="12"/>
  <c r="Q188" i="12"/>
  <c r="R188" i="12"/>
  <c r="J225" i="12"/>
  <c r="K189" i="12"/>
  <c r="L225" i="12"/>
  <c r="N189" i="12"/>
  <c r="O189" i="12"/>
  <c r="Q189" i="12"/>
  <c r="R189" i="12"/>
  <c r="J226" i="12"/>
  <c r="K226" i="12"/>
  <c r="M226" i="12"/>
  <c r="O190" i="12"/>
  <c r="R190" i="12"/>
  <c r="O150" i="12"/>
  <c r="P150" i="12"/>
  <c r="Q150" i="12"/>
  <c r="R150" i="12"/>
  <c r="O162" i="12"/>
  <c r="O151" i="12" s="1"/>
  <c r="P162" i="12"/>
  <c r="P151" i="12" s="1"/>
  <c r="Q162" i="12"/>
  <c r="Q151" i="12" s="1"/>
  <c r="R162" i="12"/>
  <c r="R151" i="12" s="1"/>
  <c r="O165" i="12"/>
  <c r="P165" i="12"/>
  <c r="Q165" i="12"/>
  <c r="R165" i="12"/>
  <c r="O166" i="12"/>
  <c r="P166" i="12"/>
  <c r="Q166" i="12"/>
  <c r="R166" i="12"/>
  <c r="O167" i="12"/>
  <c r="P167" i="12"/>
  <c r="Q167" i="12"/>
  <c r="R167" i="12"/>
  <c r="O168" i="12"/>
  <c r="P168" i="12"/>
  <c r="Q168" i="12"/>
  <c r="R168" i="12"/>
  <c r="O169" i="12"/>
  <c r="P169" i="12"/>
  <c r="Q169" i="12"/>
  <c r="R169" i="12"/>
  <c r="O170" i="12"/>
  <c r="P170" i="12"/>
  <c r="Q170" i="12"/>
  <c r="R170" i="12"/>
  <c r="O171" i="12"/>
  <c r="P171" i="12"/>
  <c r="Q171" i="12"/>
  <c r="R171" i="12"/>
  <c r="O172" i="12"/>
  <c r="P172" i="12"/>
  <c r="Q172" i="12"/>
  <c r="R172" i="12"/>
  <c r="O173" i="12"/>
  <c r="P173" i="12"/>
  <c r="Q173" i="12"/>
  <c r="R173" i="12"/>
  <c r="O174" i="12"/>
  <c r="P174" i="12"/>
  <c r="Q174" i="12"/>
  <c r="R174" i="12"/>
  <c r="P181" i="12"/>
  <c r="P183" i="12"/>
  <c r="O184" i="12"/>
  <c r="Q184" i="12"/>
  <c r="R184" i="12"/>
  <c r="Q185" i="12"/>
  <c r="P186" i="12"/>
  <c r="Q186" i="12"/>
  <c r="O187" i="12"/>
  <c r="P187" i="12"/>
  <c r="Q187" i="12"/>
  <c r="P189" i="12"/>
  <c r="P190" i="12"/>
  <c r="Q190" i="12"/>
  <c r="O200" i="12"/>
  <c r="P200" i="12"/>
  <c r="Q200" i="12"/>
  <c r="R200" i="12"/>
  <c r="O201" i="12"/>
  <c r="P201" i="12"/>
  <c r="Q201" i="12"/>
  <c r="R201" i="12"/>
  <c r="O202" i="12"/>
  <c r="P202" i="12"/>
  <c r="Q202" i="12"/>
  <c r="R202" i="12"/>
  <c r="O203" i="12"/>
  <c r="P203" i="12"/>
  <c r="Q203" i="12"/>
  <c r="R203" i="12"/>
  <c r="O204" i="12"/>
  <c r="P204" i="12"/>
  <c r="Q204" i="12"/>
  <c r="R204" i="12"/>
  <c r="O205" i="12"/>
  <c r="P205" i="12"/>
  <c r="Q205" i="12"/>
  <c r="R205" i="12"/>
  <c r="O206" i="12"/>
  <c r="P206" i="12"/>
  <c r="Q206" i="12"/>
  <c r="R206" i="12"/>
  <c r="O207" i="12"/>
  <c r="P207" i="12"/>
  <c r="Q207" i="12"/>
  <c r="R207" i="12"/>
  <c r="O208" i="12"/>
  <c r="P208" i="12"/>
  <c r="Q208" i="12"/>
  <c r="R208" i="12"/>
  <c r="O209" i="12"/>
  <c r="P209" i="12"/>
  <c r="Q209" i="12"/>
  <c r="R209" i="12"/>
  <c r="P218" i="12"/>
  <c r="Q218" i="12"/>
  <c r="R218" i="12"/>
  <c r="O219" i="12"/>
  <c r="P222" i="12"/>
  <c r="Q222" i="12"/>
  <c r="R222" i="12"/>
  <c r="O223" i="12"/>
  <c r="P225" i="12"/>
  <c r="P226" i="12"/>
  <c r="Q226" i="12"/>
  <c r="N150" i="12"/>
  <c r="N162" i="12"/>
  <c r="N151" i="12" s="1"/>
  <c r="N165" i="12"/>
  <c r="N166" i="12"/>
  <c r="N167" i="12"/>
  <c r="N168" i="12"/>
  <c r="N169" i="12"/>
  <c r="N170" i="12"/>
  <c r="N171" i="12"/>
  <c r="N172" i="12"/>
  <c r="N173" i="12"/>
  <c r="N174" i="12"/>
  <c r="N183" i="12"/>
  <c r="N184" i="12"/>
  <c r="N185" i="12"/>
  <c r="N186" i="12"/>
  <c r="N187" i="12"/>
  <c r="N188" i="12"/>
  <c r="N190" i="12"/>
  <c r="N200" i="12"/>
  <c r="N201" i="12"/>
  <c r="N202" i="12"/>
  <c r="N203" i="12"/>
  <c r="N204" i="12"/>
  <c r="N205" i="12"/>
  <c r="N206" i="12"/>
  <c r="N207" i="12"/>
  <c r="N208" i="12"/>
  <c r="N209" i="12"/>
  <c r="N217" i="12"/>
  <c r="N218" i="12"/>
  <c r="N220" i="12"/>
  <c r="N221" i="12"/>
  <c r="N224" i="12"/>
  <c r="N225" i="12"/>
  <c r="N226" i="12"/>
  <c r="K200" i="12"/>
  <c r="L200" i="12"/>
  <c r="M200" i="12"/>
  <c r="K201" i="12"/>
  <c r="L201" i="12"/>
  <c r="M201" i="12"/>
  <c r="K202" i="12"/>
  <c r="L202" i="12"/>
  <c r="M202" i="12"/>
  <c r="K203" i="12"/>
  <c r="L203" i="12"/>
  <c r="M203" i="12"/>
  <c r="K204" i="12"/>
  <c r="L204" i="12"/>
  <c r="M204" i="12"/>
  <c r="K205" i="12"/>
  <c r="L205" i="12"/>
  <c r="M205" i="12"/>
  <c r="K206" i="12"/>
  <c r="L206" i="12"/>
  <c r="M206" i="12"/>
  <c r="K207" i="12"/>
  <c r="L207" i="12"/>
  <c r="M207" i="12"/>
  <c r="K208" i="12"/>
  <c r="L208" i="12"/>
  <c r="M208" i="12"/>
  <c r="K209" i="12"/>
  <c r="L209" i="12"/>
  <c r="M209" i="12"/>
  <c r="L218" i="12"/>
  <c r="M218" i="12"/>
  <c r="L219" i="12"/>
  <c r="M219" i="12"/>
  <c r="K220" i="12"/>
  <c r="L220" i="12"/>
  <c r="M220" i="12"/>
  <c r="K221" i="12"/>
  <c r="K223" i="12"/>
  <c r="L223" i="12"/>
  <c r="M223" i="12"/>
  <c r="M225" i="12"/>
  <c r="L226" i="12"/>
  <c r="I222" i="12"/>
  <c r="I221" i="12"/>
  <c r="I220" i="12"/>
  <c r="J202" i="12"/>
  <c r="J203" i="12"/>
  <c r="J204" i="12"/>
  <c r="J205" i="12"/>
  <c r="J206" i="12"/>
  <c r="J207" i="12"/>
  <c r="J208" i="12"/>
  <c r="J209" i="12"/>
  <c r="I209" i="12"/>
  <c r="I208" i="12"/>
  <c r="I207" i="12"/>
  <c r="I206" i="12"/>
  <c r="I205" i="12"/>
  <c r="I204" i="12"/>
  <c r="I203" i="12"/>
  <c r="I202" i="12"/>
  <c r="M181" i="12"/>
  <c r="L182" i="12"/>
  <c r="M182" i="12"/>
  <c r="L183" i="12"/>
  <c r="M183" i="12"/>
  <c r="K184" i="12"/>
  <c r="L184" i="12"/>
  <c r="K185" i="12"/>
  <c r="L185" i="12"/>
  <c r="M185" i="12"/>
  <c r="M186" i="12"/>
  <c r="K187" i="12"/>
  <c r="M187" i="12"/>
  <c r="M189" i="12"/>
  <c r="L190" i="12"/>
  <c r="M190" i="12"/>
  <c r="I189" i="12"/>
  <c r="I188" i="12"/>
  <c r="I187" i="12"/>
  <c r="I186" i="12"/>
  <c r="K165" i="12"/>
  <c r="L165" i="12"/>
  <c r="M165" i="12"/>
  <c r="K166" i="12"/>
  <c r="L166" i="12"/>
  <c r="M166" i="12"/>
  <c r="K167" i="12"/>
  <c r="L167" i="12"/>
  <c r="M167" i="12"/>
  <c r="K168" i="12"/>
  <c r="L168" i="12"/>
  <c r="M168" i="12"/>
  <c r="K169" i="12"/>
  <c r="L169" i="12"/>
  <c r="M169" i="12"/>
  <c r="K170" i="12"/>
  <c r="L170" i="12"/>
  <c r="M170" i="12"/>
  <c r="K171" i="12"/>
  <c r="L171" i="12"/>
  <c r="M171" i="12"/>
  <c r="K172" i="12"/>
  <c r="L172" i="12"/>
  <c r="M172" i="12"/>
  <c r="K173" i="12"/>
  <c r="L173" i="12"/>
  <c r="M173" i="12"/>
  <c r="K174" i="12"/>
  <c r="L174" i="12"/>
  <c r="M174" i="12"/>
  <c r="J167" i="12"/>
  <c r="J169" i="12"/>
  <c r="J170" i="12"/>
  <c r="J171" i="12"/>
  <c r="J172" i="12"/>
  <c r="J173" i="12"/>
  <c r="J174" i="12"/>
  <c r="I174" i="12"/>
  <c r="I173" i="12"/>
  <c r="I172" i="12"/>
  <c r="I171" i="12"/>
  <c r="I170" i="12"/>
  <c r="I169" i="12"/>
  <c r="I168" i="12"/>
  <c r="J166" i="12"/>
  <c r="J165" i="12"/>
  <c r="J200" i="12"/>
  <c r="J201" i="12"/>
  <c r="I190" i="12"/>
  <c r="I225" i="12"/>
  <c r="I224" i="12"/>
  <c r="I223" i="12"/>
  <c r="I184" i="12"/>
  <c r="I212" i="12"/>
  <c r="I201" i="12"/>
  <c r="I200" i="12"/>
  <c r="I196" i="12"/>
  <c r="I182" i="12"/>
  <c r="I181" i="12"/>
  <c r="M215" i="25" l="1"/>
  <c r="J215" i="25"/>
  <c r="R215" i="25"/>
  <c r="K215" i="24"/>
  <c r="L215" i="24"/>
  <c r="J215" i="24"/>
  <c r="P215" i="24"/>
  <c r="O180" i="24"/>
  <c r="K180" i="24"/>
  <c r="M215" i="24"/>
  <c r="N215" i="24"/>
  <c r="L215" i="25"/>
  <c r="P215" i="25"/>
  <c r="J180" i="25"/>
  <c r="R180" i="25"/>
  <c r="P180" i="24"/>
  <c r="R210" i="23"/>
  <c r="J210" i="23"/>
  <c r="K210" i="12"/>
  <c r="O217" i="12"/>
  <c r="O175" i="12"/>
  <c r="N180" i="25"/>
  <c r="K215" i="25"/>
  <c r="N215" i="25"/>
  <c r="O180" i="25"/>
  <c r="K180" i="25"/>
  <c r="Q180" i="25"/>
  <c r="L180" i="25"/>
  <c r="P180" i="25"/>
  <c r="R215" i="24"/>
  <c r="O215" i="24"/>
  <c r="L180" i="24"/>
  <c r="M180" i="24"/>
  <c r="Q180" i="24"/>
  <c r="N180" i="24"/>
  <c r="J180" i="24"/>
  <c r="R180" i="24"/>
  <c r="K175" i="23"/>
  <c r="L175" i="23"/>
  <c r="M210" i="23"/>
  <c r="L210" i="23"/>
  <c r="O175" i="23"/>
  <c r="N210" i="23"/>
  <c r="P175" i="23"/>
  <c r="O210" i="23"/>
  <c r="Q175" i="23"/>
  <c r="P210" i="23"/>
  <c r="J175" i="23"/>
  <c r="R175" i="23"/>
  <c r="I210" i="23"/>
  <c r="Q210" i="23"/>
  <c r="K210" i="23"/>
  <c r="M175" i="23"/>
  <c r="N175" i="23"/>
  <c r="O210" i="12"/>
  <c r="R210" i="12"/>
  <c r="N210" i="12"/>
  <c r="M210" i="12"/>
  <c r="L210" i="12"/>
  <c r="I215" i="12"/>
  <c r="Q210" i="12"/>
  <c r="P210" i="12"/>
  <c r="L217" i="12"/>
  <c r="K217" i="12"/>
  <c r="R175" i="12"/>
  <c r="Q175" i="12"/>
  <c r="P175" i="12"/>
  <c r="N175" i="12"/>
  <c r="J175" i="12"/>
  <c r="I180" i="25"/>
  <c r="I180" i="24"/>
  <c r="I175" i="23"/>
  <c r="K225" i="12"/>
  <c r="J189" i="12"/>
  <c r="K182" i="12"/>
  <c r="M224" i="12"/>
  <c r="M216" i="12" s="1"/>
  <c r="M153" i="12" s="1"/>
  <c r="R225" i="12"/>
  <c r="P221" i="12"/>
  <c r="R217" i="12"/>
  <c r="K190" i="12"/>
  <c r="J188" i="12"/>
  <c r="L224" i="12"/>
  <c r="Q225" i="12"/>
  <c r="O221" i="12"/>
  <c r="Q217" i="12"/>
  <c r="L189" i="12"/>
  <c r="K224" i="12"/>
  <c r="J218" i="12"/>
  <c r="R224" i="12"/>
  <c r="P216" i="23"/>
  <c r="P153" i="23" s="1"/>
  <c r="J216" i="23"/>
  <c r="J153" i="23" s="1"/>
  <c r="N216" i="23"/>
  <c r="N153" i="23" s="1"/>
  <c r="L216" i="23"/>
  <c r="L153" i="23" s="1"/>
  <c r="M221" i="24"/>
  <c r="M158" i="24" s="1"/>
  <c r="J224" i="24"/>
  <c r="R224" i="24"/>
  <c r="J228" i="24"/>
  <c r="L231" i="24"/>
  <c r="N230" i="24"/>
  <c r="M187" i="24"/>
  <c r="Q193" i="24"/>
  <c r="K228" i="24"/>
  <c r="K221" i="24" s="1"/>
  <c r="K158" i="24" s="1"/>
  <c r="L223" i="24"/>
  <c r="N226" i="24"/>
  <c r="P229" i="24"/>
  <c r="O190" i="24"/>
  <c r="L227" i="24"/>
  <c r="R186" i="25"/>
  <c r="J190" i="25"/>
  <c r="L193" i="25"/>
  <c r="K223" i="25"/>
  <c r="M226" i="25"/>
  <c r="O229" i="25"/>
  <c r="R223" i="25"/>
  <c r="J227" i="25"/>
  <c r="L230" i="25"/>
  <c r="P187" i="25"/>
  <c r="R190" i="25"/>
  <c r="J194" i="25"/>
  <c r="I224" i="25"/>
  <c r="K227" i="25"/>
  <c r="M230" i="25"/>
  <c r="P224" i="25"/>
  <c r="R227" i="25"/>
  <c r="J231" i="25"/>
  <c r="N188" i="25"/>
  <c r="P191" i="25"/>
  <c r="R194" i="25"/>
  <c r="Q224" i="25"/>
  <c r="I228" i="25"/>
  <c r="K231" i="25"/>
  <c r="L222" i="25"/>
  <c r="L221" i="25" s="1"/>
  <c r="L158" i="25" s="1"/>
  <c r="N225" i="25"/>
  <c r="N221" i="25" s="1"/>
  <c r="N158" i="25" s="1"/>
  <c r="P228" i="25"/>
  <c r="R231" i="25"/>
  <c r="P186" i="25"/>
  <c r="N187" i="25"/>
  <c r="L188" i="25"/>
  <c r="J189" i="25"/>
  <c r="R189" i="25"/>
  <c r="P190" i="25"/>
  <c r="N191" i="25"/>
  <c r="L192" i="25"/>
  <c r="J193" i="25"/>
  <c r="R193" i="25"/>
  <c r="P194" i="25"/>
  <c r="N195" i="25"/>
  <c r="O222" i="25"/>
  <c r="M223" i="25"/>
  <c r="K224" i="25"/>
  <c r="I225" i="25"/>
  <c r="Q225" i="25"/>
  <c r="O226" i="25"/>
  <c r="M227" i="25"/>
  <c r="K228" i="25"/>
  <c r="I229" i="25"/>
  <c r="Q229" i="25"/>
  <c r="O230" i="25"/>
  <c r="M231" i="25"/>
  <c r="I186" i="25"/>
  <c r="Q186" i="25"/>
  <c r="O187" i="25"/>
  <c r="M188" i="25"/>
  <c r="K189" i="25"/>
  <c r="I190" i="25"/>
  <c r="Q190" i="25"/>
  <c r="O191" i="25"/>
  <c r="M192" i="25"/>
  <c r="K193" i="25"/>
  <c r="I194" i="25"/>
  <c r="Q194" i="25"/>
  <c r="O195" i="25"/>
  <c r="K186" i="25"/>
  <c r="I187" i="25"/>
  <c r="Q187" i="25"/>
  <c r="O188" i="25"/>
  <c r="M189" i="25"/>
  <c r="K190" i="25"/>
  <c r="I191" i="25"/>
  <c r="Q191" i="25"/>
  <c r="O192" i="25"/>
  <c r="M193" i="25"/>
  <c r="K194" i="25"/>
  <c r="I195" i="25"/>
  <c r="Q195" i="25"/>
  <c r="N186" i="25"/>
  <c r="L187" i="25"/>
  <c r="J188" i="25"/>
  <c r="R188" i="25"/>
  <c r="P189" i="25"/>
  <c r="N190" i="25"/>
  <c r="L191" i="25"/>
  <c r="J192" i="25"/>
  <c r="R192" i="25"/>
  <c r="P193" i="25"/>
  <c r="N194" i="25"/>
  <c r="L195" i="25"/>
  <c r="O221" i="24"/>
  <c r="O158" i="24" s="1"/>
  <c r="I221" i="24"/>
  <c r="I158" i="24" s="1"/>
  <c r="Q221" i="24"/>
  <c r="Q158" i="24" s="1"/>
  <c r="J189" i="24"/>
  <c r="P194" i="24"/>
  <c r="I186" i="24"/>
  <c r="Q186" i="24"/>
  <c r="O187" i="24"/>
  <c r="M188" i="24"/>
  <c r="K189" i="24"/>
  <c r="I190" i="24"/>
  <c r="Q190" i="24"/>
  <c r="O191" i="24"/>
  <c r="M192" i="24"/>
  <c r="K193" i="24"/>
  <c r="I194" i="24"/>
  <c r="Q194" i="24"/>
  <c r="O195" i="24"/>
  <c r="P222" i="24"/>
  <c r="N223" i="24"/>
  <c r="L224" i="24"/>
  <c r="R225" i="24"/>
  <c r="P226" i="24"/>
  <c r="N227" i="24"/>
  <c r="L228" i="24"/>
  <c r="J229" i="24"/>
  <c r="R229" i="24"/>
  <c r="N231" i="24"/>
  <c r="J186" i="24"/>
  <c r="R186" i="24"/>
  <c r="P187" i="24"/>
  <c r="N188" i="24"/>
  <c r="L189" i="24"/>
  <c r="J190" i="24"/>
  <c r="R190" i="24"/>
  <c r="P191" i="24"/>
  <c r="N192" i="24"/>
  <c r="L193" i="24"/>
  <c r="J194" i="24"/>
  <c r="R194" i="24"/>
  <c r="P195" i="24"/>
  <c r="K186" i="24"/>
  <c r="I187" i="24"/>
  <c r="Q187" i="24"/>
  <c r="O188" i="24"/>
  <c r="M189" i="24"/>
  <c r="K190" i="24"/>
  <c r="I191" i="24"/>
  <c r="Q191" i="24"/>
  <c r="O192" i="24"/>
  <c r="M193" i="24"/>
  <c r="K194" i="24"/>
  <c r="I195" i="24"/>
  <c r="Q195" i="24"/>
  <c r="L186" i="24"/>
  <c r="J187" i="24"/>
  <c r="R187" i="24"/>
  <c r="P188" i="24"/>
  <c r="N189" i="24"/>
  <c r="L190" i="24"/>
  <c r="J191" i="24"/>
  <c r="R191" i="24"/>
  <c r="P192" i="24"/>
  <c r="N193" i="24"/>
  <c r="L194" i="24"/>
  <c r="J195" i="24"/>
  <c r="R195" i="24"/>
  <c r="M186" i="24"/>
  <c r="K187" i="24"/>
  <c r="I188" i="24"/>
  <c r="Q188" i="24"/>
  <c r="O189" i="24"/>
  <c r="M190" i="24"/>
  <c r="K191" i="24"/>
  <c r="I192" i="24"/>
  <c r="Q192" i="24"/>
  <c r="O193" i="24"/>
  <c r="M194" i="24"/>
  <c r="K195" i="24"/>
  <c r="R216" i="23"/>
  <c r="R153" i="23" s="1"/>
  <c r="J181" i="12"/>
  <c r="I175" i="12"/>
  <c r="O182" i="12"/>
  <c r="O191" i="12" s="1"/>
  <c r="O194" i="12" s="1"/>
  <c r="K183" i="12"/>
  <c r="R183" i="12"/>
  <c r="R191" i="12" s="1"/>
  <c r="R194" i="12" s="1"/>
  <c r="Q183" i="12"/>
  <c r="Q191" i="12" s="1"/>
  <c r="Q194" i="12" s="1"/>
  <c r="J219" i="12"/>
  <c r="P184" i="12"/>
  <c r="P191" i="12" s="1"/>
  <c r="P194" i="12" s="1"/>
  <c r="J185" i="12"/>
  <c r="R221" i="12"/>
  <c r="K222" i="12"/>
  <c r="J222" i="12"/>
  <c r="L186" i="12"/>
  <c r="O222" i="12"/>
  <c r="J223" i="12"/>
  <c r="R223" i="12"/>
  <c r="M191" i="12"/>
  <c r="M194" i="12" s="1"/>
  <c r="Q224" i="12"/>
  <c r="P224" i="12"/>
  <c r="O224" i="12"/>
  <c r="O225" i="12"/>
  <c r="M215" i="12"/>
  <c r="J190" i="12"/>
  <c r="N191" i="12"/>
  <c r="N194" i="12" s="1"/>
  <c r="O226" i="12"/>
  <c r="N216" i="12"/>
  <c r="N153" i="12" s="1"/>
  <c r="R226" i="12"/>
  <c r="I226" i="12"/>
  <c r="I218" i="12"/>
  <c r="N215" i="12"/>
  <c r="M175" i="12"/>
  <c r="L175" i="12"/>
  <c r="K175" i="12"/>
  <c r="J210" i="12"/>
  <c r="I210" i="12"/>
  <c r="I191" i="12"/>
  <c r="I194" i="12" s="1"/>
  <c r="I217" i="12"/>
  <c r="D51" i="32" l="1" a="1"/>
  <c r="L3" i="32"/>
  <c r="N3" i="32"/>
  <c r="N4" i="32"/>
  <c r="M3" i="32"/>
  <c r="M4" i="32"/>
  <c r="K3" i="32"/>
  <c r="D38" i="32" a="1"/>
  <c r="N7" i="32"/>
  <c r="N8" i="32"/>
  <c r="N11" i="32" s="1"/>
  <c r="M7" i="32"/>
  <c r="M8" i="32"/>
  <c r="M11" i="32" s="1"/>
  <c r="L8" i="32"/>
  <c r="L11" i="32" s="1"/>
  <c r="L7" i="32"/>
  <c r="K8" i="32"/>
  <c r="K7" i="32"/>
  <c r="L2" i="32"/>
  <c r="M2" i="32"/>
  <c r="N2" i="32"/>
  <c r="K2" i="32"/>
  <c r="G19" i="27"/>
  <c r="I216" i="25"/>
  <c r="I218" i="25" s="1"/>
  <c r="I216" i="24"/>
  <c r="I218" i="24" s="1"/>
  <c r="P215" i="12"/>
  <c r="L4" i="32" s="1"/>
  <c r="I181" i="25"/>
  <c r="R221" i="24"/>
  <c r="R158" i="24" s="1"/>
  <c r="I211" i="23"/>
  <c r="I213" i="23" s="1"/>
  <c r="M152" i="12"/>
  <c r="O152" i="12"/>
  <c r="Q216" i="12"/>
  <c r="Q153" i="12" s="1"/>
  <c r="M221" i="25"/>
  <c r="M158" i="25" s="1"/>
  <c r="P221" i="25"/>
  <c r="P158" i="25" s="1"/>
  <c r="M220" i="25"/>
  <c r="J221" i="25"/>
  <c r="J158" i="25" s="1"/>
  <c r="R221" i="25"/>
  <c r="R158" i="25" s="1"/>
  <c r="I221" i="25"/>
  <c r="I158" i="25" s="1"/>
  <c r="K221" i="25"/>
  <c r="K158" i="25" s="1"/>
  <c r="R220" i="25"/>
  <c r="I181" i="24"/>
  <c r="O220" i="24"/>
  <c r="I215" i="23"/>
  <c r="R215" i="23"/>
  <c r="I176" i="23"/>
  <c r="O216" i="12"/>
  <c r="O153" i="12" s="1"/>
  <c r="I152" i="12"/>
  <c r="R152" i="12"/>
  <c r="I211" i="12"/>
  <c r="N152" i="12"/>
  <c r="P152" i="12"/>
  <c r="Q152" i="12"/>
  <c r="P216" i="12"/>
  <c r="P153" i="12" s="1"/>
  <c r="K216" i="12"/>
  <c r="K153" i="12" s="1"/>
  <c r="L216" i="12"/>
  <c r="L153" i="12" s="1"/>
  <c r="R216" i="12"/>
  <c r="R153" i="12" s="1"/>
  <c r="K215" i="12"/>
  <c r="I191" i="23"/>
  <c r="I176" i="12"/>
  <c r="J191" i="12"/>
  <c r="J194" i="12" s="1"/>
  <c r="L215" i="12"/>
  <c r="I216" i="23"/>
  <c r="I153" i="23" s="1"/>
  <c r="J191" i="23"/>
  <c r="J194" i="23" s="1"/>
  <c r="K216" i="23"/>
  <c r="K153" i="23" s="1"/>
  <c r="Q215" i="23"/>
  <c r="Q216" i="23"/>
  <c r="Q153" i="23" s="1"/>
  <c r="J215" i="23"/>
  <c r="M216" i="23"/>
  <c r="M153" i="23" s="1"/>
  <c r="O215" i="23"/>
  <c r="O216" i="23"/>
  <c r="O153" i="23" s="1"/>
  <c r="R191" i="23"/>
  <c r="R194" i="23" s="1"/>
  <c r="N9" i="32" s="1"/>
  <c r="N220" i="24"/>
  <c r="O196" i="24"/>
  <c r="O199" i="24" s="1"/>
  <c r="O157" i="24" s="1"/>
  <c r="P220" i="24"/>
  <c r="L221" i="24"/>
  <c r="L158" i="24" s="1"/>
  <c r="N221" i="24"/>
  <c r="N158" i="24" s="1"/>
  <c r="J221" i="24"/>
  <c r="J158" i="24" s="1"/>
  <c r="J220" i="25"/>
  <c r="M196" i="25"/>
  <c r="M199" i="25" s="1"/>
  <c r="M157" i="25" s="1"/>
  <c r="R196" i="25"/>
  <c r="R199" i="25" s="1"/>
  <c r="R157" i="25" s="1"/>
  <c r="O196" i="25"/>
  <c r="O199" i="25" s="1"/>
  <c r="O157" i="25" s="1"/>
  <c r="Q221" i="25"/>
  <c r="Q158" i="25" s="1"/>
  <c r="L220" i="25"/>
  <c r="Q220" i="25"/>
  <c r="Q196" i="25"/>
  <c r="Q199" i="25" s="1"/>
  <c r="Q157" i="25" s="1"/>
  <c r="I220" i="25"/>
  <c r="I196" i="25"/>
  <c r="P220" i="25"/>
  <c r="P196" i="25"/>
  <c r="P199" i="25" s="1"/>
  <c r="P157" i="25" s="1"/>
  <c r="J196" i="25"/>
  <c r="J199" i="25" s="1"/>
  <c r="J157" i="25" s="1"/>
  <c r="K196" i="25"/>
  <c r="K199" i="25" s="1"/>
  <c r="K157" i="25" s="1"/>
  <c r="K220" i="25"/>
  <c r="O220" i="25"/>
  <c r="O221" i="25"/>
  <c r="O158" i="25" s="1"/>
  <c r="L196" i="25"/>
  <c r="L199" i="25" s="1"/>
  <c r="L157" i="25" s="1"/>
  <c r="N196" i="25"/>
  <c r="N199" i="25" s="1"/>
  <c r="N157" i="25" s="1"/>
  <c r="N220" i="25"/>
  <c r="Q220" i="24"/>
  <c r="Q196" i="24"/>
  <c r="Q199" i="24" s="1"/>
  <c r="Q157" i="24" s="1"/>
  <c r="P196" i="24"/>
  <c r="P199" i="24" s="1"/>
  <c r="P157" i="24" s="1"/>
  <c r="R196" i="24"/>
  <c r="R199" i="24" s="1"/>
  <c r="R157" i="24" s="1"/>
  <c r="R220" i="24"/>
  <c r="I220" i="24"/>
  <c r="I196" i="24"/>
  <c r="P221" i="24"/>
  <c r="P158" i="24" s="1"/>
  <c r="K196" i="24"/>
  <c r="K199" i="24" s="1"/>
  <c r="K157" i="24" s="1"/>
  <c r="K220" i="24"/>
  <c r="M220" i="24"/>
  <c r="M196" i="24"/>
  <c r="M199" i="24" s="1"/>
  <c r="M157" i="24" s="1"/>
  <c r="J196" i="24"/>
  <c r="J199" i="24" s="1"/>
  <c r="J157" i="24" s="1"/>
  <c r="J220" i="24"/>
  <c r="N196" i="24"/>
  <c r="N199" i="24" s="1"/>
  <c r="N157" i="24" s="1"/>
  <c r="L196" i="24"/>
  <c r="L199" i="24" s="1"/>
  <c r="L157" i="24" s="1"/>
  <c r="L220" i="24"/>
  <c r="K191" i="23"/>
  <c r="K194" i="23" s="1"/>
  <c r="K215" i="23"/>
  <c r="N191" i="23"/>
  <c r="N194" i="23" s="1"/>
  <c r="N215" i="23"/>
  <c r="O191" i="23"/>
  <c r="O194" i="23" s="1"/>
  <c r="M215" i="23"/>
  <c r="M191" i="23"/>
  <c r="M194" i="23" s="1"/>
  <c r="P215" i="23"/>
  <c r="P191" i="23"/>
  <c r="P194" i="23" s="1"/>
  <c r="L9" i="32" s="1"/>
  <c r="Q191" i="23"/>
  <c r="Q194" i="23" s="1"/>
  <c r="M9" i="32" s="1"/>
  <c r="L215" i="23"/>
  <c r="L191" i="23"/>
  <c r="L191" i="12"/>
  <c r="L194" i="12" s="1"/>
  <c r="L152" i="12" s="1"/>
  <c r="Q215" i="12"/>
  <c r="R215" i="12"/>
  <c r="J215" i="12"/>
  <c r="O215" i="12"/>
  <c r="K4" i="32" s="1"/>
  <c r="K191" i="12"/>
  <c r="J216" i="12"/>
  <c r="J153" i="12" s="1"/>
  <c r="I216" i="12"/>
  <c r="I153" i="12" s="1"/>
  <c r="G9" i="32" l="1"/>
  <c r="G3" i="32"/>
  <c r="I213" i="12"/>
  <c r="G13" i="27" s="1"/>
  <c r="I24" i="30"/>
  <c r="R24" i="30" s="1"/>
  <c r="K9" i="32"/>
  <c r="K11" i="32"/>
  <c r="F51" i="32" a="1"/>
  <c r="D51" i="32"/>
  <c r="G2" i="32" s="1"/>
  <c r="G10" i="32"/>
  <c r="G5" i="32"/>
  <c r="G11" i="32"/>
  <c r="G8" i="32"/>
  <c r="G6" i="32"/>
  <c r="G7" i="32"/>
  <c r="G4" i="32"/>
  <c r="F38" i="32" a="1"/>
  <c r="F6" i="32" s="1"/>
  <c r="I194" i="23"/>
  <c r="I152" i="23" s="1"/>
  <c r="E51" i="32" a="1"/>
  <c r="K194" i="12"/>
  <c r="G38" i="32" s="1" a="1"/>
  <c r="E38" i="32" a="1"/>
  <c r="D38" i="32"/>
  <c r="C2" i="32" s="1"/>
  <c r="C3" i="32"/>
  <c r="C4" i="32"/>
  <c r="C18" i="32" s="1"/>
  <c r="C5" i="32"/>
  <c r="C19" i="32" s="1"/>
  <c r="C6" i="32"/>
  <c r="C20" i="32" s="1"/>
  <c r="C7" i="32"/>
  <c r="C8" i="32"/>
  <c r="C9" i="32"/>
  <c r="C10" i="32"/>
  <c r="C24" i="32" s="1"/>
  <c r="C11" i="32"/>
  <c r="C25" i="32" s="1"/>
  <c r="J11" i="27"/>
  <c r="L22" i="30"/>
  <c r="J152" i="23"/>
  <c r="J19" i="27"/>
  <c r="M19" i="27" s="1"/>
  <c r="G11" i="27"/>
  <c r="I22" i="30"/>
  <c r="J152" i="12"/>
  <c r="J13" i="27"/>
  <c r="I158" i="23"/>
  <c r="I192" i="23"/>
  <c r="L194" i="23"/>
  <c r="I163" i="25"/>
  <c r="I197" i="25"/>
  <c r="I199" i="25"/>
  <c r="I157" i="25" s="1"/>
  <c r="I163" i="24"/>
  <c r="I199" i="24"/>
  <c r="I157" i="24" s="1"/>
  <c r="I197" i="24"/>
  <c r="I192" i="12"/>
  <c r="I158" i="12"/>
  <c r="H6" i="32" l="1"/>
  <c r="H3" i="32"/>
  <c r="J10" i="32"/>
  <c r="J3" i="32"/>
  <c r="O24" i="30"/>
  <c r="C23" i="32"/>
  <c r="C22" i="32"/>
  <c r="C21" i="32"/>
  <c r="C17" i="32"/>
  <c r="B3" i="32"/>
  <c r="B4" i="32"/>
  <c r="B5" i="32"/>
  <c r="B6" i="32"/>
  <c r="B8" i="32"/>
  <c r="B10" i="32"/>
  <c r="B11" i="32"/>
  <c r="B7" i="32"/>
  <c r="B9" i="32"/>
  <c r="G51" i="32" a="1"/>
  <c r="I3" i="32" s="1"/>
  <c r="F3" i="32"/>
  <c r="F5" i="32"/>
  <c r="F7" i="32"/>
  <c r="J5" i="32"/>
  <c r="F51" i="32"/>
  <c r="J2" i="32" s="1"/>
  <c r="J4" i="32"/>
  <c r="J8" i="32"/>
  <c r="J7" i="32"/>
  <c r="J11" i="32"/>
  <c r="J6" i="32"/>
  <c r="E20" i="32" s="1"/>
  <c r="J9" i="32"/>
  <c r="G12" i="32"/>
  <c r="H27" i="32" s="1"/>
  <c r="I27" i="32" s="1"/>
  <c r="J27" i="32" s="1"/>
  <c r="K27" i="32" s="1"/>
  <c r="L27" i="32" s="1"/>
  <c r="M27" i="32" s="1"/>
  <c r="N27" i="32" s="1"/>
  <c r="O27" i="32" s="1"/>
  <c r="P27" i="32" s="1"/>
  <c r="Q27" i="32" s="1"/>
  <c r="F10" i="32"/>
  <c r="E24" i="32" s="1"/>
  <c r="F8" i="32"/>
  <c r="F4" i="32"/>
  <c r="F9" i="32"/>
  <c r="F38" i="32"/>
  <c r="F2" i="32" s="1"/>
  <c r="F11" i="32"/>
  <c r="E25" i="32" s="1"/>
  <c r="C12" i="32"/>
  <c r="C16" i="32"/>
  <c r="E51" i="32"/>
  <c r="H2" i="32" s="1"/>
  <c r="H10" i="32"/>
  <c r="H9" i="32"/>
  <c r="H11" i="32"/>
  <c r="H4" i="32"/>
  <c r="H8" i="32"/>
  <c r="H5" i="32"/>
  <c r="H7" i="32"/>
  <c r="G38" i="32"/>
  <c r="E3" i="32"/>
  <c r="E4" i="32"/>
  <c r="E5" i="32"/>
  <c r="E6" i="32"/>
  <c r="E7" i="32"/>
  <c r="E8" i="32"/>
  <c r="E9" i="32"/>
  <c r="E10" i="32"/>
  <c r="F24" i="32" s="1"/>
  <c r="E11" i="32"/>
  <c r="F25" i="32" s="1"/>
  <c r="K152" i="12"/>
  <c r="E38" i="32"/>
  <c r="D2" i="32" s="1"/>
  <c r="D3" i="32"/>
  <c r="D4" i="32"/>
  <c r="D5" i="32"/>
  <c r="D6" i="32"/>
  <c r="D7" i="32"/>
  <c r="D8" i="32"/>
  <c r="D9" i="32"/>
  <c r="D10" i="32"/>
  <c r="D24" i="32" s="1"/>
  <c r="D11" i="32"/>
  <c r="D25" i="32" s="1"/>
  <c r="I200" i="25"/>
  <c r="I202" i="25" s="1"/>
  <c r="I200" i="24"/>
  <c r="I202" i="24" s="1"/>
  <c r="I195" i="23"/>
  <c r="L23" i="30" s="1"/>
  <c r="J18" i="27"/>
  <c r="I195" i="12"/>
  <c r="I23" i="30" s="1"/>
  <c r="G18" i="27"/>
  <c r="D17" i="32" l="1"/>
  <c r="E17" i="32"/>
  <c r="F17" i="32"/>
  <c r="E21" i="32"/>
  <c r="E22" i="32"/>
  <c r="E23" i="32"/>
  <c r="D23" i="32"/>
  <c r="D22" i="32"/>
  <c r="D21" i="32"/>
  <c r="D20" i="32"/>
  <c r="E19" i="32"/>
  <c r="D19" i="32"/>
  <c r="F12" i="32"/>
  <c r="E2" i="32"/>
  <c r="B2" i="32"/>
  <c r="I9" i="32"/>
  <c r="F23" i="32" s="1"/>
  <c r="I10" i="32"/>
  <c r="E18" i="32"/>
  <c r="I8" i="32"/>
  <c r="F22" i="32" s="1"/>
  <c r="I7" i="32"/>
  <c r="F21" i="32" s="1"/>
  <c r="I6" i="32"/>
  <c r="F20" i="32" s="1"/>
  <c r="I5" i="32"/>
  <c r="F19" i="32" s="1"/>
  <c r="I4" i="32"/>
  <c r="F18" i="32" s="1"/>
  <c r="G51" i="32"/>
  <c r="I2" i="32" s="1"/>
  <c r="I11" i="32"/>
  <c r="J12" i="32"/>
  <c r="E16" i="32"/>
  <c r="M18" i="27"/>
  <c r="H12" i="32"/>
  <c r="D18" i="32"/>
  <c r="D12" i="32"/>
  <c r="D16" i="32"/>
  <c r="I161" i="25"/>
  <c r="I161" i="24"/>
  <c r="I197" i="23"/>
  <c r="L25" i="30" s="1"/>
  <c r="I156" i="23"/>
  <c r="I197" i="12"/>
  <c r="I155" i="12" s="1"/>
  <c r="I156" i="12"/>
  <c r="I162" i="25"/>
  <c r="I160" i="25"/>
  <c r="I232" i="25"/>
  <c r="I233" i="25" s="1"/>
  <c r="I155" i="25" s="1"/>
  <c r="I162" i="24"/>
  <c r="I160" i="24"/>
  <c r="I232" i="24"/>
  <c r="I233" i="24" s="1"/>
  <c r="I155" i="24" s="1"/>
  <c r="E33" i="32" l="1"/>
  <c r="E34" i="32"/>
  <c r="E35" i="32"/>
  <c r="D33" i="32"/>
  <c r="D35" i="32"/>
  <c r="C33" i="32"/>
  <c r="C34" i="32"/>
  <c r="C35" i="32"/>
  <c r="D34" i="32"/>
  <c r="D32" i="32"/>
  <c r="E32" i="32"/>
  <c r="C32" i="32"/>
  <c r="E31" i="32"/>
  <c r="D31" i="32"/>
  <c r="C31" i="32"/>
  <c r="I28" i="30"/>
  <c r="D159" i="30"/>
  <c r="E12" i="32"/>
  <c r="F16" i="32"/>
  <c r="D156" i="30"/>
  <c r="I29" i="30"/>
  <c r="O28" i="30"/>
  <c r="R28" i="30"/>
  <c r="L28" i="30"/>
  <c r="R29" i="30"/>
  <c r="O29" i="30"/>
  <c r="L29" i="30"/>
  <c r="I12" i="32"/>
  <c r="I157" i="12"/>
  <c r="J12" i="27"/>
  <c r="J14" i="27" s="1"/>
  <c r="I155" i="23"/>
  <c r="I157" i="23"/>
  <c r="I227" i="23"/>
  <c r="I228" i="23" s="1"/>
  <c r="I150" i="23" s="1"/>
  <c r="G12" i="27"/>
  <c r="I227" i="12"/>
  <c r="I228" i="12" s="1"/>
  <c r="L162" i="12"/>
  <c r="L151" i="12" s="1"/>
  <c r="H31" i="32" l="1"/>
  <c r="H28" i="32" s="1"/>
  <c r="I28" i="32" s="1"/>
  <c r="R23" i="30"/>
  <c r="D162" i="30" s="1"/>
  <c r="O23" i="30"/>
  <c r="G14" i="27"/>
  <c r="M14" i="27" s="1"/>
  <c r="M12" i="27"/>
  <c r="I25" i="30"/>
  <c r="M162" i="12"/>
  <c r="M151" i="12" s="1"/>
  <c r="K162" i="12"/>
  <c r="K151" i="12" s="1"/>
  <c r="I162" i="12"/>
  <c r="R25" i="30" l="1"/>
  <c r="J28" i="32"/>
  <c r="K28" i="32" s="1"/>
  <c r="L28" i="32" s="1"/>
  <c r="M28" i="32" s="1"/>
  <c r="N28" i="32" s="1"/>
  <c r="O28" i="32" s="1"/>
  <c r="P28" i="32" s="1"/>
  <c r="Q28" i="32" s="1"/>
  <c r="I151" i="12"/>
  <c r="L150" i="12"/>
  <c r="J150" i="12"/>
  <c r="M150" i="12"/>
  <c r="K150" i="12"/>
  <c r="I15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daniberg</author>
    <author>Holmén, Andreas</author>
    <author>Ylva Svedenmark</author>
  </authors>
  <commentList>
    <comment ref="P24" authorId="0" shapeId="0" xr:uid="{5936FE37-F4E4-44AA-83DB-808D7707CCEF}">
      <text>
        <r>
          <rPr>
            <sz val="8"/>
            <color rgb="FF000000"/>
            <rFont val="Corbel"/>
            <family val="2"/>
          </rPr>
          <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t>
        </r>
        <r>
          <rPr>
            <sz val="9"/>
            <color rgb="FF000000"/>
            <rFont val="Corbel"/>
            <family val="2"/>
          </rPr>
          <t>.</t>
        </r>
      </text>
    </comment>
    <comment ref="P25" authorId="0" shapeId="0" xr:uid="{4F745519-5EF2-4A4A-9E78-4FC312F85E07}">
      <text>
        <r>
          <rPr>
            <sz val="8"/>
            <color indexed="81"/>
            <rFont val="Corbel"/>
            <family val="2"/>
          </rPr>
          <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t>
        </r>
      </text>
    </comment>
    <comment ref="P26" authorId="1" shapeId="0" xr:uid="{359A1659-3327-4B4C-A2C1-978781FB0D4D}">
      <text>
        <r>
          <rPr>
            <sz val="8"/>
            <color indexed="81"/>
            <rFont val="Tahoma"/>
            <family val="2"/>
          </rPr>
          <t xml:space="preserve">Organisationens avtalade elpris (kr/kWh) anges. Elpriset är uppbyggt av flera komponenter. Säkerställ att prisuppgiften innehåller samma komponenter i alla jämförelser.  </t>
        </r>
      </text>
    </comment>
    <comment ref="P27" authorId="2" shapeId="0" xr:uid="{58213114-C60D-4BFB-918E-9FA1D2594456}">
      <text>
        <r>
          <rPr>
            <sz val="8"/>
            <color rgb="FF000000"/>
            <rFont val="Corbel"/>
            <family val="2"/>
          </rPr>
          <t>Faktor för beräkning av energiprisförändring utöver (rensad från) inflation. Inflationen ska räknas bort pga real kalkylränta.</t>
        </r>
      </text>
    </comment>
    <comment ref="P28" authorId="2" shapeId="0" xr:uid="{7B805172-1787-4D78-A2FF-8E3331AA9C57}">
      <text>
        <r>
          <rPr>
            <sz val="8"/>
            <color rgb="FF000000"/>
            <rFont val="Corbel"/>
            <family val="2"/>
          </rPr>
          <t xml:space="preserve">För att kunna beräkna klimatpåverkan från el- eller bränsleanvändningen anges här energileverantörens uppgifter om klimatpåverkan från sin elmix (koldioxidutsläpp per kilowattimme)  eller sitt bränsle. Du kan också använda riktvärden från flik 5. </t>
        </r>
      </text>
    </comment>
    <comment ref="P29" authorId="0" shapeId="0" xr:uid="{CAB92F45-29EF-4D39-A119-81B92C1B27F7}">
      <text>
        <r>
          <rPr>
            <sz val="8"/>
            <color indexed="81"/>
            <rFont val="Corbel"/>
            <family val="2"/>
          </rPr>
          <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daniberg</author>
    <author>Holmén, Andreas</author>
    <author>Ylva Svedenmark</author>
    <author>Emil Gustavsson</author>
  </authors>
  <commentList>
    <comment ref="C9" authorId="0" shapeId="0" xr:uid="{A09B4D1F-B4D7-45C8-96D7-DB70A50BCADB}">
      <text>
        <r>
          <rPr>
            <sz val="8"/>
            <color indexed="81"/>
            <rFont val="Corbel"/>
            <family val="2"/>
          </rPr>
          <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t>
        </r>
        <r>
          <rPr>
            <sz val="9"/>
            <color indexed="81"/>
            <rFont val="Corbel"/>
            <family val="2"/>
          </rPr>
          <t>.</t>
        </r>
      </text>
    </comment>
    <comment ref="C10" authorId="0" shapeId="0" xr:uid="{59C9375D-552B-46D2-B373-6B72AFBF054C}">
      <text>
        <r>
          <rPr>
            <sz val="8"/>
            <color indexed="81"/>
            <rFont val="Corbel"/>
            <family val="2"/>
          </rPr>
          <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t>
        </r>
      </text>
    </comment>
    <comment ref="C11" authorId="1" shapeId="0" xr:uid="{999A9DA3-9F9B-4924-9B3D-76767BC178AE}">
      <text>
        <r>
          <rPr>
            <sz val="8"/>
            <color indexed="81"/>
            <rFont val="Tahoma"/>
            <family val="2"/>
          </rPr>
          <t xml:space="preserve">Organisationens avtalade elpris (kr/kWh) anges. Elpriset är uppbyggt av flera komponenter. Säkerställ att prisuppgiften innehåller samma komponenter i alla jämförelser.  </t>
        </r>
      </text>
    </comment>
    <comment ref="C12" authorId="2" shapeId="0" xr:uid="{79370082-0261-4626-B3C3-F6FF1986A88C}">
      <text>
        <r>
          <rPr>
            <sz val="8"/>
            <color rgb="FF000000"/>
            <rFont val="Corbel"/>
            <family val="2"/>
          </rPr>
          <t>Faktor för beräkning av energiprisförändring utöver (rensad från) inflation. Inflationen ska räknas bort pga real kalkylränta.</t>
        </r>
      </text>
    </comment>
    <comment ref="C13" authorId="2" shapeId="0" xr:uid="{97638171-3E16-4DCC-B065-A734C1EA2135}">
      <text>
        <r>
          <rPr>
            <sz val="8"/>
            <color indexed="81"/>
            <rFont val="Corbel"/>
            <family val="2"/>
          </rPr>
          <t xml:space="preserve">För att kunna beräkna klimatpåverkan från el- eller bränsleanvändningen anges här energileverantörens uppgifter om klimatpåverkan från sin elmix (koldioxidutsläpp per kilowattimme)  eller sitt bränsle. Du kan också använda riktvärden från flik 5. </t>
        </r>
      </text>
    </comment>
    <comment ref="C14" authorId="0" shapeId="0" xr:uid="{BB16CDD7-76F0-42FA-8752-C680F3F93943}">
      <text>
        <r>
          <rPr>
            <sz val="8"/>
            <color indexed="81"/>
            <rFont val="Corbel"/>
            <family val="2"/>
          </rPr>
          <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t>
        </r>
      </text>
    </comment>
    <comment ref="G19" authorId="1" shapeId="0" xr:uid="{0913DD48-7DE9-408B-9CB3-9288CCB97747}">
      <text>
        <r>
          <rPr>
            <sz val="8"/>
            <color indexed="81"/>
            <rFont val="Tahoma"/>
            <family val="2"/>
          </rPr>
          <t>Beskrivning av anläggningen med rumstyper och storlek på dessa måste göras i förfrågningsunderlaget. Ange rumstyp i första hand enligt benämningar i flik 4. Om flera typer och storlekar finns på t.ex. kontorsrum, benämns dessa cellkontor 1, cellkontor 2 osv.</t>
        </r>
      </text>
    </comment>
    <comment ref="G23" authorId="1" shapeId="0" xr:uid="{88D5E3E4-EA65-42C3-ADB7-A11FFE77AAD5}">
      <text>
        <r>
          <rPr>
            <sz val="9"/>
            <color indexed="81"/>
            <rFont val="Tahoma"/>
            <family val="2"/>
          </rPr>
          <t>Fyll i antal rum per rumstyp, dvs rum med samma funktion och storlek</t>
        </r>
      </text>
    </comment>
    <comment ref="G24" authorId="1" shapeId="0" xr:uid="{CC9DEF62-5D31-4F89-BC23-E6CC9483DB61}">
      <text>
        <r>
          <rPr>
            <sz val="9"/>
            <color rgb="FF000000"/>
            <rFont val="Tahoma"/>
            <family val="2"/>
          </rPr>
          <t>Rummets yta matas in för att kunna beräkna rumstypens årliga energianvändning per kvadratmeter (LENI-talet). Utifrån detta kan sedan hela anläggningens årliga energianvändning enkelt beräknas, om detta efterfrågas i upphandlingen.</t>
        </r>
      </text>
    </comment>
    <comment ref="I26" authorId="3" shapeId="0" xr:uid="{83E2BEC1-05A0-4DF0-BF92-B2EFAA92C6B4}">
      <text>
        <r>
          <rPr>
            <b/>
            <sz val="9"/>
            <color rgb="FF000000"/>
            <rFont val="Tahoma"/>
            <family val="2"/>
          </rPr>
          <t>Emil Gustavsson:</t>
        </r>
        <r>
          <rPr>
            <sz val="9"/>
            <color rgb="FF000000"/>
            <rFont val="Tahoma"/>
            <family val="2"/>
          </rPr>
          <t xml:space="preserve">
</t>
        </r>
        <r>
          <rPr>
            <sz val="9"/>
            <color rgb="FF000000"/>
            <rFont val="Tahoma"/>
            <family val="2"/>
          </rPr>
          <t xml:space="preserve">Här fylls någon typ av betäckning i. t.ex L1, L2, </t>
        </r>
      </text>
    </comment>
    <comment ref="G27" authorId="1" shapeId="0" xr:uid="{D3D2BFA5-2C7C-418B-BE10-D1E430C62DD8}">
      <text>
        <r>
          <rPr>
            <sz val="9"/>
            <color indexed="81"/>
            <rFont val="Tahoma"/>
            <family val="2"/>
          </rPr>
          <t xml:space="preserve">Här ifylles antal armaturer som ingår i den föreslagna lösningen per rumstyp. Om fler typer av armaturer förekommer så ifylles dessa som armaturtyp 1, armaturtyp 2 osv. </t>
        </r>
      </text>
    </comment>
    <comment ref="G28" authorId="1" shapeId="0" xr:uid="{A38FD1D4-9A66-45D8-A017-F914DF169821}">
      <text>
        <r>
          <rPr>
            <sz val="9"/>
            <color indexed="81"/>
            <rFont val="Tahoma"/>
            <family val="2"/>
          </rPr>
          <t>Här ska totala priset för armatur, ljuskälla, driftdon samt inbyggd styrutrustning anges (pris per styck). Om en armatur har fler än en ljuskälla ska dessa läggas ihop.</t>
        </r>
      </text>
    </comment>
    <comment ref="G29" authorId="1" shapeId="0" xr:uid="{2F33494C-AA99-4985-ACC4-501981FF3E9C}">
      <text>
        <r>
          <rPr>
            <sz val="9"/>
            <color indexed="81"/>
            <rFont val="Tahoma"/>
            <family val="2"/>
          </rPr>
          <t xml:space="preserve">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t>
        </r>
      </text>
    </comment>
    <comment ref="G30" authorId="1" shapeId="0" xr:uid="{25E21991-53D1-47E1-91C1-CCDCDC4FD8E2}">
      <text>
        <r>
          <rPr>
            <sz val="9"/>
            <color indexed="81"/>
            <rFont val="Tahoma"/>
            <family val="2"/>
          </rPr>
          <t>Effekt per armatur (W), driftsförluster inkluderade, fylls i här.</t>
        </r>
      </text>
    </comment>
    <comment ref="G31" authorId="1" shapeId="0" xr:uid="{64AF259B-14B6-422E-B469-53D5E1BBEC5C}">
      <text>
        <r>
          <rPr>
            <sz val="9"/>
            <color indexed="81"/>
            <rFont val="Tahoma"/>
            <family val="2"/>
          </rPr>
          <t xml:space="preserve">Välj typ av styrning (ingen, manuell, närvaro/frånvarostyrning, dagsljusstyrning och olika kombinationer av dessa.
</t>
        </r>
      </text>
    </comment>
    <comment ref="G32" authorId="1" shapeId="0" xr:uid="{0E899A2A-F647-4022-8124-92D336F8DA80}">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3" authorId="1" shapeId="0" xr:uid="{7B6B48C3-0C59-480F-8011-955E99FB3658}">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4" authorId="1" shapeId="0" xr:uid="{6C9B5F5E-14F5-41CA-96B5-46CADDB0AC9C}">
      <text>
        <r>
          <rPr>
            <sz val="9"/>
            <color rgb="FF000000"/>
            <rFont val="Tahoma"/>
            <family val="2"/>
          </rPr>
          <t xml:space="preserve">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
</t>
        </r>
      </text>
    </comment>
    <comment ref="G35" authorId="1" shapeId="0" xr:uid="{FFECBFCE-835C-491A-A699-B92E3405BFFB}">
      <text>
        <r>
          <rPr>
            <sz val="9"/>
            <color indexed="81"/>
            <rFont val="Tahoma"/>
            <family val="2"/>
          </rPr>
          <t xml:space="preserve">Här visas den totala reduktionsfaktorn, dvs multiplicering av värdena från rad 2.6-2.8, som kommer användas vidare i beräkningarna
</t>
        </r>
      </text>
    </comment>
    <comment ref="G36" authorId="1" shapeId="0" xr:uid="{4E0E7574-0D5B-4539-98A8-2A20A7706535}">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47" authorId="1" shapeId="0" xr:uid="{D2776475-0B92-4D3F-BF42-3F18FD5922CF}">
      <text>
        <r>
          <rPr>
            <sz val="9"/>
            <color indexed="81"/>
            <rFont val="Tahoma"/>
            <family val="2"/>
          </rPr>
          <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daniberg</author>
    <author>Holmén, Andreas</author>
    <author>Ylva Svedenmark</author>
  </authors>
  <commentList>
    <comment ref="C9" authorId="0" shapeId="0" xr:uid="{1554F816-485D-4A92-B139-18CFE1AA34D2}">
      <text>
        <r>
          <rPr>
            <sz val="8"/>
            <color indexed="81"/>
            <rFont val="Corbel"/>
            <family val="2"/>
          </rPr>
          <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t>
        </r>
        <r>
          <rPr>
            <sz val="9"/>
            <color indexed="81"/>
            <rFont val="Corbel"/>
            <family val="2"/>
          </rPr>
          <t>.</t>
        </r>
      </text>
    </comment>
    <comment ref="C10" authorId="0" shapeId="0" xr:uid="{A46423DA-0170-46DE-83BB-91AA2BA4E732}">
      <text>
        <r>
          <rPr>
            <sz val="8"/>
            <color indexed="81"/>
            <rFont val="Corbel"/>
            <family val="2"/>
          </rPr>
          <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t>
        </r>
      </text>
    </comment>
    <comment ref="C11" authorId="1" shapeId="0" xr:uid="{03C112E7-68D0-4576-ADDA-EBAFDBB03A98}">
      <text>
        <r>
          <rPr>
            <sz val="8"/>
            <color indexed="81"/>
            <rFont val="Tahoma"/>
            <family val="2"/>
          </rPr>
          <t xml:space="preserve">Organisationens avtalade elpris (kr/kWh) anges. Elpriset är uppbyggt av flera komponenter. Säkerställ att prisuppgiften innehåller samma komponenter i alla jämförelser.  </t>
        </r>
      </text>
    </comment>
    <comment ref="C12" authorId="2" shapeId="0" xr:uid="{E4BCB421-2511-43C5-BDEC-E85C396E0E59}">
      <text>
        <r>
          <rPr>
            <sz val="8"/>
            <color rgb="FF000000"/>
            <rFont val="Corbel"/>
            <family val="2"/>
          </rPr>
          <t>Faktor för beräkning av energiprisförändring utöver (rensad från) inflation. Inflationen ska räknas bort pga real kalkylränta.</t>
        </r>
      </text>
    </comment>
    <comment ref="C13" authorId="2" shapeId="0" xr:uid="{4627D67B-6DE9-4F43-82AD-6596B894BBD7}">
      <text>
        <r>
          <rPr>
            <sz val="8"/>
            <color indexed="81"/>
            <rFont val="Corbel"/>
            <family val="2"/>
          </rPr>
          <t xml:space="preserve">För att kunna beräkna klimatpåverkan från el- eller bränsleanvändningen anges här energileverantörens uppgifter om klimatpåverkan från sin elmix (koldioxidutsläpp per kilowattimme)  eller sitt bränsle. Du kan också använda riktvärden från flik 5. </t>
        </r>
      </text>
    </comment>
    <comment ref="C14" authorId="0" shapeId="0" xr:uid="{07B03BA2-5344-4723-9DF4-3F50AEB098BE}">
      <text>
        <r>
          <rPr>
            <sz val="8"/>
            <color indexed="81"/>
            <rFont val="Corbel"/>
            <family val="2"/>
          </rPr>
          <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t>
        </r>
      </text>
    </comment>
    <comment ref="G19" authorId="1" shapeId="0" xr:uid="{1C38F90C-89B4-4833-9B11-5E3B880A43AA}">
      <text>
        <r>
          <rPr>
            <sz val="8"/>
            <color indexed="81"/>
            <rFont val="Tahoma"/>
            <family val="2"/>
          </rPr>
          <t>Beskrivning av anläggningen med rumstyper och storlek på dessa måste göras i förfrågningsunderlaget. Ange rumstyp i första hand enligt benämningar i flik 4. Om flera typer och storlekar finns på t.ex. kontorsrum, benämns dessa cellkontor 1, cellkontor 2 osv.</t>
        </r>
      </text>
    </comment>
    <comment ref="G23" authorId="1" shapeId="0" xr:uid="{675F3FA4-C7A4-4B9F-8292-9312922F04C9}">
      <text>
        <r>
          <rPr>
            <sz val="9"/>
            <color indexed="81"/>
            <rFont val="Tahoma"/>
            <family val="2"/>
          </rPr>
          <t>Fyll i antal rum per rumstyp, dvs rum med samma funktion och storlek</t>
        </r>
      </text>
    </comment>
    <comment ref="G24" authorId="1" shapeId="0" xr:uid="{994B7CE0-6E8D-40FB-87EC-EC03025FD429}">
      <text>
        <r>
          <rPr>
            <sz val="9"/>
            <color indexed="81"/>
            <rFont val="Tahoma"/>
            <family val="2"/>
          </rPr>
          <t>Rummets yta matas in för att kunna beräkna rumstypens årliga energianvändning per kvadratmeter (LENI-talet). Utifrån detta kan sedan hela anläggningens årliga energianvändning enkelt beräknas, om detta efterfrågas i upphandlingen.</t>
        </r>
      </text>
    </comment>
    <comment ref="G27" authorId="1" shapeId="0" xr:uid="{F439EFCE-4229-431B-96F4-2D2B4C864A31}">
      <text>
        <r>
          <rPr>
            <sz val="9"/>
            <color indexed="81"/>
            <rFont val="Tahoma"/>
            <family val="2"/>
          </rPr>
          <t xml:space="preserve">Här ifylles antal armaturer som ingår i den föreslagna lösningen per rumstyp. Om fler typer av armaturer förekommer så ifylles dessa som armaturtyp 1, armaturtyp 2 osv. </t>
        </r>
      </text>
    </comment>
    <comment ref="G28" authorId="1" shapeId="0" xr:uid="{9BBF1C84-23F0-4722-A5F3-737D0F119EA9}">
      <text>
        <r>
          <rPr>
            <sz val="9"/>
            <color indexed="81"/>
            <rFont val="Tahoma"/>
            <family val="2"/>
          </rPr>
          <t>Här ska totala priset för armatur, ljuskälla, driftdon samt inbyggd styrutrustning anges (pris per styck). Om en armatur har fler än en ljuskälla ska dessa läggas ihop.</t>
        </r>
      </text>
    </comment>
    <comment ref="G29" authorId="1" shapeId="0" xr:uid="{D72DD957-8412-44F6-9DEF-EF4AAB25C6ED}">
      <text>
        <r>
          <rPr>
            <sz val="9"/>
            <color indexed="81"/>
            <rFont val="Tahoma"/>
            <family val="2"/>
          </rPr>
          <t xml:space="preserve">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t>
        </r>
      </text>
    </comment>
    <comment ref="G30" authorId="1" shapeId="0" xr:uid="{E9D8741E-0B04-4B65-96A2-3FDC00F5343D}">
      <text>
        <r>
          <rPr>
            <sz val="9"/>
            <color indexed="81"/>
            <rFont val="Tahoma"/>
            <family val="2"/>
          </rPr>
          <t>Effekt per armatur (W), driftsförluster inkluderade, fylls i här.</t>
        </r>
      </text>
    </comment>
    <comment ref="G31" authorId="1" shapeId="0" xr:uid="{BB2D2E12-E6E5-44A5-AED7-92CE5F857871}">
      <text>
        <r>
          <rPr>
            <sz val="9"/>
            <color indexed="81"/>
            <rFont val="Tahoma"/>
            <family val="2"/>
          </rPr>
          <t xml:space="preserve">Välj typ av styrning (ingen, manuell, närvaro/frånvarostyrning, dagsljusstyrning och olika kombinationer av dessa.
</t>
        </r>
      </text>
    </comment>
    <comment ref="G32" authorId="1" shapeId="0" xr:uid="{5C49C812-728C-4564-B285-7615A81D474A}">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3" authorId="1" shapeId="0" xr:uid="{068E8946-3135-4C17-B15C-5F46255A6C5E}">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4" authorId="1" shapeId="0" xr:uid="{AA099FB4-123E-456D-8088-4418DDB799EB}">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35" authorId="1" shapeId="0" xr:uid="{66264E2F-7DE4-4655-967B-2548DC8824FB}">
      <text>
        <r>
          <rPr>
            <sz val="9"/>
            <color indexed="81"/>
            <rFont val="Tahoma"/>
            <family val="2"/>
          </rPr>
          <t xml:space="preserve">Här visas den totala reduktionsfaktorn, dvs multiplicering av värdena från rad 2.6-2.8, som kommer användas vidare i beräkningarna
</t>
        </r>
      </text>
    </comment>
    <comment ref="G36" authorId="1" shapeId="0" xr:uid="{9FEC7B2F-F3F2-4D09-8120-A4F8C75AC46A}">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47" authorId="1" shapeId="0" xr:uid="{F574C442-2DE2-4B60-AA8C-94869769948A}">
      <text>
        <r>
          <rPr>
            <sz val="9"/>
            <color indexed="81"/>
            <rFont val="Tahoma"/>
            <family val="2"/>
          </rPr>
          <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daniberg</author>
    <author>Holmén, Andreas</author>
    <author>Ylva Svedenmark</author>
  </authors>
  <commentList>
    <comment ref="C15" authorId="0" shapeId="0" xr:uid="{4C5B3B7A-FCC3-471E-90FB-33E9650E7C32}">
      <text>
        <r>
          <rPr>
            <sz val="8"/>
            <color indexed="81"/>
            <rFont val="Corbel"/>
            <family val="2"/>
          </rPr>
          <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t>
        </r>
        <r>
          <rPr>
            <sz val="9"/>
            <color indexed="81"/>
            <rFont val="Corbel"/>
            <family val="2"/>
          </rPr>
          <t>.</t>
        </r>
      </text>
    </comment>
    <comment ref="C16" authorId="0" shapeId="0" xr:uid="{556F4789-CE57-4AC4-AB29-6C03505E3415}">
      <text>
        <r>
          <rPr>
            <sz val="8"/>
            <color indexed="81"/>
            <rFont val="Corbel"/>
            <family val="2"/>
          </rPr>
          <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t>
        </r>
      </text>
    </comment>
    <comment ref="C17" authorId="1" shapeId="0" xr:uid="{6A671C58-672F-44B2-9C7F-298020211902}">
      <text>
        <r>
          <rPr>
            <sz val="8"/>
            <color indexed="81"/>
            <rFont val="Tahoma"/>
            <family val="2"/>
          </rPr>
          <t xml:space="preserve">Organisationens avtalade elpris (kr/kWh) anges. Elpriset är uppbyggt av flera komponenter. Säkerställ att prisuppgiften innehåller samma komponenter i alla jämförelser.  </t>
        </r>
      </text>
    </comment>
    <comment ref="C18" authorId="2" shapeId="0" xr:uid="{FD909B48-2F2A-4417-B37F-BD2255560FE0}">
      <text>
        <r>
          <rPr>
            <sz val="8"/>
            <color indexed="81"/>
            <rFont val="Corbel"/>
            <family val="2"/>
          </rPr>
          <t>Faktor för beräkning av energiprisförändring utöver (rensad från) inflation. Inflationen ska räknas bort pga real kalkylränta.</t>
        </r>
      </text>
    </comment>
    <comment ref="C19" authorId="2" shapeId="0" xr:uid="{373267A5-428B-4664-8895-A4CA06CFED24}">
      <text>
        <r>
          <rPr>
            <sz val="8"/>
            <color indexed="81"/>
            <rFont val="Corbel"/>
            <family val="2"/>
          </rPr>
          <t xml:space="preserve">För att kunna beräkna klimatpåverkan från el- eller bränsleanvändningen anges här energileverantörens uppgifter om klimatpåverkan från sin elmix (koldioxidutsläpp per kilowattimme)  eller sitt bränsle. Du kan också använda riktvärden från flik 5. </t>
        </r>
      </text>
    </comment>
    <comment ref="C20" authorId="0" shapeId="0" xr:uid="{24F9EF9D-4397-4DB4-BA70-9BA5BC8483E6}">
      <text>
        <r>
          <rPr>
            <sz val="8"/>
            <color indexed="81"/>
            <rFont val="Corbel"/>
            <family val="2"/>
          </rPr>
          <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t>
        </r>
      </text>
    </comment>
    <comment ref="G25" authorId="1" shapeId="0" xr:uid="{51A69BDC-868D-4D4A-87DB-EB2FA46EAA79}">
      <text>
        <r>
          <rPr>
            <sz val="8"/>
            <color indexed="81"/>
            <rFont val="Tahoma"/>
            <family val="2"/>
          </rPr>
          <t>Beskrivning av anläggningen med rumstyper och storlek på dessa måste göras i förfrågningsunderlaget. Ange rumstyp i första hand enligt benämningar i flik 4. Om flera typer och storlekar finns på t.ex. kontorsrum, benämns dessa cellkontor 1, cellkontor 2 osv.</t>
        </r>
      </text>
    </comment>
    <comment ref="G28" authorId="1" shapeId="0" xr:uid="{B2998C6D-B7BF-46E6-AF32-F658C4E8F559}">
      <text>
        <r>
          <rPr>
            <sz val="9"/>
            <color indexed="81"/>
            <rFont val="Tahoma"/>
            <family val="2"/>
          </rPr>
          <t>Fyll i antal rum per rumstyp, dvs rum med samma funktion och storlek</t>
        </r>
      </text>
    </comment>
    <comment ref="G29" authorId="1" shapeId="0" xr:uid="{0AEE7462-A645-45FF-B486-2673845A5561}">
      <text>
        <r>
          <rPr>
            <sz val="9"/>
            <color indexed="81"/>
            <rFont val="Tahoma"/>
            <family val="2"/>
          </rPr>
          <t>Rummets yta matas in för att kunna beräkna rumstypens årliga energianvändning per kvadratmeter (LENI-talet). Utifrån detta kan sedan hela anläggningens årliga energianvändning enkelt beräknas, om detta efterfrågas i upphandlingen.</t>
        </r>
      </text>
    </comment>
    <comment ref="G32" authorId="1" shapeId="0" xr:uid="{70F81E9E-A9DA-47BE-8B8B-B8BAFCFD1E20}">
      <text>
        <r>
          <rPr>
            <sz val="9"/>
            <color indexed="81"/>
            <rFont val="Tahoma"/>
            <family val="2"/>
          </rPr>
          <t xml:space="preserve">Här ifylles antal armaturer som ingår i den föreslagna lösningen per rumstyp. Om fler typer av armaturer förekommer så ifylles dessa som armaturtyp 1, armaturtyp 2 osv. </t>
        </r>
      </text>
    </comment>
    <comment ref="G33" authorId="1" shapeId="0" xr:uid="{BF25B6DF-E821-4E6D-9F63-4462E25620E4}">
      <text>
        <r>
          <rPr>
            <sz val="9"/>
            <color indexed="81"/>
            <rFont val="Tahoma"/>
            <family val="2"/>
          </rPr>
          <t>Här ska totala priset för armatur, ljuskälla, driftdon samt inbyggd styrutrustning anges (pris per styck). Om en armatur har fler än en ljuskälla ska dessa läggas ihop.</t>
        </r>
      </text>
    </comment>
    <comment ref="G34" authorId="1" shapeId="0" xr:uid="{9B9F7F47-F15D-4F33-A95A-54010D04B696}">
      <text>
        <r>
          <rPr>
            <sz val="9"/>
            <color indexed="81"/>
            <rFont val="Tahoma"/>
            <family val="2"/>
          </rPr>
          <t xml:space="preserve">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t>
        </r>
      </text>
    </comment>
    <comment ref="G35" authorId="1" shapeId="0" xr:uid="{9D7B491A-0D25-472D-AAD2-5C86A0C8AABA}">
      <text>
        <r>
          <rPr>
            <sz val="9"/>
            <color indexed="81"/>
            <rFont val="Tahoma"/>
            <family val="2"/>
          </rPr>
          <t>Effekt per armatur (W), driftsförluster inkluderade, fylls i här.</t>
        </r>
      </text>
    </comment>
    <comment ref="G36" authorId="1" shapeId="0" xr:uid="{712438FA-7377-4526-BB58-3513DC164DAC}">
      <text>
        <r>
          <rPr>
            <sz val="9"/>
            <color indexed="81"/>
            <rFont val="Tahoma"/>
            <family val="2"/>
          </rPr>
          <t xml:space="preserve">Välj typ av styrning (ingen, manuell, närvaro/frånvarostyrning, dagsljusstyrning och olika kombinationer av dessa.
</t>
        </r>
      </text>
    </comment>
    <comment ref="G37" authorId="1" shapeId="0" xr:uid="{C9EEDE0C-B5D5-4A92-B4DC-3213D104E852}">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8" authorId="1" shapeId="0" xr:uid="{17362533-E2F6-4599-A97D-52DF1FFC5FED}">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9" authorId="1" shapeId="0" xr:uid="{2E1A0240-EB79-4BBC-A46D-6E25BDA79F89}">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40" authorId="1" shapeId="0" xr:uid="{5E58A3FF-B309-46D4-A8E0-0D71AB930081}">
      <text>
        <r>
          <rPr>
            <sz val="9"/>
            <color indexed="81"/>
            <rFont val="Tahoma"/>
            <family val="2"/>
          </rPr>
          <t xml:space="preserve">Här visas den totala reduktionsfaktorn, dvs multiplicering av värdena från rad 2.6-2.8, som kommer användas vidare i beräkningarna
</t>
        </r>
      </text>
    </comment>
    <comment ref="G41" authorId="1" shapeId="0" xr:uid="{E5E26C85-2525-4558-B0C4-07A548F690D5}">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52" authorId="1" shapeId="0" xr:uid="{28FDAE7E-8114-40EC-A17D-533746C37492}">
      <text>
        <r>
          <rPr>
            <sz val="9"/>
            <color indexed="81"/>
            <rFont val="Tahoma"/>
            <family val="2"/>
          </rPr>
          <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daniberg</author>
    <author>Holmén, Andreas</author>
    <author>Ylva Svedenmark</author>
  </authors>
  <commentList>
    <comment ref="C15" authorId="0" shapeId="0" xr:uid="{E660032D-2488-482B-A330-8ED9FB78E207}">
      <text>
        <r>
          <rPr>
            <sz val="8"/>
            <color indexed="81"/>
            <rFont val="Corbel"/>
            <family val="2"/>
          </rPr>
          <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t>
        </r>
        <r>
          <rPr>
            <sz val="9"/>
            <color indexed="81"/>
            <rFont val="Corbel"/>
            <family val="2"/>
          </rPr>
          <t>.</t>
        </r>
      </text>
    </comment>
    <comment ref="C16" authorId="0" shapeId="0" xr:uid="{753A96B7-3523-4399-AA36-480A3A55F4E5}">
      <text>
        <r>
          <rPr>
            <sz val="8"/>
            <color indexed="81"/>
            <rFont val="Corbel"/>
            <family val="2"/>
          </rPr>
          <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t>
        </r>
      </text>
    </comment>
    <comment ref="C17" authorId="1" shapeId="0" xr:uid="{0C891F1F-CC42-4CC2-BCDD-015CDF0B0A59}">
      <text>
        <r>
          <rPr>
            <sz val="8"/>
            <color indexed="81"/>
            <rFont val="Tahoma"/>
            <family val="2"/>
          </rPr>
          <t xml:space="preserve">Organisationens avtalade elpris (kr/kWh) anges. Elpriset är uppbyggt av flera komponenter. Säkerställ att prisuppgiften innehåller samma komponenter i alla jämförelser.  </t>
        </r>
      </text>
    </comment>
    <comment ref="C18" authorId="2" shapeId="0" xr:uid="{5BF5742F-0600-4263-920F-B2E47BA0FAD5}">
      <text>
        <r>
          <rPr>
            <sz val="8"/>
            <color indexed="81"/>
            <rFont val="Corbel"/>
            <family val="2"/>
          </rPr>
          <t>Faktor för beräkning av energiprisförändring utöver (rensad från) inflation. Inflationen ska räknas bort pga real kalkylränta.</t>
        </r>
      </text>
    </comment>
    <comment ref="C19" authorId="2" shapeId="0" xr:uid="{DE5C9E1C-D300-445B-A7DC-8381A26D7DE4}">
      <text>
        <r>
          <rPr>
            <sz val="8"/>
            <color indexed="81"/>
            <rFont val="Corbel"/>
            <family val="2"/>
          </rPr>
          <t xml:space="preserve">För att kunna beräkna klimatpåverkan från el- eller bränsleanvändningen anges här energileverantörens uppgifter om klimatpåverkan från sin elmix (koldioxidutsläpp per kilowattimme)  eller sitt bränsle. Du kan också använda riktvärden från flik 5. </t>
        </r>
      </text>
    </comment>
    <comment ref="C20" authorId="0" shapeId="0" xr:uid="{8E0E860C-2011-4B72-9385-42B994504FA7}">
      <text>
        <r>
          <rPr>
            <sz val="8"/>
            <color indexed="81"/>
            <rFont val="Corbel"/>
            <family val="2"/>
          </rPr>
          <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t>
        </r>
      </text>
    </comment>
    <comment ref="G25" authorId="1" shapeId="0" xr:uid="{141E2B42-0506-4A7A-B1A0-D2D1587CCA85}">
      <text>
        <r>
          <rPr>
            <sz val="8"/>
            <color indexed="81"/>
            <rFont val="Tahoma"/>
            <family val="2"/>
          </rPr>
          <t>Beskrivning av anläggningen med rumstyper och storlek på dessa måste göras i förfrågningsunderlaget. Ange rumstyp i första hand enligt benämningar i flik 4. Om flera typer och storlekar finns på t.ex. kontorsrum, benämns dessa cellkontor 1, cellkontor 2 osv.</t>
        </r>
      </text>
    </comment>
    <comment ref="G28" authorId="1" shapeId="0" xr:uid="{F7C109C2-0567-4BB7-A7A3-421F417BD1DC}">
      <text>
        <r>
          <rPr>
            <sz val="9"/>
            <color indexed="81"/>
            <rFont val="Tahoma"/>
            <family val="2"/>
          </rPr>
          <t>Fyll i antal rum per rumstyp, dvs rum med samma funktion och storlek</t>
        </r>
      </text>
    </comment>
    <comment ref="G29" authorId="1" shapeId="0" xr:uid="{30E7B6D7-24BE-4120-A77C-576238F781D6}">
      <text>
        <r>
          <rPr>
            <sz val="9"/>
            <color indexed="81"/>
            <rFont val="Tahoma"/>
            <family val="2"/>
          </rPr>
          <t>Rummets yta matas in för att kunna beräkna rumstypens årliga energianvändning per kvadratmeter (LENI-talet). Utifrån detta kan sedan hela anläggningens årliga energianvändning enkelt beräknas, om detta efterfrågas i upphandlingen.</t>
        </r>
      </text>
    </comment>
    <comment ref="G32" authorId="1" shapeId="0" xr:uid="{4750E23E-51C3-4C17-BB50-0233C741EAB0}">
      <text>
        <r>
          <rPr>
            <sz val="9"/>
            <color indexed="81"/>
            <rFont val="Tahoma"/>
            <family val="2"/>
          </rPr>
          <t xml:space="preserve">Här ifylles antal armaturer som ingår i den föreslagna lösningen per rumstyp. Om fler typer av armaturer förekommer så ifylles dessa som armaturtyp 1, armaturtyp 2 osv. </t>
        </r>
      </text>
    </comment>
    <comment ref="G33" authorId="1" shapeId="0" xr:uid="{D39724E1-10C7-4F68-AB63-DCC0A357358B}">
      <text>
        <r>
          <rPr>
            <sz val="9"/>
            <color indexed="81"/>
            <rFont val="Tahoma"/>
            <family val="2"/>
          </rPr>
          <t>Här ska totala priset för armatur, ljuskälla, driftdon samt inbyggd styrutrustning anges (pris per styck). Om en armatur har fler än en ljuskälla ska dessa läggas ihop.</t>
        </r>
      </text>
    </comment>
    <comment ref="G34" authorId="1" shapeId="0" xr:uid="{8D54AE51-C607-4BEE-92D4-4AEA9855A7CA}">
      <text>
        <r>
          <rPr>
            <sz val="9"/>
            <color indexed="81"/>
            <rFont val="Tahoma"/>
            <family val="2"/>
          </rPr>
          <t xml:space="preserve">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t>
        </r>
      </text>
    </comment>
    <comment ref="G35" authorId="1" shapeId="0" xr:uid="{A73E4F22-C99C-4543-8B44-88C66F997144}">
      <text>
        <r>
          <rPr>
            <sz val="9"/>
            <color indexed="81"/>
            <rFont val="Tahoma"/>
            <family val="2"/>
          </rPr>
          <t>Effekt per armatur (W), driftsförluster inkluderade, fylls i här.</t>
        </r>
      </text>
    </comment>
    <comment ref="G36" authorId="1" shapeId="0" xr:uid="{A1C479B3-A25B-44B0-BAEE-B483B4E4D156}">
      <text>
        <r>
          <rPr>
            <sz val="9"/>
            <color indexed="81"/>
            <rFont val="Tahoma"/>
            <family val="2"/>
          </rPr>
          <t xml:space="preserve">Välj typ av styrning (ingen, manuell, närvaro/frånvarostyrning, dagsljusstyrning och olika kombinationer av dessa.
</t>
        </r>
      </text>
    </comment>
    <comment ref="G37" authorId="1" shapeId="0" xr:uid="{B7FC30F9-CA3E-46B3-855F-CC20E2E4E062}">
      <text>
        <r>
          <rPr>
            <sz val="9"/>
            <color indexed="81"/>
            <rFont val="Tahoma"/>
            <family val="2"/>
          </rPr>
          <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8" authorId="1" shapeId="0" xr:uid="{A0EC750C-50C3-485C-8A92-04323352E89A}">
      <text>
        <r>
          <rPr>
            <sz val="9"/>
            <color indexed="81"/>
            <rFont val="Tahoma"/>
            <family val="2"/>
          </rPr>
          <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text>
    </comment>
    <comment ref="G39" authorId="1" shapeId="0" xr:uid="{E48044E8-421A-4FCD-A900-4E33B552770E}">
      <text>
        <r>
          <rPr>
            <sz val="9"/>
            <color indexed="81"/>
            <rFont val="Tahoma"/>
            <family val="2"/>
          </rPr>
          <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t>
        </r>
        <r>
          <rPr>
            <sz val="9"/>
            <color indexed="81"/>
            <rFont val="Tahoma"/>
            <family val="2"/>
          </rPr>
          <t xml:space="preserve">
</t>
        </r>
      </text>
    </comment>
    <comment ref="G40" authorId="1" shapeId="0" xr:uid="{69973DD9-B648-4BD3-B95A-156A10A950BE}">
      <text>
        <r>
          <rPr>
            <sz val="9"/>
            <color indexed="81"/>
            <rFont val="Tahoma"/>
            <family val="2"/>
          </rPr>
          <t xml:space="preserve">Här visas den totala reduktionsfaktorn, dvs multiplicering av värdena från rad 2.6-2.8, som kommer användas vidare i beräkningarna
</t>
        </r>
      </text>
    </comment>
    <comment ref="G41" authorId="1" shapeId="0" xr:uid="{2856FFF3-3A7B-4379-A566-F0189CEE4A35}">
      <text>
        <r>
          <rPr>
            <sz val="9"/>
            <color indexed="81"/>
            <rFont val="Tahoma"/>
            <family val="2"/>
          </rPr>
          <t xml:space="preserve">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t>
        </r>
      </text>
    </comment>
    <comment ref="G152" authorId="1" shapeId="0" xr:uid="{910E6ACA-FECB-4A92-8137-72E0331692DB}">
      <text>
        <r>
          <rPr>
            <sz val="9"/>
            <color indexed="81"/>
            <rFont val="Tahoma"/>
            <family val="2"/>
          </rPr>
          <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Ylva Svedenmark</author>
  </authors>
  <commentList>
    <comment ref="H29" authorId="0" shapeId="0" xr:uid="{973E3876-D369-4112-93BA-3FCCDB3FDEE3}">
      <text>
        <r>
          <rPr>
            <sz val="8"/>
            <color indexed="81"/>
            <rFont val="Corbel"/>
            <family val="2"/>
          </rPr>
          <t xml:space="preserve">Data för matsal, kök, personalrum hämtade från värdena för "restaurang", justerade till drifttid 2000h/år. </t>
        </r>
      </text>
    </comment>
    <comment ref="H51" authorId="0" shapeId="0" xr:uid="{8E69CE66-842D-49AB-A89D-99C764685366}">
      <text>
        <r>
          <rPr>
            <sz val="8"/>
            <color indexed="81"/>
            <rFont val="Corbel"/>
            <family val="2"/>
          </rPr>
          <t xml:space="preserve">Data för matsal, kök, personalrum hämtade från värdena för "restaurang", justerade till drifttid 2000h/år.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tc={46249B53-61B7-4801-94B8-3B6CB09B7CE8}</author>
  </authors>
  <commentList>
    <comment ref="AA42" authorId="0" shapeId="0" xr:uid="{46249B53-61B7-4801-94B8-3B6CB09B7CE8}">
      <text>
        <t xml:space="preserve">[Trådad kommentar]
I din version av Excel kan du läsa den här trådade kommentaren, men eventuella ändringar i den tas bort om filen öppnas i en senare version av Excel. Läs mer: https://go.microsoft.com/fwlink/?linkid=870924
Kommentar:
    Tabellerna har källan ändrats, då formateringen ovan förstördes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<sst xmlns="http://schemas.openxmlformats.org/spreadsheetml/2006/main" count="4982" uniqueCount="1708">
  <si>
    <t>(PW: LCC)</t>
  </si>
  <si>
    <t>LCC-kalkyl för upphandling av inomhusbelysning</t>
  </si>
  <si>
    <t>Version 3.0</t>
  </si>
  <si>
    <t>Datum: 2024-12-17</t>
  </si>
  <si>
    <t>Introduktion</t>
  </si>
  <si>
    <t>Generella instruktioner kring hur verktyget används.</t>
  </si>
  <si>
    <t>Versionsinformation</t>
  </si>
  <si>
    <t xml:space="preserve">Upphandlingsmyndighetens LCC-verktyg har utvecklats i omgångar sedan 2009. </t>
  </si>
  <si>
    <r>
      <rPr>
        <b/>
        <sz val="10"/>
        <rFont val="Corbel"/>
        <family val="2"/>
      </rPr>
      <t xml:space="preserve">Ändringar i senaste versionen (v 3.1) av LCC-verktyg Inomhusbelysning: </t>
    </r>
    <r>
      <rPr>
        <sz val="10"/>
        <rFont val="Corbel"/>
        <family val="2"/>
      </rPr>
      <t xml:space="preserve">
Flik 1 har uppdaterats med denna versionsinformation och information om nytt lösenordsskydd, texter är genomgångna och uppdaterade. 
Flik 2 (4 alt) är nu utan makrofunktion att lägga till/ta bort rumstyper och armaturtyper.</t>
    </r>
    <r>
      <rPr>
        <i/>
        <sz val="10"/>
        <rFont val="Corbel"/>
        <family val="2"/>
      </rPr>
      <t xml:space="preserve"> Ny funktion med förinställda byggnadstyper och rumstyper som hämtar reduktionsfaktorer från flik 4. Observera att funktionalitet förloras om värdet skrivs över. (Kursiverat är ändrat sedan v 3.0)</t>
    </r>
    <r>
      <rPr>
        <sz val="10"/>
        <rFont val="Corbel"/>
        <family val="2"/>
      </rPr>
      <t xml:space="preserve">
Flik 3 är texter genomgångna och uppdaterade. 
Flik 4 har uppdaterats med riktlinjer för installerad effekt och jämförelsetal energianvändning (LENI-tal) enligt Ljus &amp; Rum utgåva 4 (2022).
Flik 5 har uppdaterats med aktuella beräkningsfaktorer klimat samt källor.</t>
    </r>
  </si>
  <si>
    <r>
      <rPr>
        <b/>
        <sz val="14"/>
        <rFont val="Corbel"/>
        <family val="2"/>
      </rPr>
      <t>Vad är LCC?</t>
    </r>
    <r>
      <rPr>
        <sz val="14"/>
        <rFont val="Corbel"/>
        <family val="2"/>
      </rPr>
      <t xml:space="preserve">
</t>
    </r>
  </si>
  <si>
    <t xml:space="preserve">LCC står för "Life Cycle Costs" - livscykelkostnader. Med hjälp av en LCC-beräkning erhålls en totalbild över varans, tjänstens eller anläggningens kostnader under hela dess nyttjandetid. Jämförelser mellan olika produktalternativ och lösningar kan göras.  Livscykelkostnadsperspektivet kan med fördel användas i flera delar av inköpsprocessen och även i det strategiska arbetet med organisationens budget. </t>
  </si>
  <si>
    <t>Läs mer om LCC på Upphandlingsmyndighetens webbplats</t>
  </si>
  <si>
    <t>Hur ska jag använda detta LCC-verktyg?</t>
  </si>
  <si>
    <t xml:space="preserve">Detta LCC-verktyg är specifikt utvecklat att användas vid upphandling av inomhusbelysning. Verktyget kan med fördel användas både i behovsanalysen, vid kravställande och i anbudsutvärderingen. I behovsanalysen kan verktyget användas för att i ett tidigt skede få en översikt över vilka typer av kostnader som förekommer under nyttjandetiden och hur stora dessa kostnader är. För en belysningsanläggning utgör exempelvis driftskostnaden för energi en stor kostnadspost. Detta kan till exempel testas med olika scenarier för energiprisökning, eller med olika styrfunktioner. Att använda verktyget på det sättet ökar medvetenheten i organisationen och kan vara ett bra underlag till viktiga vägval inför upphandlingen. Använd gärna kalkylparametrarna som en checklista, exempelvis inför leverantörsdialogen. 
När LCC-beräkning ställs som krav i upphandlingen måste förfrågningsunderlaget beskriva de parametrar som ska ingå i beräkningen, hur dessa ska dokumenteras och vilka mätmetoder som ska användas. Använd gärna kriteriet "belysningsanläggningens livscykelkostnad (LCC)" som kan laddas hem genom Upphandlingsmyndighetens kriterietjänst. En tumregel är att vid kravställande endast ta med de stora kostnadsposterna eller de kostnader som förväntas skilja sig åt mellan olika leverantörer. 
</t>
  </si>
  <si>
    <r>
      <rPr>
        <b/>
        <sz val="18"/>
        <rFont val="Corbel"/>
        <family val="2"/>
      </rPr>
      <t>Lösenordsskydd</t>
    </r>
    <r>
      <rPr>
        <sz val="10"/>
        <rFont val="Corbel"/>
        <family val="2"/>
      </rPr>
      <t xml:space="preserve">
Varje flik i Excelfilen är skyddad med ett lösenord, för att förhindra oavsiktliga förändringar i LCC-kalkylen. 
- För att låsa upp välj Granska &gt; Ta bort bladets skydd.                                 </t>
    </r>
  </si>
  <si>
    <t xml:space="preserve">Vid anbudsutvärdering vägs livscykelkostnaden in som en parameter för bedömning av det ekonomiskt mest fördelaktiga anbudet. Kvalitativa krav på belysningsanläggningen, såsom ljuskvalitet, ingår inte i kalkylen utan måste kravställas i förfrågningsunderlaget.
I detta LCC-verktyg finns även möjlighet till jämförelse av alternativens klimatpåverkan från energianvändningen under nyttjandetiden. </t>
  </si>
  <si>
    <t xml:space="preserve"> - Lösenordet är LCC. </t>
  </si>
  <si>
    <t xml:space="preserve">Hur är LCC-verktyget uppbyggt?
</t>
  </si>
  <si>
    <r>
      <t xml:space="preserve">Verktyget består av 7  flikar:
1. Introduktion: generella instruktioner kring hur verktyget används. 
2. LCC-kalkyl A1-4: Fyra stycken kalkylblad där LCC-beräkningen utförs med standardiserade parametrar. Ett blad används per anläggning. 
3. Kalkylparametrar: Samlade instruktioner kring vad kalkylparametrarna innebär och vad som ska ingå.
4. Reduktionsfaktorer styrning: reduktionsfaktorer för belysningsstyrning, hämtade från Belysningsbranschens handbok "Ljus &amp; Rum".
5. Beräkningsfaktorer klimatpåverkan: frivilliga indata för att kunna beräkna klimatpåverkan från elenergi.
6. Resultat: visuell översikt över LCC-beräkningens resultat.
7. Svarsformulär: svarsformulär som leverantören bifogar anbudet. 
</t>
    </r>
    <r>
      <rPr>
        <b/>
        <sz val="10"/>
        <rFont val="Corbel"/>
        <family val="2"/>
      </rPr>
      <t xml:space="preserve">
Beskrivning av anläggningen med rumstyper och storlek på dessa måste göras i förfrågningsunderlaget. </t>
    </r>
    <r>
      <rPr>
        <sz val="10"/>
        <rFont val="Corbel"/>
        <family val="2"/>
      </rPr>
      <t xml:space="preserve">
</t>
    </r>
    <r>
      <rPr>
        <b/>
        <sz val="10"/>
        <rFont val="Corbel"/>
        <family val="2"/>
      </rPr>
      <t>Beställaren</t>
    </r>
    <r>
      <rPr>
        <sz val="10"/>
        <rFont val="Corbel"/>
        <family val="2"/>
      </rPr>
      <t xml:space="preserve"> (upphandlande myndighet) anger kalkylförutsättningar och information kring användning; detta utgör grunden för beräkningen. Läs mer om kalkylförutsättningar och ekonomiska parametrar på länken under rubriken </t>
    </r>
    <r>
      <rPr>
        <i/>
        <sz val="10"/>
        <rFont val="Corbel"/>
        <family val="2"/>
      </rPr>
      <t>Vad är LCC</t>
    </r>
    <r>
      <rPr>
        <sz val="10"/>
        <rFont val="Corbel"/>
        <family val="2"/>
      </rPr>
      <t xml:space="preserve"> ovan.
</t>
    </r>
    <r>
      <rPr>
        <b/>
        <sz val="10"/>
        <rFont val="Corbel"/>
        <family val="2"/>
      </rPr>
      <t>Anbudsgivaren</t>
    </r>
    <r>
      <rPr>
        <sz val="10"/>
        <rFont val="Corbel"/>
        <family val="2"/>
      </rPr>
      <t xml:space="preserve"> fyller i resterande uppgifter i kalkylbladet (indata) enligt de standarder eller instruktioner som anges. Kostnaderna anges utan moms. I kolumnerna anges de olika rumstyper som förekommer i belysningsanläggningen enligt beställarens beskrivning i förfrågningsunderlaget. Rummen summeras i slutet och LCC-resultatet för hela anläggningen visas. Ett kalkylblad per anläggning används. Alternativa investeringslösningar, om sådana finns, anges i  kalkylblad A2-A4. Anbudsgivaren fyller i svarsformuläret (ett formulär per typrum) och bifogar den till beställaren. 
</t>
    </r>
    <r>
      <rPr>
        <b/>
        <sz val="10"/>
        <rFont val="Corbel"/>
        <family val="2"/>
      </rPr>
      <t>Beställaren</t>
    </r>
    <r>
      <rPr>
        <sz val="10"/>
        <rFont val="Corbel"/>
        <family val="2"/>
      </rPr>
      <t xml:space="preserve"> kan sedan föra in varje anbudsgivares uppgifter i ett nytt kalkylblad för att kunna jämföra alla anbud i resultatfliken. Beställaren kan även använda ett av kalkylbladen A1-A4 för att fylla i information kring befintlig anläggning om sådan finns; detta för att tydliggöra förbättringarna med en ny eller renoverad anläggning. 
LCC-kalkylerna är baserade på nuvärdesmetoden för att kunna omräkna framtida kostnader till dagens värde. Omräkningsfaktorer till nuvärde är inkluderade i formlerna. Kalkylränta, elpris och användningstid är exempel på parametrar som kan variera och som måste beslutas i den upphandlande organisationen. Kostnadsbilden påverkas beroende på valet av dessa parametrar, exempelvis innebär en hög ränta att pengarnas värde sjunker under kalkylperioden och vid låg ränta behåller pengarna sitt värde. En lång användningstid gör att driftskostnadernas betydelse ökar i kalkylen. För att få en förståelse för effekten på slutresultatet vid olika scenarier, t.ex. energiprisökning, kan kalkylen testas med ett antal olika värden. 
</t>
    </r>
  </si>
  <si>
    <t>Kontakt</t>
  </si>
  <si>
    <t>Upphandlingsmyndigheten utvecklar och förvaltar LCC-verktygen som är frivilliga att använda inom såväl offentlig som privat sektor. Upphandlingsmyndigheten står för innehållet i denna version. Eventuella ändringar görs på eget ansvar. Vid frågor om verktyget kan du kontakta oss via vår frågeportal på www.upphandlingsmyndigheten.se.</t>
  </si>
  <si>
    <t>Kalkylförutsättningar</t>
  </si>
  <si>
    <t>PROJEKT:</t>
  </si>
  <si>
    <t>DATUM:</t>
  </si>
  <si>
    <t>HANDLÄGGARE:</t>
  </si>
  <si>
    <t>1.1</t>
  </si>
  <si>
    <t>Tid kalkylen omfattar</t>
  </si>
  <si>
    <t>år</t>
  </si>
  <si>
    <t>1.2</t>
  </si>
  <si>
    <t>Kalkylränta</t>
  </si>
  <si>
    <t>%</t>
  </si>
  <si>
    <t>1.3</t>
  </si>
  <si>
    <t>Elpris</t>
  </si>
  <si>
    <t>kr/kWh</t>
  </si>
  <si>
    <t>1.4</t>
  </si>
  <si>
    <t>Årlig prisförändring energi (frivillig)</t>
  </si>
  <si>
    <t>1.5</t>
  </si>
  <si>
    <t>Klimatpåverkan energianvändning (frivillig)</t>
  </si>
  <si>
    <t>kgCO2/kwh</t>
  </si>
  <si>
    <t>1.6</t>
  </si>
  <si>
    <t>Drifttid</t>
  </si>
  <si>
    <t>h/år</t>
  </si>
  <si>
    <t>LCC-kalkyl</t>
  </si>
  <si>
    <t>Befintlig Installation</t>
  </si>
  <si>
    <t>Beskrivning av anläggningen och belysningsförslag</t>
  </si>
  <si>
    <t>BESKRIVNING AV ANLÄGGNINGEN</t>
  </si>
  <si>
    <t>Byggnadstyp</t>
  </si>
  <si>
    <t>INDUSTRI</t>
  </si>
  <si>
    <t>SJUKHUS</t>
  </si>
  <si>
    <t>Byggnadstyp hjälprad</t>
  </si>
  <si>
    <t>Rumstyp (välj byggnadstyp ovan för att få lista med giltiga rumstyper)</t>
  </si>
  <si>
    <t>Fin, 750 lux</t>
  </si>
  <si>
    <t>Kulvert</t>
  </si>
  <si>
    <t>Antal rum av samma typ</t>
  </si>
  <si>
    <t>stk</t>
  </si>
  <si>
    <t>Antal kvadratmeter</t>
  </si>
  <si>
    <r>
      <t>m</t>
    </r>
    <r>
      <rPr>
        <vertAlign val="superscript"/>
        <sz val="9"/>
        <rFont val="Corbel"/>
        <family val="2"/>
      </rPr>
      <t>2</t>
    </r>
    <r>
      <rPr>
        <sz val="9"/>
        <rFont val="Corbel"/>
        <family val="2"/>
      </rPr>
      <t>/rum</t>
    </r>
  </si>
  <si>
    <t>BELYSNINGSFÖRSLAG</t>
  </si>
  <si>
    <t>2.1</t>
  </si>
  <si>
    <t>Antal armaturer</t>
  </si>
  <si>
    <t>2.2</t>
  </si>
  <si>
    <t>Armaturpris</t>
  </si>
  <si>
    <t>kr/stk</t>
  </si>
  <si>
    <t>2.3</t>
  </si>
  <si>
    <t>Material- och arbetskostnader armatur</t>
  </si>
  <si>
    <t>2.4</t>
  </si>
  <si>
    <t>Effekt per armatur, inkl. driftsförluster</t>
  </si>
  <si>
    <t>W/stk</t>
  </si>
  <si>
    <t>2.5</t>
  </si>
  <si>
    <t>Typ av styrning</t>
  </si>
  <si>
    <t>Ingen</t>
  </si>
  <si>
    <t>2.6</t>
  </si>
  <si>
    <t>Reduktionsfaktor manuell styrning</t>
  </si>
  <si>
    <t>2.7</t>
  </si>
  <si>
    <t>Reduktionsfaktor närvaro-/frånvarostyrning</t>
  </si>
  <si>
    <t>2.8</t>
  </si>
  <si>
    <t>Reduktionsfaktor dagsljusstyrning</t>
  </si>
  <si>
    <t>2.9</t>
  </si>
  <si>
    <t>Total reduktionsfaktor för styrning</t>
  </si>
  <si>
    <t>2.10</t>
  </si>
  <si>
    <t>Underhållskostnader</t>
  </si>
  <si>
    <t>kr/år</t>
  </si>
  <si>
    <t>Manuell + Närvaro/frånvaro</t>
  </si>
  <si>
    <t>STYRUTRUSTNING (anges för rumstyp)</t>
  </si>
  <si>
    <t>3.1</t>
  </si>
  <si>
    <t>Kostnad extern styrutrustning</t>
  </si>
  <si>
    <t>Resultat</t>
  </si>
  <si>
    <t>Rangordning av alternativ</t>
  </si>
  <si>
    <t>4.1</t>
  </si>
  <si>
    <t>Totalkostnad per rum</t>
  </si>
  <si>
    <t>kr</t>
  </si>
  <si>
    <t>4.2</t>
  </si>
  <si>
    <t>LENI-tal per rumstyp</t>
  </si>
  <si>
    <r>
      <t>kWh/m</t>
    </r>
    <r>
      <rPr>
        <vertAlign val="superscript"/>
        <sz val="9"/>
        <rFont val="Corbel"/>
        <family val="2"/>
      </rPr>
      <t>2</t>
    </r>
    <r>
      <rPr>
        <sz val="9"/>
        <rFont val="Corbel"/>
        <family val="2"/>
      </rPr>
      <t>/år</t>
    </r>
  </si>
  <si>
    <t>RESULTAT FÖR HELA ANLÄGGNINGEN</t>
  </si>
  <si>
    <t>4.3</t>
  </si>
  <si>
    <t>TOTAL KOSTNAD</t>
  </si>
  <si>
    <t>4.4</t>
  </si>
  <si>
    <t>Energikostnad per år</t>
  </si>
  <si>
    <t>4.5</t>
  </si>
  <si>
    <t>Energikostnader under hela livslängden</t>
  </si>
  <si>
    <t>4.6</t>
  </si>
  <si>
    <t>Klimatpåverkan</t>
  </si>
  <si>
    <t>kgCO2e/år</t>
  </si>
  <si>
    <t>INVESTERINGSKOSTNADER</t>
  </si>
  <si>
    <t>Investeringskostnader</t>
  </si>
  <si>
    <t>Armatur 1</t>
  </si>
  <si>
    <t>Armatur 2</t>
  </si>
  <si>
    <t>Armatur 3</t>
  </si>
  <si>
    <t>Armatur 4</t>
  </si>
  <si>
    <t>Armatur 5</t>
  </si>
  <si>
    <t>Armatur 6</t>
  </si>
  <si>
    <t>Armatur 7</t>
  </si>
  <si>
    <t>Armatur 8</t>
  </si>
  <si>
    <t>Armatur 9</t>
  </si>
  <si>
    <t>Armatur 10</t>
  </si>
  <si>
    <t>Summa investeringskostnader per rumstyp</t>
  </si>
  <si>
    <t>S:A INVESTERINGSKOSTNADER HELA ANLÄGGNINGEN</t>
  </si>
  <si>
    <t>ENERGI- &amp; UNDERHÅLLSKOSTNADER</t>
  </si>
  <si>
    <t>ENERGIKOSTNADER</t>
  </si>
  <si>
    <t>Energianvändning</t>
  </si>
  <si>
    <t>kWh</t>
  </si>
  <si>
    <t>Summa energianvändning per rumstyp</t>
  </si>
  <si>
    <t>kWh/år</t>
  </si>
  <si>
    <t>Summa energianvändning hela anläggningen</t>
  </si>
  <si>
    <t>Årlig energikostnad per rumstyp</t>
  </si>
  <si>
    <t>Årlig energikostnad hela anläggningen</t>
  </si>
  <si>
    <t>Omräkningsfaktor till nuvärde</t>
  </si>
  <si>
    <t>UNDERHÅLLSKOSTNADER</t>
  </si>
  <si>
    <t>Underhållskostnad armaturtyp 1</t>
  </si>
  <si>
    <t>Underhållskostnad armaturtyp 2</t>
  </si>
  <si>
    <t>Underhållskostnad armaturtyp 3</t>
  </si>
  <si>
    <t>Underhållskostnad armaturtyp 4</t>
  </si>
  <si>
    <t>Underhållskostnad armaturtyp 5</t>
  </si>
  <si>
    <t>Underhållskostnad armaturtyp 6</t>
  </si>
  <si>
    <t>Underhållskostnad armaturtyp 7</t>
  </si>
  <si>
    <t>Underhållskostnad armaturtyp 8</t>
  </si>
  <si>
    <t>Underhållskostnad armaturtyp 9</t>
  </si>
  <si>
    <t>Underhållskostnad armaturtyp 10</t>
  </si>
  <si>
    <t>Summa underhållskostnader per rumstyp</t>
  </si>
  <si>
    <t>Underhållskostnader hela anläggningen</t>
  </si>
  <si>
    <t>Underhållskostnader under hela livslängden</t>
  </si>
  <si>
    <t>Klimatpåverkan för varje rumstyp</t>
  </si>
  <si>
    <r>
      <t>kWh/m</t>
    </r>
    <r>
      <rPr>
        <vertAlign val="superscript"/>
        <sz val="9"/>
        <color theme="1"/>
        <rFont val="Arial"/>
        <family val="2"/>
      </rPr>
      <t>2</t>
    </r>
    <r>
      <rPr>
        <sz val="9"/>
        <color theme="1"/>
        <rFont val="Arial"/>
        <family val="2"/>
      </rPr>
      <t>, år</t>
    </r>
  </si>
  <si>
    <t>LENI-tal armaturtyp 1</t>
  </si>
  <si>
    <t>LENI-tal armaturtyp 2</t>
  </si>
  <si>
    <t>LENI-tal armaturtyp 3</t>
  </si>
  <si>
    <t>LENI-tal armaturtyp 4</t>
  </si>
  <si>
    <t>LENI-tal armaturtyp 5</t>
  </si>
  <si>
    <t>LENI-tal armaturtyp 6</t>
  </si>
  <si>
    <t>LENI-tal armaturtyp 7</t>
  </si>
  <si>
    <t>LENI-tal armaturtyp 8</t>
  </si>
  <si>
    <t>LENI-tal armaturtyp 9</t>
  </si>
  <si>
    <t>LENI-tal armaturtyp 10</t>
  </si>
  <si>
    <t xml:space="preserve">S:A ENERGI- &amp; UNDERHÅLLSKOSTNADER </t>
  </si>
  <si>
    <t>TOTAL KOSTNAD HELA ANLÄGGNINGEN</t>
  </si>
  <si>
    <t>Manuell</t>
  </si>
  <si>
    <t>Manuell + Närvaro/frånvaro + Dagsljus</t>
  </si>
  <si>
    <t>Aura Light</t>
  </si>
  <si>
    <t>Lås rader</t>
  </si>
  <si>
    <t>Totalkostnad per rumstyp</t>
  </si>
  <si>
    <t>LCC-kalkyl Anläggning alternativ 3</t>
  </si>
  <si>
    <r>
      <t xml:space="preserve">Kalkylförutsättningar </t>
    </r>
    <r>
      <rPr>
        <b/>
        <sz val="12"/>
        <rFont val="Corbel"/>
        <family val="2"/>
      </rPr>
      <t>(anges av beställaren)</t>
    </r>
  </si>
  <si>
    <t>Projektnamn</t>
  </si>
  <si>
    <t>ÅÅÅÅ-MM-DD</t>
  </si>
  <si>
    <t>Namn</t>
  </si>
  <si>
    <t>BESKRIVNING AV ANLÄGGNINGEN (anges av beställaren)</t>
  </si>
  <si>
    <t>Byggnadstyp 1</t>
  </si>
  <si>
    <t>Byggnadstyp 2</t>
  </si>
  <si>
    <t>Byggnadstyp 3</t>
  </si>
  <si>
    <t>Byggnadstyp 4</t>
  </si>
  <si>
    <t>Byggnadstyp 5</t>
  </si>
  <si>
    <t>Byggnadstyp 6</t>
  </si>
  <si>
    <t>Byggnadstyp 7</t>
  </si>
  <si>
    <t>Byggnadstyp 8</t>
  </si>
  <si>
    <t>Byggnadstyp 9</t>
  </si>
  <si>
    <t>Byggnadstyp 10</t>
  </si>
  <si>
    <t>Rumstyp 1</t>
  </si>
  <si>
    <t>Rumstyp 2</t>
  </si>
  <si>
    <t>Rumstyp 3</t>
  </si>
  <si>
    <t>Rumstyp 4</t>
  </si>
  <si>
    <t>Rumstyp 5</t>
  </si>
  <si>
    <t>Rumstyp 6</t>
  </si>
  <si>
    <t>Rumstyp 7</t>
  </si>
  <si>
    <t>Rumstyp 8</t>
  </si>
  <si>
    <t>Rumstyp 9</t>
  </si>
  <si>
    <t>Rumstyp 10</t>
  </si>
  <si>
    <t>BELYSNINGSFÖRSLAG (anges av anbudsgivaren)</t>
  </si>
  <si>
    <t>ARMATURTYP 1</t>
  </si>
  <si>
    <t>ARMATURTYP 2</t>
  </si>
  <si>
    <t>ARMATURTYP 3</t>
  </si>
  <si>
    <t>ARMATURTYP 4</t>
  </si>
  <si>
    <t>ARMATURTYP 5</t>
  </si>
  <si>
    <t>ARMATURTYP 6</t>
  </si>
  <si>
    <t>ARMATURTYP 7</t>
  </si>
  <si>
    <t>ARMATURTYP 8</t>
  </si>
  <si>
    <t>ARMATURTYP 9</t>
  </si>
  <si>
    <t>ARMATURTYP 10</t>
  </si>
  <si>
    <t>LCC-kalkyl Anläggning alternativ 4</t>
  </si>
  <si>
    <t>Kalkylparametrar</t>
  </si>
  <si>
    <t xml:space="preserve">Samlade instruktioner kring kalkylparametrarna. </t>
  </si>
  <si>
    <t>KALKYLFÖRUTSÄTTNINGAR (anges av beställaren)</t>
  </si>
  <si>
    <t xml:space="preserve">Not </t>
  </si>
  <si>
    <t>Parameter</t>
  </si>
  <si>
    <t>Instruktion</t>
  </si>
  <si>
    <t>Kalkylen bör utgå från den armatur med bäst teknisk livslängd. 20 år kan ses som ett referensvärde men det kan också vara längre.</t>
  </si>
  <si>
    <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t>
  </si>
  <si>
    <t xml:space="preserve">Organisationens avtalade elpris (kr/kWh) anges. Elpriset är uppbyggt av flera komponenter. Säkerställ att prisuppgiften innehåller samma komponenter i alla jämförelser.  </t>
  </si>
  <si>
    <t>Årlig energiprisförändring</t>
  </si>
  <si>
    <t>Faktor för beräkning av energiprisförändring utöver (rensad från) inflation. Inflationen ska räknas bort pga real kalkylränta.</t>
  </si>
  <si>
    <t>Klimatpåverkan elanvändning</t>
  </si>
  <si>
    <t xml:space="preserve">För att kunna beräkna klimatpåverkan från elanvändningen anges här elleverantörens uppgifter om klimatpåverkan från sin elmix (koldioxidutsläpp per kilowattimme). Du kan också använda riktvärden från flik 5. </t>
  </si>
  <si>
    <t xml:space="preserve">Här ska drifttid (timmar per år) för belysningen anges. Tiden ska i första hand vara baserad på befintlig driftdata. I andra hand kan man utgå från driftdata (schablonvärden) enligt standard SS-EN 15193: kontor 2500h/år, skolor 2000h/år, sporthallar 4000h/år, kök 2500h/år, sjukhus 5000h/år. Dessa värden finns även nämnda i Ljus &amp; Rum, utgåva 4 (2022), kapitel 6 Energiberäkning. </t>
  </si>
  <si>
    <t>Beskrivning av anläggningen (anges av beställaren)</t>
  </si>
  <si>
    <t>Rumstyper</t>
  </si>
  <si>
    <t>Beskrivning av anläggningen med rumstyper och storlek på dessa måste göras i förfrågningsunderlaget. Ange rumstyp i första hand enligt benämningar i belysningsbranschens planeringsguide Ljus &amp; Rum, utgåva 4 (2022)  kap 6, eller som det benämns i förfrågningsunderlaget. Om flera typer och storlekar finns på t.ex. kontorsrum, benämns dessa cellkontor 1, cellkontor 2 osv.</t>
  </si>
  <si>
    <t>Fyll i antal rum per rumstyp, dvs rum med samma funktion och storlek.</t>
  </si>
  <si>
    <t>Rummets yta matas in för att kunna beräkna rumstypens LENI-tal. Utifrån detta kan sedan byggnadens LENI-tal enkelt beräknas om detta efterfrågas i upphandlingen.</t>
  </si>
  <si>
    <t>INDATA från anbudsgivaren</t>
  </si>
  <si>
    <t xml:space="preserve">Antal armaturer </t>
  </si>
  <si>
    <t>Här ifylles antal armaturer som ingår i den föreslagna lösningen per rumstyp. Om fler typer av armaturer förekommer så ifylles dessa som armaturtyp 1, armaturtyp 2 osv. Fler rader kan läggas till vid behov genom att använda knapparna.</t>
  </si>
  <si>
    <t xml:space="preserve">Här ska totala priset för armatur, ljuskälla, driftdon samt inbyggd styrutrustning anges (pris per styck). Om en armatur har fler än en ljuskälla ska dessa läggas ihop.  
</t>
  </si>
  <si>
    <t>Här ingår material- och arbetskostnader för installationen, exklusive extern styrutrustning. Även kostnader för driftsättning ingår här (injustering och provning). Material kan exempelvis vara kablar. Arbetskostnader kan vara personal och maskinhyra. Om entreprenaden ingår i anbudet ska kostnaden för detta anges. Om entreprenad inte ingår får kostnaderna bli en uppskattning. Beräkning ska kunna uppvisas för den upphandlande organisationen.</t>
  </si>
  <si>
    <t>Effekt per armatur inkl driftsförluster</t>
  </si>
  <si>
    <t>Effekt per armatur (W), driftsförluster inkluderade, fylls i här.</t>
  </si>
  <si>
    <t>Välj typ av styrning (ingen, manuell, närvaro/frånvarostyrning, dagsljusstyrning) och olika kombinationer av dessa.</t>
  </si>
  <si>
    <t>2.6- 2.8</t>
  </si>
  <si>
    <t>Reduktionsfaktor manuell styrning, närvaro-/frånvarostyrning, dagsljusstyrning</t>
  </si>
  <si>
    <t>En energireduktionsfaktor (reducering av drifttiden) läggs in om manuell/närvaro-frånvaro/ dagsljusstyrning har valts i rad 2.5. Välj aktuell reduktionsfaktorfaktor per rumstyp i flik 4. Tabellerna är hämtade från "Ljus och Rum" del 10. Om ingen styrning finns sätts samtliga rutor till 1,00. Om data inte finns för den aktuella rumstypen kan hänsyn till driftreducering inte tas i denna kalkyl och detta värde sätts till 1,00.</t>
  </si>
  <si>
    <t xml:space="preserve">Här visas den totala reduktionsfaktorn, d.v.s multiplicering av värdena från rad 2.6-2.8, som kommer användas vidare i beräkningarna.
</t>
  </si>
  <si>
    <t xml:space="preserve">Kostnader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byten av ljuskällor ska beräknas baserat på årlig drifttid och ljuskällans livslängd enligt gällande standarder. Livslängd för LED beräknas enligt IEC 62722-2-1 "Särskilda krav för LED armaturer". Driftdon beräknas ha samma livslängd som ljuskällan. </t>
  </si>
  <si>
    <t>Styrutrustning</t>
  </si>
  <si>
    <t>Styrutrustning ingår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t>
  </si>
  <si>
    <t>RESULTAT</t>
  </si>
  <si>
    <t>Total kostnad per rumstyp</t>
  </si>
  <si>
    <t>Total kostnad för respektive rumstyp under hela dess nyttjandetid summeras här.</t>
  </si>
  <si>
    <t>Rumstypernas energianvändning per kvadratmeter och år redovisas här, det så kallade LENI-talet (Lighting Energy Numeric Indicator). Rekommenderade värden finns framtagna för kontor, skolor, vårdlokaler och sporthallar, se flik 4. Utifrån detta kan sedan hela anläggningens LENI-tal enkelt beräknas, om detta efterfrågas i upphandlingen.Se Upphandlingsmyndighetens kriterium för belysningsprojektering - "Energikrav för belysningsanläggningar - kontor, skola, vård".</t>
  </si>
  <si>
    <t xml:space="preserve">Total kostnad per anläggning </t>
  </si>
  <si>
    <t>Här summeras kostnaderna för alla typrum som ingår i belysningsanläggningen.</t>
  </si>
  <si>
    <t>Årlig energikostnad visas här för att öka medvetenheten kring anläggningens energianvändning.</t>
  </si>
  <si>
    <t>Energikostnad hela livslängden</t>
  </si>
  <si>
    <t>Anläggningens totala energikostnader under dess livslängd anges här. I vissa fall kan renovering under nyttjandetiden bidra till förbättrad energiprestanda.</t>
  </si>
  <si>
    <t>Årlig klimatpåverkan, mätt i CO2-ekvivalenter, beräknas utifrån anläggningens energianvändning.</t>
  </si>
  <si>
    <t>Reduktionsfaktorer</t>
  </si>
  <si>
    <t xml:space="preserve">Riktlinjer installerad effekt, reduktionsfaktorer för belysningsstyrning samt riktlinjer för årlig energianvändning per rumstyp
</t>
  </si>
  <si>
    <t>I tabellen anges:
1. Riktlinjer för installerad effekt per rumstyp.
2. Energireduktionsfaktorer för belysningsstyrning (reducering av drifttid)
3. Jämförelsetal energianvändning - LENI-tal per rumstyp och styrning. 
Informationen är hämtad från Belysningsbranschens handbok Ljus &amp; Rum, utgåva 4 (2022), kap 6. Riktlinjerna för installerad effekt gäller under normala förutsättningar och bör inte överstiga värdena i tabellen.</t>
  </si>
  <si>
    <t>Rumstyp</t>
  </si>
  <si>
    <r>
      <t>Riktlinjer max installerad effekt (W/m</t>
    </r>
    <r>
      <rPr>
        <b/>
        <vertAlign val="superscript"/>
        <sz val="11"/>
        <rFont val="Corbel"/>
        <family val="2"/>
      </rPr>
      <t>2</t>
    </r>
    <r>
      <rPr>
        <b/>
        <sz val="11"/>
        <rFont val="Corbel"/>
        <family val="2"/>
      </rPr>
      <t>)</t>
    </r>
  </si>
  <si>
    <t>Reduktionsfaktor Manuell styrning</t>
  </si>
  <si>
    <t>Reduktionsfaktor Frånvaro-/ närvarostyrning</t>
  </si>
  <si>
    <t>Reduktionsfaktor Dagsljusstyrning</t>
  </si>
  <si>
    <r>
      <t>Jämförelsetal energianvändning  
- LENI-tal (kWh/m</t>
    </r>
    <r>
      <rPr>
        <b/>
        <vertAlign val="superscript"/>
        <sz val="11"/>
        <rFont val="Corbel"/>
        <family val="2"/>
      </rPr>
      <t>2</t>
    </r>
    <r>
      <rPr>
        <b/>
        <sz val="11"/>
        <rFont val="Corbel"/>
        <family val="2"/>
      </rPr>
      <t>, år)</t>
    </r>
  </si>
  <si>
    <t>OBS! Nedanstående struktur behövs för att automatisk hämta reduktionsfaktorer till beräkningsblad, beroende på vald byggnads- och rumstyp. Om nya byggnads- och rumstyper läggs in i tabellen till vänster så behöver hänvisningar i  nedastående sammanställning uppdateras. Markera sedan samtliga nedanstående data och gå till Formler&gt;Definierade namn&gt;Skapa från markering, bocka ur alla förutom "översta raden" och tryck ok.
Vid tillägg av nya byggnadstyper behöver även rullistor i respektive beräkningsblad uppdateras.</t>
  </si>
  <si>
    <t xml:space="preserve">Manuell </t>
  </si>
  <si>
    <t>Frånvaro-/närvaro</t>
  </si>
  <si>
    <t>Dagsljusstyrning</t>
  </si>
  <si>
    <t>KONTOR</t>
  </si>
  <si>
    <t>Drifttid 2500h/år</t>
  </si>
  <si>
    <t>Korridor</t>
  </si>
  <si>
    <t>Pausrum större</t>
  </si>
  <si>
    <t>Pausrum mindre</t>
  </si>
  <si>
    <t>Konferensrum</t>
  </si>
  <si>
    <t>Förråd</t>
  </si>
  <si>
    <t>WC</t>
  </si>
  <si>
    <t>Trapphus (kontor)</t>
  </si>
  <si>
    <t>SKOLA OCH RESTAURANG</t>
  </si>
  <si>
    <t>Klassrum</t>
  </si>
  <si>
    <t>Drifttid 2000h/år</t>
  </si>
  <si>
    <t>Grupprum</t>
  </si>
  <si>
    <t>Aula</t>
  </si>
  <si>
    <t>Uppehållsrum</t>
  </si>
  <si>
    <t>Matsal</t>
  </si>
  <si>
    <t>Kök</t>
  </si>
  <si>
    <t>Kök/förråd</t>
  </si>
  <si>
    <t>Personalrum &lt;30 kvm</t>
  </si>
  <si>
    <t>SPORTHALL</t>
  </si>
  <si>
    <t>Sporthall</t>
  </si>
  <si>
    <t>Drifttid 4000h/år</t>
  </si>
  <si>
    <t>Omklädning</t>
  </si>
  <si>
    <t>Kommunikationsytor &lt; 3m höjd</t>
  </si>
  <si>
    <t>Kommunikationsytor &lt; 6m höjd</t>
  </si>
  <si>
    <t>Vård/patientrum, multifunktion</t>
  </si>
  <si>
    <t>Drifttid 5000h/år</t>
  </si>
  <si>
    <t>Vård/patientrum</t>
  </si>
  <si>
    <t>Undersökning 500 lux</t>
  </si>
  <si>
    <t>Operation</t>
  </si>
  <si>
    <t>Korridor, normal samt städning</t>
  </si>
  <si>
    <t>Korridor, OP-avdelning</t>
  </si>
  <si>
    <t>Väntrum</t>
  </si>
  <si>
    <t>Grov, 300 lux</t>
  </si>
  <si>
    <t>Medel, 500 lux</t>
  </si>
  <si>
    <t>Mindre lokal, 300 lux</t>
  </si>
  <si>
    <t>Måleri</t>
  </si>
  <si>
    <t>Lager packning, 300 lux</t>
  </si>
  <si>
    <t>Lager lastning, 200 lux</t>
  </si>
  <si>
    <t>Lagergång höglager</t>
  </si>
  <si>
    <t>Lagergång låglager</t>
  </si>
  <si>
    <t>Värden för beräkning av klimatpåverkan från elanvändning  [kgCO2/kWh]</t>
  </si>
  <si>
    <t>Källa</t>
  </si>
  <si>
    <t>Riktvärden för att kunna beräkna klimatpåverkan från energi . Används som frivillig indata i rad 1.6 i LCC-kalkylen.</t>
  </si>
  <si>
    <t>Nordisk elmix</t>
  </si>
  <si>
    <t>SMED Rapport Nr 4 2021</t>
  </si>
  <si>
    <t>Svensk elmix (normalår)</t>
  </si>
  <si>
    <t>Boverkets klimatdatabas</t>
  </si>
  <si>
    <t>Ursprungsmärkt el</t>
  </si>
  <si>
    <t>El av okänt ursprung (Norden)</t>
  </si>
  <si>
    <t>Residualmix - Energimarknadsinspektionen (ei.se)</t>
  </si>
  <si>
    <t xml:space="preserve">För beräkning av klimatpåverkan från energianvändning under kalkylperioden rekommenderas att värden för Nordisk elmix används då den bäst representerar de utsläpp som uppstår av energianvändningen. </t>
  </si>
  <si>
    <t>EU (25)</t>
  </si>
  <si>
    <t xml:space="preserve">EU-27 Indicative 2020 </t>
  </si>
  <si>
    <t xml:space="preserve">Värt att notera är att klimatpåverkan från energiproduktionen förväntas minska i framtiden, om vi ska nå våra klimatmål. I rekommendationer för LCA-beräkningar (IVL 2024) där användningsskedet ingår görs antagandet att klimatpåverkan för energiproduktion kommer minska med 40 % från aktuellt år till år 2050. Läs mer om detta via länk nedan. Det är inte nödvändigt att ta hänsyn till detta i en LCC-kalkyl, om syftet endast är att jämföra alternativ (framtiden är likadan för alla alternativ). Det rekommenderas dock inte att använda värdet på klimatpåverkan från denna LCC-kalkyl oreflekterat i andra sammanhang. </t>
  </si>
  <si>
    <t>Anvisningar för LCA-beräkning av byggprojekt, IVL (Version 2024-06)</t>
  </si>
  <si>
    <t>Resultat LCC-kalkyl</t>
  </si>
  <si>
    <t>Sida 1 av 1</t>
  </si>
  <si>
    <t>Projekt:</t>
  </si>
  <si>
    <t>Datum:</t>
  </si>
  <si>
    <t>Handläggare:</t>
  </si>
  <si>
    <t>Beräkning baserad på</t>
  </si>
  <si>
    <t>Resultaten är beräknade enligt nuvärdesmetoden.</t>
  </si>
  <si>
    <t>LCC-kostnader</t>
  </si>
  <si>
    <t>Energikostnader</t>
  </si>
  <si>
    <t>Totala LCC-kostnader</t>
  </si>
  <si>
    <t xml:space="preserve">Energianvändning &amp; klimatpåverkan </t>
  </si>
  <si>
    <t xml:space="preserve">Energianvändning </t>
  </si>
  <si>
    <t>[kWh/år]</t>
  </si>
  <si>
    <r>
      <t>[kgC0</t>
    </r>
    <r>
      <rPr>
        <vertAlign val="subscript"/>
        <sz val="9"/>
        <rFont val="Corbel"/>
        <family val="2"/>
      </rPr>
      <t>2</t>
    </r>
    <r>
      <rPr>
        <sz val="9"/>
        <rFont val="Corbel"/>
        <family val="2"/>
      </rPr>
      <t>-e/år]</t>
    </r>
  </si>
  <si>
    <t>års användning</t>
  </si>
  <si>
    <t>Vårt förslag</t>
  </si>
  <si>
    <t>Jämförelse %</t>
  </si>
  <si>
    <t>Besparing</t>
  </si>
  <si>
    <t xml:space="preserve">Investeringskostnader </t>
  </si>
  <si>
    <t>Energianvändning (kWh/år)</t>
  </si>
  <si>
    <t>Klimatpåverkan (kgC02-e/år)</t>
  </si>
  <si>
    <t>Ackumulerad energibesparing över tid</t>
  </si>
  <si>
    <t>Beräknad återbetalningstid på investering:</t>
  </si>
  <si>
    <t>Summering besparing/år</t>
  </si>
  <si>
    <t>Co2-fotavtryck</t>
  </si>
  <si>
    <r>
      <t>kg Co</t>
    </r>
    <r>
      <rPr>
        <vertAlign val="subscript"/>
        <sz val="20"/>
        <rFont val="KievitPro-Light"/>
        <family val="2"/>
      </rPr>
      <t>2</t>
    </r>
    <r>
      <rPr>
        <sz val="20"/>
        <rFont val="KievitPro-Light"/>
        <family val="2"/>
      </rPr>
      <t>-e</t>
    </r>
  </si>
  <si>
    <t>Energiförbrukning</t>
  </si>
  <si>
    <t>Kostnadsbesparing</t>
  </si>
  <si>
    <t>Sammanfattning:</t>
  </si>
  <si>
    <t>På Aura Light strävar vi efter att erbjuda mer än bara en belysningslösning – vi vill bidra till ett smartare, mer hållbart val. Genom vår LCC-analys hoppas vi att resultatet bekräftar att vår lösning möter både era funktionella behov och ekonomiska mål. Med fokus på användarvänlighet, driftsäkerhet och energieffektivitet skapar vi en helhetslösning som inte bara förbättrar upplevelsen för de som vistas i miljön – utan även minimerar klimatavtrycket över tid.</t>
  </si>
  <si>
    <t>Region/value</t>
  </si>
  <si>
    <t>Sweden</t>
  </si>
  <si>
    <t>Norway</t>
  </si>
  <si>
    <t>Germany</t>
  </si>
  <si>
    <t>International</t>
  </si>
  <si>
    <t>Currency</t>
  </si>
  <si>
    <t>SEK</t>
  </si>
  <si>
    <t>NOK</t>
  </si>
  <si>
    <t>EUR</t>
  </si>
  <si>
    <t>Co2-e/kWh regional average</t>
  </si>
  <si>
    <t>Lösen "asd"</t>
  </si>
  <si>
    <t>Rum</t>
  </si>
  <si>
    <t xml:space="preserve">Installationskostnader </t>
  </si>
  <si>
    <t xml:space="preserve">Energiåtgång </t>
  </si>
  <si>
    <t xml:space="preserve">Klimatpåverkan </t>
  </si>
  <si>
    <t>Installationskostnader</t>
  </si>
  <si>
    <t>Energiåtgång 2</t>
  </si>
  <si>
    <t>Energikostnader2</t>
  </si>
  <si>
    <t>#NAMN?5</t>
  </si>
  <si>
    <t>#NAMN?6</t>
  </si>
  <si>
    <t>#NAMN?7</t>
  </si>
  <si>
    <t>#NAMN?8</t>
  </si>
  <si>
    <t>Summa</t>
  </si>
  <si>
    <t>Kolumn1</t>
  </si>
  <si>
    <t>Energikonsumption</t>
  </si>
  <si>
    <t>År 1</t>
  </si>
  <si>
    <t>År 2</t>
  </si>
  <si>
    <t>År 3</t>
  </si>
  <si>
    <t>År 4</t>
  </si>
  <si>
    <t>År 5</t>
  </si>
  <si>
    <t>År 6</t>
  </si>
  <si>
    <t>År 7</t>
  </si>
  <si>
    <t>År 8</t>
  </si>
  <si>
    <t>År 9</t>
  </si>
  <si>
    <t>År 10</t>
  </si>
  <si>
    <t>Investeringskostnad</t>
  </si>
  <si>
    <t>Energibesparing</t>
  </si>
  <si>
    <t>Totalen</t>
  </si>
  <si>
    <t>Energiåtgång (kWh)</t>
  </si>
  <si>
    <t>Klimatpåverkan (kg Co2)</t>
  </si>
  <si>
    <t>Energikostnad (SEK)</t>
  </si>
  <si>
    <t>Befintlig</t>
  </si>
  <si>
    <t>Energiåtgång</t>
  </si>
  <si>
    <t>Energikostnad</t>
  </si>
  <si>
    <t xml:space="preserve">Ny </t>
  </si>
  <si>
    <t>Svarsformulär för anbudsgivare</t>
  </si>
  <si>
    <t>Sida 1 av 2</t>
  </si>
  <si>
    <t>Sida 2 av 2</t>
  </si>
  <si>
    <t>LCC-kalkyl för upphandling av inomhusbelysning.</t>
  </si>
  <si>
    <t xml:space="preserve">Bifoga/ skriv ut ett blad per rumstyp. </t>
  </si>
  <si>
    <t>namn</t>
  </si>
  <si>
    <t>forts. rumstyp 1</t>
  </si>
  <si>
    <t>kvm/rum</t>
  </si>
  <si>
    <t>Armaturtyp 1</t>
  </si>
  <si>
    <t>Armaturtyp 6</t>
  </si>
  <si>
    <t xml:space="preserve">Reduktionsfaktor manuell styrning </t>
  </si>
  <si>
    <t xml:space="preserve">Reduktionsfaktor närvaro-/frånvarostyrning </t>
  </si>
  <si>
    <t>Armaturtyp 2</t>
  </si>
  <si>
    <t>Armaturtyp 7</t>
  </si>
  <si>
    <t>Armaturtyp 3</t>
  </si>
  <si>
    <t>Armaturtyp 8</t>
  </si>
  <si>
    <t>Armaturtyp 4</t>
  </si>
  <si>
    <t>Armaturtyp 9</t>
  </si>
  <si>
    <t>Armaturtyp 5</t>
  </si>
  <si>
    <t>Armaturtyp 10</t>
  </si>
  <si>
    <t>Rumsbeteckning</t>
  </si>
  <si>
    <t>Armaturbeteckning</t>
  </si>
  <si>
    <t>Region</t>
  </si>
  <si>
    <t>SE</t>
  </si>
  <si>
    <t>Key</t>
  </si>
  <si>
    <t>Sheet</t>
  </si>
  <si>
    <t>Cell</t>
  </si>
  <si>
    <t>NO</t>
  </si>
  <si>
    <t>DE</t>
  </si>
  <si>
    <t>EN</t>
  </si>
  <si>
    <t>(PW:_LCC)</t>
  </si>
  <si>
    <t>1. Introduktion</t>
  </si>
  <si>
    <t>A1</t>
  </si>
  <si>
    <t>LCC-kalkyl_för_upphandling_av_inomhusbel</t>
  </si>
  <si>
    <t>G2</t>
  </si>
  <si>
    <t>Version_3.0</t>
  </si>
  <si>
    <t>G3</t>
  </si>
  <si>
    <t>Datum:_2024-12-17</t>
  </si>
  <si>
    <t>G4</t>
  </si>
  <si>
    <t>B9</t>
  </si>
  <si>
    <t>Generella_instruktioner_kring_hur_verkty</t>
  </si>
  <si>
    <t>B11</t>
  </si>
  <si>
    <t>B14</t>
  </si>
  <si>
    <t>Upphandlingsmyndighetens_LCC-verktyg_har</t>
  </si>
  <si>
    <t>Upphandlingsmyndighetens LCC-verktyg har utvecklats i omgångar sedan 2009.</t>
  </si>
  <si>
    <t>B16</t>
  </si>
  <si>
    <t>Ändringar_i_senaste_versionen_(v_3.1)_av</t>
  </si>
  <si>
    <t>Ändringar i senaste versionen (v 3.1) av LCC-verktyg Inomhusbelysning: 
Flik 1 har uppdaterats med denna versionsinformation och information om nytt lösenordsskydd, texter är genomgångna och uppdaterade. 
Flik 2 (4 alt) är nu utan makrofunktion att lägga till/ta bort rumstyper och armaturtyper. Ny funktion med förinställda byggnadstyper och rumstyper som hämtar reduktionsfaktorer från flik 4. Observera att funktionalitet förloras om värdet skrivs över. (Kursiverat är ändrat sedan v 3.0)
Flik 3 är texter genomgångna och uppdaterade. 
Flik 4 har uppdaterats med riktlinjer för installerad effekt och jämförelsetal energianvändning (LENI-tal) enligt Ljus &amp; Rum utgåva 4 (2022).
Flik 5 har uppdaterats med aktuella beräkningsfaktorer klimat samt källor.</t>
  </si>
  <si>
    <t>B19</t>
  </si>
  <si>
    <t>Vad_är_LCC?</t>
  </si>
  <si>
    <t>Vad är LCC?</t>
  </si>
  <si>
    <t>H23</t>
  </si>
  <si>
    <t>LCC_står_för_"Life_Cycle_Costs"_-_livscy</t>
  </si>
  <si>
    <t>LCC står för "Life Cycle Costs" - livscykelkostnader. Med hjälp av en LCC-beräkning erhålls en totalbild över varans, tjänstens eller anläggningens kostnader under hela dess nyttjandetid. Jämförelser mellan olika produktalternativ och lösningar kan göras.  Livscykelkostnadsperspektivet kan med fördel användas i flera delar av inköpsprocessen och även i det strategiska arbetet med organisationens budget.</t>
  </si>
  <si>
    <t>H24</t>
  </si>
  <si>
    <t>Läs_mer_om_LCC_på_Upphandlingsmyndighete</t>
  </si>
  <si>
    <t>H25</t>
  </si>
  <si>
    <t>Hur_ska_jag_använda_detta_LCC-verktyg?</t>
  </si>
  <si>
    <t>H27</t>
  </si>
  <si>
    <t>Detta_LCC-verktyg_är_specifikt_utvecklat</t>
  </si>
  <si>
    <t>Detta LCC-verktyg är specifikt utvecklat att användas vid upphandling av inomhusbelysning. Verktyget kan med fördel användas både i behovsanalysen, vid kravställande och i anbudsutvärderingen. I behovsanalysen kan verktyget användas för att i ett tidigt skede få en översikt över vilka typer av kostnader som förekommer under nyttjandetiden och hur stora dessa kostnader är. För en belysningsanläggning utgör exempelvis driftskostnaden för energi en stor kostnadspost. Detta kan till exempel testas med olika scenarier för energiprisökning, eller med olika styrfunktioner. Att använda verktyget på det sättet ökar medvetenheten i organisationen och kan vara ett bra underlag till viktiga vägval inför upphandlingen. Använd gärna kalkylparametrarna som en checklista, exempelvis inför leverantörsdialogen. 
När LCC-beräkning ställs som krav i upphandlingen måste förfrågningsunderlaget beskriva de parametrar som ska ingå i beräkningen, hur dessa ska dokumenteras och vilka mätmetoder som ska användas. Använd gärna kriteriet "belysningsanläggningens livscykelkostnad (LCC)" som kan laddas hem genom Upphandlingsmyndighetens kriterietjänst. En tumregel är att vid kravställande endast ta med de stora kostnadsposterna eller de kostnader som förväntas skilja sig åt mellan olika leverantörer.</t>
  </si>
  <si>
    <t>H28</t>
  </si>
  <si>
    <t>Lösenordsskydd
Varje_flik_i_Excelfilen_ä</t>
  </si>
  <si>
    <t>Lösenordsskydd
Varje flik i Excelfilen är skyddad med ett lösenord, för att förhindra oavsiktliga förändringar i LCC-kalkylen. 
- För att låsa upp välj Granska &gt; Ta bort bladets skydd.</t>
  </si>
  <si>
    <t>B29</t>
  </si>
  <si>
    <t>Vid_anbudsutvärdering_vägs_livscykelkost</t>
  </si>
  <si>
    <t>Vid anbudsutvärdering vägs livscykelkostnaden in som en parameter för bedömning av det ekonomiskt mest fördelaktiga anbudet. Kvalitativa krav på belysningsanläggningen, såsom ljuskvalitet, ingår inte i kalkylen utan måste kravställas i förfrågningsunderlaget.
I detta LCC-verktyg finns även möjlighet till jämförelse av alternativens klimatpåverkan från energianvändningen under nyttjandetiden.</t>
  </si>
  <si>
    <t>H29</t>
  </si>
  <si>
    <t>-_Lösenordet_är_LCC.</t>
  </si>
  <si>
    <t>- Lösenordet är LCC.</t>
  </si>
  <si>
    <t>B30</t>
  </si>
  <si>
    <t>Hur_är_LCC-verktyget_uppbyggt?</t>
  </si>
  <si>
    <t>Hur är LCC-verktyget uppbyggt?</t>
  </si>
  <si>
    <t>H31</t>
  </si>
  <si>
    <t>Verktyget_består_av_7__flikar:
1._Introd</t>
  </si>
  <si>
    <t>Verktyget består av 7  flikar:
1. Introduktion: generella instruktioner kring hur verktyget används. 
2. LCC-kalkyl A1-4: Fyra stycken kalkylblad där LCC-beräkningen utförs med standardiserade parametrar. Ett blad används per anläggning. 
3. Kalkylparametrar: Samlade instruktioner kring vad kalkylparametrarna innebär och vad som ska ingå.
4. Reduktionsfaktorer styrning: reduktionsfaktorer för belysningsstyrning, hämtade från Belysningsbranschens handbok "Ljus &amp; Rum".
5. Beräkningsfaktorer klimatpåverkan: frivilliga indata för att kunna beräkna klimatpåverkan från elenergi.
6. Resultat: visuell översikt över LCC-beräkningens resultat.
7. Svarsformulär: svarsformulär som leverantören bifogar anbudet. 
Beskrivning av anläggningen med rumstyper och storlek på dessa måste göras i förfrågningsunderlaget. 
Beställaren (upphandlande myndighet) anger kalkylförutsättningar och information kring användning; detta utgör grunden för beräkningen. Läs mer om kalkylförutsättningar och ekonomiska parametrar på länken under rubriken Vad är LCC ovan.
Anbudsgivaren fyller i resterande uppgifter i kalkylbladet (indata) enligt de standarder eller instruktioner som anges. Kostnaderna anges utan moms. I kolumnerna anges de olika rumstyper som förekommer i belysningsanläggningen enligt beställarens beskrivning i förfrågningsunderlaget. Rummen summeras i slutet och LCC-resultatet för hela anläggningen visas. Ett kalkylblad per anläggning används. Alternativa investeringslösningar, om sådana finns, anges i  kalkylblad A2-A4. Anbudsgivaren fyller i svarsformuläret (ett formulär per typrum) och bifogar den till beställaren. 
Beställaren kan sedan föra in varje anbudsgivares uppgifter i ett nytt kalkylblad för att kunna jämföra alla anbud i resultatfliken. Beställaren kan även använda ett av kalkylbladen A1-A4 för att fylla i information kring befintlig anläggning om sådan finns; detta för att tydliggöra förbättringarna med en ny eller renoverad anläggning. 
LCC-kalkylerna är baserade på nuvärdesmetoden för att kunna omräkna framtida kostnader till dagens värde. Omräkningsfaktorer till nuvärde är inkluderade i formlerna. Kalkylränta, elpris och användningstid är exempel på parametrar som kan variera och som måste beslutas i den upphandlande organisationen. Kostnadsbilden påverkas beroende på valet av dessa parametrar, exempelvis innebär en hög ränta att pengarnas värde sjunker under kalkylperioden och vid låg ränta behåller pengarna sitt värde. En lång användningstid gör att driftskostnadernas betydelse ökar i kalkylen. För att få en förståelse för effekten på slutresultatet vid olika scenarier, t.ex. energiprisökning, kan kalkylen testas med ett antal olika värden.</t>
  </si>
  <si>
    <t>H32</t>
  </si>
  <si>
    <t>H33</t>
  </si>
  <si>
    <t>Upphandlingsmyndigheten_utvecklar_och_fö</t>
  </si>
  <si>
    <t>H34</t>
  </si>
  <si>
    <t>Förutsättningar</t>
  </si>
  <si>
    <t>P19</t>
  </si>
  <si>
    <t>Forutsetninger for LCC-beregning</t>
  </si>
  <si>
    <t>Kalkulationsvoraussetzungen</t>
  </si>
  <si>
    <t>Assumptions for LCC calculation</t>
  </si>
  <si>
    <t>P20</t>
  </si>
  <si>
    <t>P21</t>
  </si>
  <si>
    <t>P22</t>
  </si>
  <si>
    <t>Sachbearbeiter*in</t>
  </si>
  <si>
    <t>O24</t>
  </si>
  <si>
    <t>Tid_kalkylen_omfattar</t>
  </si>
  <si>
    <t>P24</t>
  </si>
  <si>
    <t>Tidsperioden kalkylen omfatter</t>
  </si>
  <si>
    <t>Kalkulationszeit</t>
  </si>
  <si>
    <t>Time period covered by the calculation</t>
  </si>
  <si>
    <t>V24</t>
  </si>
  <si>
    <t>Jahr (singular), Jahre (plural)</t>
  </si>
  <si>
    <t>years</t>
  </si>
  <si>
    <t>O25</t>
  </si>
  <si>
    <t>P25</t>
  </si>
  <si>
    <t>Kalkulasjonsrente</t>
  </si>
  <si>
    <t>Kalkulationssatz</t>
  </si>
  <si>
    <t>Discount rate</t>
  </si>
  <si>
    <t>V25</t>
  </si>
  <si>
    <t>O26</t>
  </si>
  <si>
    <t>P26</t>
  </si>
  <si>
    <t>Strømpris</t>
  </si>
  <si>
    <t>Strompreis</t>
  </si>
  <si>
    <t>Electricity price</t>
  </si>
  <si>
    <t>V26</t>
  </si>
  <si>
    <t>SEK/kWh</t>
  </si>
  <si>
    <t>O27</t>
  </si>
  <si>
    <t>Årlig_prisförändring_energi_(frivillig)</t>
  </si>
  <si>
    <t>P27</t>
  </si>
  <si>
    <t>Årlig prisendring på energi (valgfritt)</t>
  </si>
  <si>
    <t>Jährliche Preisänderung Energie (freiwillig)</t>
  </si>
  <si>
    <t>Annual energy price escalation (optional)</t>
  </si>
  <si>
    <t>O28</t>
  </si>
  <si>
    <t>Klimatpåverkan_energianvändning_(frivill</t>
  </si>
  <si>
    <t>P28</t>
  </si>
  <si>
    <t>Klimapåvirkning fra energibruk (valgfritt)</t>
  </si>
  <si>
    <t>Klimawirkung des Energieverbrauchs (freiwillig)</t>
  </si>
  <si>
    <t>Climate impact of energy use (optional)</t>
  </si>
  <si>
    <t>kgCO₂/kwh</t>
  </si>
  <si>
    <t>V28</t>
  </si>
  <si>
    <t>kg CO₂/kWh</t>
  </si>
  <si>
    <t>O29</t>
  </si>
  <si>
    <t>P29</t>
  </si>
  <si>
    <t>Driftstid</t>
  </si>
  <si>
    <t>Betriebszeit</t>
  </si>
  <si>
    <t>Operating time</t>
  </si>
  <si>
    <t>V29</t>
  </si>
  <si>
    <t>timer/år</t>
  </si>
  <si>
    <t>h/Jahr</t>
  </si>
  <si>
    <t>hours/year</t>
  </si>
  <si>
    <t>1. LCC Befintlig Installation</t>
  </si>
  <si>
    <t>C2</t>
  </si>
  <si>
    <t>LCC-beregning</t>
  </si>
  <si>
    <t>LCC-Kalkulation</t>
  </si>
  <si>
    <t>LCC calculation</t>
  </si>
  <si>
    <t>Befintlig_Installation</t>
  </si>
  <si>
    <t>E2</t>
  </si>
  <si>
    <t>Eksisterende installasjon</t>
  </si>
  <si>
    <t>Vorhandene Installation</t>
  </si>
  <si>
    <t>Existing installation</t>
  </si>
  <si>
    <t>Beskrivning_av_anläggningen_och_belysnin</t>
  </si>
  <si>
    <t>C16</t>
  </si>
  <si>
    <t>Beskrivelse av anlegget og belysningsforslaget</t>
  </si>
  <si>
    <t>Anlagenbeschreibung und Beleuchtungsvorschlag</t>
  </si>
  <si>
    <t>Description of the system and lighting proposal</t>
  </si>
  <si>
    <t>BESKRIVNING_AV_ANLÄGGNINGEN</t>
  </si>
  <si>
    <t>C18</t>
  </si>
  <si>
    <t>BESKRIVELSE AV ANLEGGET</t>
  </si>
  <si>
    <t>Anlagenbeschreibung</t>
  </si>
  <si>
    <t>DESCRIPTION OF THE SYSTEM</t>
  </si>
  <si>
    <t>C19</t>
  </si>
  <si>
    <t>Bygningstype</t>
  </si>
  <si>
    <t>Gebäudetyp</t>
  </si>
  <si>
    <t>Building type</t>
  </si>
  <si>
    <t>Byggnadstyp_hjälprad</t>
  </si>
  <si>
    <t>C20</t>
  </si>
  <si>
    <t>Bygningstype (hjelperad)</t>
  </si>
  <si>
    <t>Erläuterung Gebäudetyp</t>
  </si>
  <si>
    <t>Building type (helper row)</t>
  </si>
  <si>
    <t>Rumstyp_(välj_byggnadstyp_ovan_för_att_f</t>
  </si>
  <si>
    <t>C21</t>
  </si>
  <si>
    <t>Romtype (velg bygningstype ovenfor for å få liste over gyldige romtyper)</t>
  </si>
  <si>
    <t>Raumtyp (Gebäudetyp auswählen, um Auswahlmöglichkeiten für Raumtyp zu erhalten)</t>
  </si>
  <si>
    <t>Room type (select building type above to get list of valid room types)</t>
  </si>
  <si>
    <t>C22</t>
  </si>
  <si>
    <t>Romnavn / rombetegnelse</t>
  </si>
  <si>
    <t>Raumkennzeichnung</t>
  </si>
  <si>
    <t>Room designation</t>
  </si>
  <si>
    <t>Antal_rum_av_samma_typ</t>
  </si>
  <si>
    <t>C23</t>
  </si>
  <si>
    <t>Antall rom av samme type</t>
  </si>
  <si>
    <t>Anzahl gleicher Raumtypen</t>
  </si>
  <si>
    <t>Number of rooms of the same type</t>
  </si>
  <si>
    <t>pcs</t>
  </si>
  <si>
    <t>Antal_kvadratmeter</t>
  </si>
  <si>
    <t>C24</t>
  </si>
  <si>
    <t>Gulvareal</t>
  </si>
  <si>
    <t>Anzahl Quadratmeter</t>
  </si>
  <si>
    <t>Floor area</t>
  </si>
  <si>
    <t>m2/rum</t>
  </si>
  <si>
    <t>m²/rom</t>
  </si>
  <si>
    <t>m2/Raum</t>
  </si>
  <si>
    <t>m²/room</t>
  </si>
  <si>
    <t>C25</t>
  </si>
  <si>
    <t>BELYSNINGSFORSLAG</t>
  </si>
  <si>
    <t>LICHTKONZEPT</t>
  </si>
  <si>
    <t>LIGHTING PROPOSAL</t>
  </si>
  <si>
    <t>C26</t>
  </si>
  <si>
    <t>Armaturbetegnelse</t>
  </si>
  <si>
    <t>Leuchtenbezeichnung</t>
  </si>
  <si>
    <t>Luminaire designation</t>
  </si>
  <si>
    <t>B27</t>
  </si>
  <si>
    <t>Antal_armaturer</t>
  </si>
  <si>
    <t>C27</t>
  </si>
  <si>
    <t>Antall armaturer</t>
  </si>
  <si>
    <t>Anzahl der Leuchten</t>
  </si>
  <si>
    <t>Number of luminaires</t>
  </si>
  <si>
    <t>B28</t>
  </si>
  <si>
    <t>C28</t>
  </si>
  <si>
    <t>Enhetspris armatur</t>
  </si>
  <si>
    <t>Preis per Leuchte</t>
  </si>
  <si>
    <t>Luminaire unit price</t>
  </si>
  <si>
    <t>SEK/unit</t>
  </si>
  <si>
    <t>Material-_och_arbetskostnader_armatur</t>
  </si>
  <si>
    <t>C29</t>
  </si>
  <si>
    <t>Material- og installasjonskostnad per armatur</t>
  </si>
  <si>
    <t>Material- und Arbeitskosten per Leuchte</t>
  </si>
  <si>
    <t>Material and installation cost per luminaire</t>
  </si>
  <si>
    <t>Effekt_per_armatur,_inkl._driftsförluste</t>
  </si>
  <si>
    <t>C30</t>
  </si>
  <si>
    <t>Effekt per armatur, inkl. driver-tap</t>
  </si>
  <si>
    <t>Leistung der Leuchte, inkl. Betriebsverluste</t>
  </si>
  <si>
    <t>Power per luminaire, incl. driver losses</t>
  </si>
  <si>
    <t>H30</t>
  </si>
  <si>
    <t>W/unit</t>
  </si>
  <si>
    <t>B31</t>
  </si>
  <si>
    <t>Typ_av_styrning</t>
  </si>
  <si>
    <t>C31</t>
  </si>
  <si>
    <t>Type styring</t>
  </si>
  <si>
    <t>Art der Steuerung</t>
  </si>
  <si>
    <t>Control type</t>
  </si>
  <si>
    <t>B32</t>
  </si>
  <si>
    <t>Reduktionsfaktor_manuell_styrning</t>
  </si>
  <si>
    <t>C32</t>
  </si>
  <si>
    <t>Reduksjonsfaktor – manuell styring</t>
  </si>
  <si>
    <t>Reduktionsfaktor manuelle Steuerung</t>
  </si>
  <si>
    <t>Reduction factor – manual control</t>
  </si>
  <si>
    <t>Fyll_i_byggnads-_och_rumstyp_ovan</t>
  </si>
  <si>
    <t>Fyll i byggnads- och rumstyp ovan</t>
  </si>
  <si>
    <t>I32</t>
  </si>
  <si>
    <t>Angi bygning og romtype ovenfor</t>
  </si>
  <si>
    <t>Gebäude- und Raumtyp angeben</t>
  </si>
  <si>
    <t>Enter building and room type above</t>
  </si>
  <si>
    <t>B33</t>
  </si>
  <si>
    <t>Reduktionsfaktor_närvaro-/frånvarostyrni</t>
  </si>
  <si>
    <t>C33</t>
  </si>
  <si>
    <t>Reduksjonsfaktor – tilstedeværelses-/fraværsstyring</t>
  </si>
  <si>
    <t>Reduktionsfaktor Präsenz-/Absenzsteuerung</t>
  </si>
  <si>
    <t>Reduction factor – occupancy/vacancy control</t>
  </si>
  <si>
    <t>B34</t>
  </si>
  <si>
    <t>Reduktionsfaktor_dagsljusstyrning</t>
  </si>
  <si>
    <t>C34</t>
  </si>
  <si>
    <t>Reduksjonsfaktor – dagslysstyring</t>
  </si>
  <si>
    <t>Reduktionsfaktor Tageslichtsteuerung</t>
  </si>
  <si>
    <t>Reduction factor – daylight control</t>
  </si>
  <si>
    <t>B35</t>
  </si>
  <si>
    <t>Total_reduktionsfaktor_för_styrning</t>
  </si>
  <si>
    <t>C35</t>
  </si>
  <si>
    <t>Total reduksjonsfaktor for styring</t>
  </si>
  <si>
    <t>Gesamtreduktionsfaktor Steuerung</t>
  </si>
  <si>
    <t>Total control reduction factor</t>
  </si>
  <si>
    <t>B36</t>
  </si>
  <si>
    <t>C36</t>
  </si>
  <si>
    <t>Vedlikeholdskostnader</t>
  </si>
  <si>
    <t>Instandhaltungskosten</t>
  </si>
  <si>
    <t>Maintenance costs</t>
  </si>
  <si>
    <t>H36</t>
  </si>
  <si>
    <t>SEK/year</t>
  </si>
  <si>
    <t>STYRUTRUSTNING_(anges_för_rumstyp)</t>
  </si>
  <si>
    <t>C146</t>
  </si>
  <si>
    <t>STYRINGSUTSTYR (spesifisert per romtype)</t>
  </si>
  <si>
    <t>STEUERUNGSAUSRÜSTUNG (für Raumtyp anzugeben)</t>
  </si>
  <si>
    <t>CONTROL EQUIPMENT (specified per room type)</t>
  </si>
  <si>
    <t>B147</t>
  </si>
  <si>
    <t>Kostnad_extern_styrutrustning</t>
  </si>
  <si>
    <t>C147</t>
  </si>
  <si>
    <t>Kostnad for eksternt styringsutstyr</t>
  </si>
  <si>
    <t>Kosten externer Steuerungsausrüstung</t>
  </si>
  <si>
    <t>Cost of external control equipment</t>
  </si>
  <si>
    <t>C149</t>
  </si>
  <si>
    <t>Resultater</t>
  </si>
  <si>
    <t>Ergebnis</t>
  </si>
  <si>
    <t>Results</t>
  </si>
  <si>
    <t>Rangordning_av_alternativ</t>
  </si>
  <si>
    <t>C150</t>
  </si>
  <si>
    <t>Rangering av alternativer</t>
  </si>
  <si>
    <t>Rangordnung der Alternativen</t>
  </si>
  <si>
    <t>Ranking of alternatives</t>
  </si>
  <si>
    <t>B152</t>
  </si>
  <si>
    <t>Totalkostnad_per_rum</t>
  </si>
  <si>
    <t>C152</t>
  </si>
  <si>
    <t>Total kostnad per rom</t>
  </si>
  <si>
    <t>Gesamtkosten pro Raum</t>
  </si>
  <si>
    <t>Total cost per room</t>
  </si>
  <si>
    <t>H152</t>
  </si>
  <si>
    <t>B153</t>
  </si>
  <si>
    <t>LENI-tal_per_rumstyp</t>
  </si>
  <si>
    <t>C153</t>
  </si>
  <si>
    <t>LENI-verdi per romtype</t>
  </si>
  <si>
    <t>LENI-Wert pro Raumtyp</t>
  </si>
  <si>
    <t>LENI value per room type</t>
  </si>
  <si>
    <t>kWh/m2/år</t>
  </si>
  <si>
    <t>kWh/m²/år</t>
  </si>
  <si>
    <t>H153</t>
  </si>
  <si>
    <t>kWh/m²/Jahr</t>
  </si>
  <si>
    <t>kWh/m²/year</t>
  </si>
  <si>
    <t>I153</t>
  </si>
  <si>
    <t>RESULTAT_FÖR_HELA_ANLÄGGNINGEN</t>
  </si>
  <si>
    <t>C154</t>
  </si>
  <si>
    <t>RESULTATER FOR HELE INSTALLASJONEN</t>
  </si>
  <si>
    <t>Ergebnis Gesamtanlage</t>
  </si>
  <si>
    <t>RESULTS FOR THE ENTIRE INSTALLATIO</t>
  </si>
  <si>
    <t>B155</t>
  </si>
  <si>
    <t>TOTAL_KOSTNAD</t>
  </si>
  <si>
    <t>C155</t>
  </si>
  <si>
    <t>TOTALKOSTNAD</t>
  </si>
  <si>
    <t>GESAMTKOSTEN</t>
  </si>
  <si>
    <t>TOTAL COST</t>
  </si>
  <si>
    <t>B156</t>
  </si>
  <si>
    <t>Energy cost per year</t>
  </si>
  <si>
    <t>Energikostnad_per_år</t>
  </si>
  <si>
    <t>C156</t>
  </si>
  <si>
    <t>Energiekosten pro Jahr</t>
  </si>
  <si>
    <t>B157</t>
  </si>
  <si>
    <t>Climate impact</t>
  </si>
  <si>
    <t>Energikostnader_under_hela_livslängden</t>
  </si>
  <si>
    <t>C157</t>
  </si>
  <si>
    <t>Energikostnader over hele levetiden</t>
  </si>
  <si>
    <t>Energiekosten gesamte Lebensdauer</t>
  </si>
  <si>
    <t>Energy costs over the entire lifetime</t>
  </si>
  <si>
    <t>B158</t>
  </si>
  <si>
    <t>C158</t>
  </si>
  <si>
    <t>Klimapåvirkning</t>
  </si>
  <si>
    <t>Klimawirkung</t>
  </si>
  <si>
    <t>H158</t>
  </si>
  <si>
    <t>kgCO₂e/year</t>
  </si>
  <si>
    <t>C163</t>
  </si>
  <si>
    <t>INVESTITIONSKOSTEN</t>
  </si>
  <si>
    <t>INVESTMENT COSTS</t>
  </si>
  <si>
    <t>C164</t>
  </si>
  <si>
    <t>Investitionskosten</t>
  </si>
  <si>
    <t>investment costs</t>
  </si>
  <si>
    <t>Armatur_1</t>
  </si>
  <si>
    <t>C165</t>
  </si>
  <si>
    <t>Leuchte 1</t>
  </si>
  <si>
    <t>Luminaire 1</t>
  </si>
  <si>
    <t>Armatur_2</t>
  </si>
  <si>
    <t>C166</t>
  </si>
  <si>
    <t>Leuchte 2</t>
  </si>
  <si>
    <t>Luminaire 2</t>
  </si>
  <si>
    <t>Armatur_3</t>
  </si>
  <si>
    <t>C167</t>
  </si>
  <si>
    <t>Leuchte 3</t>
  </si>
  <si>
    <t>Luminaire 3</t>
  </si>
  <si>
    <t>Armatur_4</t>
  </si>
  <si>
    <t>C168</t>
  </si>
  <si>
    <t>Leuchte 4</t>
  </si>
  <si>
    <t>Luminaire 4</t>
  </si>
  <si>
    <t>Armatur_5</t>
  </si>
  <si>
    <t>C169</t>
  </si>
  <si>
    <t>Leuchte 5</t>
  </si>
  <si>
    <t>Luminaire 5</t>
  </si>
  <si>
    <t>Armatur_6</t>
  </si>
  <si>
    <t>C170</t>
  </si>
  <si>
    <t>Leuchte 6</t>
  </si>
  <si>
    <t>Luminaire 6</t>
  </si>
  <si>
    <t>Armatur_7</t>
  </si>
  <si>
    <t>C171</t>
  </si>
  <si>
    <t>Leuchte 7</t>
  </si>
  <si>
    <t>Luminaire 7</t>
  </si>
  <si>
    <t>Armatur_8</t>
  </si>
  <si>
    <t>C172</t>
  </si>
  <si>
    <t>Leuchte 8</t>
  </si>
  <si>
    <t>Luminaire 8</t>
  </si>
  <si>
    <t>Armatur_9</t>
  </si>
  <si>
    <t>C173</t>
  </si>
  <si>
    <t>Leuchte 9</t>
  </si>
  <si>
    <t>Luminaire 9</t>
  </si>
  <si>
    <t>Armatur_10</t>
  </si>
  <si>
    <t>C174</t>
  </si>
  <si>
    <t>Leuchte 10</t>
  </si>
  <si>
    <t>Luminaire 10</t>
  </si>
  <si>
    <t>Summa_investeringskostnader_per_rumstyp</t>
  </si>
  <si>
    <t>C175</t>
  </si>
  <si>
    <t>Totale investeringskostnader per romtype</t>
  </si>
  <si>
    <t>Summierte Investierungskosten pro Raumtyp</t>
  </si>
  <si>
    <t>Total investment costs per room type</t>
  </si>
  <si>
    <t>S:A_INVESTERINGSKOSTNADER_HELA_ANLÄGGNIN</t>
  </si>
  <si>
    <t>C176</t>
  </si>
  <si>
    <t>TOTAL INVESTERINGSKOSTNAD FOR HELE ANLEGGET</t>
  </si>
  <si>
    <t>Gesamtinvesitionskosten Gesamtanlage</t>
  </si>
  <si>
    <t>TOTAL INVESTMENT COSTS FOR THE ENTIRE FACILITY</t>
  </si>
  <si>
    <t>ENERGI-_&amp;_UNDERHÅLLSKOSTNADER</t>
  </si>
  <si>
    <t>C178</t>
  </si>
  <si>
    <t>ENERGI- OG VEDLIKEHOLDSKOSTNADER</t>
  </si>
  <si>
    <t>ENERGIE- UND INSTANDHALTUNGSKOSTEN</t>
  </si>
  <si>
    <t>ENERGY &amp; MAINTENANCE COSTS</t>
  </si>
  <si>
    <t>C179</t>
  </si>
  <si>
    <t>ENERGIEKOSTEN</t>
  </si>
  <si>
    <t>ENERGY COSTS</t>
  </si>
  <si>
    <t>C180</t>
  </si>
  <si>
    <t>Energiforbruk</t>
  </si>
  <si>
    <t>Energieverbauch</t>
  </si>
  <si>
    <t>Energy consumption</t>
  </si>
  <si>
    <t>H181</t>
  </si>
  <si>
    <t>Total energy consumption per room type</t>
  </si>
  <si>
    <t>Summa_energianvändning_per_rumstyp</t>
  </si>
  <si>
    <t>C191</t>
  </si>
  <si>
    <t>Totalt energiforbruk per romtype</t>
  </si>
  <si>
    <t>Summierter Energieverbrauch pro Raumtyp</t>
  </si>
  <si>
    <t>H191</t>
  </si>
  <si>
    <t>kWh/Jahr</t>
  </si>
  <si>
    <t>kWh/year</t>
  </si>
  <si>
    <t>Summa_energianvändning_hela_anläggningen</t>
  </si>
  <si>
    <t>C192</t>
  </si>
  <si>
    <t>Totalt energiforbruk for hele anlegget</t>
  </si>
  <si>
    <t>Summierte Energiekosten Gesamtanlage</t>
  </si>
  <si>
    <t>Total energy consumption for the entire facility</t>
  </si>
  <si>
    <t>Årlig_energikostnad_per_rumstyp</t>
  </si>
  <si>
    <t>C194</t>
  </si>
  <si>
    <t>Årlig energikostnad per romtype</t>
  </si>
  <si>
    <t>Jährliche Energiekosten pro Raumtyp</t>
  </si>
  <si>
    <t>Annual energy cost per room type</t>
  </si>
  <si>
    <t>Årlig_energikostnad_hela_anläggningen</t>
  </si>
  <si>
    <t>C195</t>
  </si>
  <si>
    <t>Årlig energikostnad for hele anlegget</t>
  </si>
  <si>
    <t>Jährliche Energiekosten Gesamtanlage</t>
  </si>
  <si>
    <t>Annual energy cost for the entire facility</t>
  </si>
  <si>
    <t>Omräkningsfaktor_till_nuvärde</t>
  </si>
  <si>
    <t>C196</t>
  </si>
  <si>
    <t>Omregningsfaktor til nåverdi</t>
  </si>
  <si>
    <t>Abzinsungsfaktor</t>
  </si>
  <si>
    <t>Discount factor to present value</t>
  </si>
  <si>
    <t>C199</t>
  </si>
  <si>
    <t>VEDLIKEHOLDSKOSTNADER</t>
  </si>
  <si>
    <t>INSTANDHALTUNGSKOSTEN</t>
  </si>
  <si>
    <t>MAINTENANCE COSTS</t>
  </si>
  <si>
    <t>Underhållskostnad_armaturtyp_1</t>
  </si>
  <si>
    <t>C200</t>
  </si>
  <si>
    <t>Vedlikeholdskostnad – armaturtype 1</t>
  </si>
  <si>
    <t>Instandhaltungskosten Leuchte 1</t>
  </si>
  <si>
    <t>Maintenance cost – luminaire type 1</t>
  </si>
  <si>
    <t>Underhållskostnad_armaturtyp_2</t>
  </si>
  <si>
    <t>C201</t>
  </si>
  <si>
    <t>Vedlikeholdskostnad – armaturtype 2</t>
  </si>
  <si>
    <t>Instandhaltungskosten Leuchte 2</t>
  </si>
  <si>
    <t>Maintenance cost – luminaire type 2</t>
  </si>
  <si>
    <t>Underhållskostnad_armaturtyp_3</t>
  </si>
  <si>
    <t>C202</t>
  </si>
  <si>
    <t>Vedlikeholdskostnad – armaturtype 3</t>
  </si>
  <si>
    <t>Instandhaltungskosten Leuchte 3</t>
  </si>
  <si>
    <t>Maintenance cost – luminaire type 3</t>
  </si>
  <si>
    <t>Underhållskostnad_armaturtyp_4</t>
  </si>
  <si>
    <t>C203</t>
  </si>
  <si>
    <t>Vedlikeholdskostnad – armaturtype 4</t>
  </si>
  <si>
    <t>Instandhaltungskosten Leuchte 4</t>
  </si>
  <si>
    <t>Maintenance cost – luminaire type 4</t>
  </si>
  <si>
    <t>Underhållskostnad_armaturtyp_5</t>
  </si>
  <si>
    <t>C204</t>
  </si>
  <si>
    <t>Vedlikeholdskostnad – armaturtype 5</t>
  </si>
  <si>
    <t>Instandhaltungskosten Leuchte 5</t>
  </si>
  <si>
    <t>Maintenance cost – luminaire type 5</t>
  </si>
  <si>
    <t>Underhållskostnad_armaturtyp_6</t>
  </si>
  <si>
    <t>C205</t>
  </si>
  <si>
    <t>Vedlikeholdskostnad – armaturtype 6</t>
  </si>
  <si>
    <t>Instandhaltungskosten Leuchte 6</t>
  </si>
  <si>
    <t>Maintenance cost – luminaire type 6</t>
  </si>
  <si>
    <t>Underhållskostnad_armaturtyp_7</t>
  </si>
  <si>
    <t>C206</t>
  </si>
  <si>
    <t>Vedlikeholdskostnad – armaturtype 7</t>
  </si>
  <si>
    <t>Instandhaltungskosten Leuchte 7</t>
  </si>
  <si>
    <t>Maintenance cost – luminaire type 7</t>
  </si>
  <si>
    <t>Underhållskostnad_armaturtyp_8</t>
  </si>
  <si>
    <t>C207</t>
  </si>
  <si>
    <t>Vedlikeholdskostnad – armaturtype 8</t>
  </si>
  <si>
    <t>Instandhaltungskosten Leuchte 8</t>
  </si>
  <si>
    <t>Maintenance cost – luminaire type 8</t>
  </si>
  <si>
    <t>Underhållskostnad_armaturtyp_9</t>
  </si>
  <si>
    <t>C208</t>
  </si>
  <si>
    <t>Vedlikeholdskostnad – armaturtype 9</t>
  </si>
  <si>
    <t>Instandhaltungskosten Leuchte 9</t>
  </si>
  <si>
    <t>Maintenance cost – luminaire type 9</t>
  </si>
  <si>
    <t>Underhållskostnad_armaturtyp_10</t>
  </si>
  <si>
    <t>C209</t>
  </si>
  <si>
    <t>Vedlikeholdskostnad – armaturtype 10</t>
  </si>
  <si>
    <t>Instandhaltungskosten Leuchte 10</t>
  </si>
  <si>
    <t>Maintenance cost – luminaire type 10</t>
  </si>
  <si>
    <t>Summa_underhållskostnader_per_rumstyp</t>
  </si>
  <si>
    <t>C210</t>
  </si>
  <si>
    <t>Total vedlikeholdskostnad per romtype</t>
  </si>
  <si>
    <t>Summierte Instandhaltungskosten pro Raumtyp</t>
  </si>
  <si>
    <t>Total maintenance cost per room type</t>
  </si>
  <si>
    <t>Underhållskostnader_hela_anläggningen</t>
  </si>
  <si>
    <t>C211</t>
  </si>
  <si>
    <t>Totale vedlikeholdskostnader for hele anlegget</t>
  </si>
  <si>
    <t>Instandhaltungskosten Gesamtanlage</t>
  </si>
  <si>
    <t>Total maintenance costs for the entire facility</t>
  </si>
  <si>
    <t>Underhållskostnader_under_hela_livslängd</t>
  </si>
  <si>
    <t>C213</t>
  </si>
  <si>
    <t>Vedlikeholdskostnader over hele levetiden</t>
  </si>
  <si>
    <t>Instandhaltungskosten gesamte Lebensdauer</t>
  </si>
  <si>
    <t>Maintenance costs over the entire lifetime</t>
  </si>
  <si>
    <t>Klimatpåverkan_för_varje_rumstyp</t>
  </si>
  <si>
    <t>C215</t>
  </si>
  <si>
    <t>Klimapåvirkning per romtype</t>
  </si>
  <si>
    <t>Klimawirkung pro Raumtyp</t>
  </si>
  <si>
    <t>Climate impact per room type</t>
  </si>
  <si>
    <t>kWh/m2,_år</t>
  </si>
  <si>
    <t>kWh/m2, år</t>
  </si>
  <si>
    <t>H216</t>
  </si>
  <si>
    <t>kWh/m2, Jahr</t>
  </si>
  <si>
    <t>kWh/m², year</t>
  </si>
  <si>
    <t>LENI-tal_armaturtyp_1</t>
  </si>
  <si>
    <t>C217</t>
  </si>
  <si>
    <t>LENI-verdi – armaturtype 1</t>
  </si>
  <si>
    <t>LENI-Wert Leuchtentyp 1</t>
  </si>
  <si>
    <t>LENI value – luminaire type 1</t>
  </si>
  <si>
    <t>LENI-tal_armaturtyp_2</t>
  </si>
  <si>
    <t>C218</t>
  </si>
  <si>
    <t>LENI-verdi – armaturtype 2</t>
  </si>
  <si>
    <t>LENI-Wert Leuchtentyp 2</t>
  </si>
  <si>
    <t>LENI value – luminaire type 2</t>
  </si>
  <si>
    <t>LENI-tal_armaturtyp_3</t>
  </si>
  <si>
    <t>C219</t>
  </si>
  <si>
    <t>LENI-verdi – armaturtype 3</t>
  </si>
  <si>
    <t>LENI-Wert Leuchtentyp 3</t>
  </si>
  <si>
    <t>LENI value – luminaire type 3</t>
  </si>
  <si>
    <t>LENI-tal_armaturtyp_4</t>
  </si>
  <si>
    <t>C220</t>
  </si>
  <si>
    <t>LENI-verdi – armaturtype 4</t>
  </si>
  <si>
    <t>LENI-Wert Leuchtentyp 4</t>
  </si>
  <si>
    <t>LENI value – luminaire type 4</t>
  </si>
  <si>
    <t>LENI-tal_armaturtyp_5</t>
  </si>
  <si>
    <t>C221</t>
  </si>
  <si>
    <t>LENI-verdi – armaturtype 5</t>
  </si>
  <si>
    <t>LENI-Wert Leuchtentyp 5</t>
  </si>
  <si>
    <t>LENI value – luminaire type 5</t>
  </si>
  <si>
    <t>LENI-tal_armaturtyp_6</t>
  </si>
  <si>
    <t>C222</t>
  </si>
  <si>
    <t>LENI-verdi – armaturtype 6</t>
  </si>
  <si>
    <t>LENI-Wert Leuchtentyp 6</t>
  </si>
  <si>
    <t>LENI value – luminaire type 6</t>
  </si>
  <si>
    <t>LENI-tal_armaturtyp_7</t>
  </si>
  <si>
    <t>C223</t>
  </si>
  <si>
    <t>LENI-verdi – armaturtype 7</t>
  </si>
  <si>
    <t>LENI-Wert Leuchtentyp 7</t>
  </si>
  <si>
    <t>LENI value – luminaire type 7</t>
  </si>
  <si>
    <t>LENI-tal_armaturtyp_8</t>
  </si>
  <si>
    <t>C224</t>
  </si>
  <si>
    <t>LENI-verdi – armaturtype 8</t>
  </si>
  <si>
    <t>LENI-Wert Leuchtentyp 8</t>
  </si>
  <si>
    <t>LENI value – luminaire type 8</t>
  </si>
  <si>
    <t>LENI-tal_armaturtyp_9</t>
  </si>
  <si>
    <t>C225</t>
  </si>
  <si>
    <t>LENI-verdi – armaturtype 9</t>
  </si>
  <si>
    <t>LENI-Wert Leuchtentyp 9</t>
  </si>
  <si>
    <t>LENI value – luminaire type 9</t>
  </si>
  <si>
    <t>LENI-tal_armaturtyp_10</t>
  </si>
  <si>
    <t>C226</t>
  </si>
  <si>
    <t>LENI-verdi – armaturtype 10</t>
  </si>
  <si>
    <t>LENI-Wert Leuchtentyp 10</t>
  </si>
  <si>
    <t>LENI value – luminaire type 10</t>
  </si>
  <si>
    <t>S:A_ENERGI-_&amp;_UNDERHÅLLSKOSTNADER</t>
  </si>
  <si>
    <t>S:A ENERGI- &amp; UNDERHÅLLSKOSTNADER</t>
  </si>
  <si>
    <t>C227</t>
  </si>
  <si>
    <t>TOTAL ENERGI- OG VEDLIKEHOLDSKOSTNAD</t>
  </si>
  <si>
    <t>SUMME DER ENERGIE- UND INSTANDHALTUNGSKOSTEN</t>
  </si>
  <si>
    <t>TOTAL ENERGY &amp; MAINTENANCE COSTS</t>
  </si>
  <si>
    <t>TOTAL_KOSTNAD_HELA_ANLÄGGNINGEN</t>
  </si>
  <si>
    <t>C228</t>
  </si>
  <si>
    <t>TOTALKOSTNAD FOR HELE ANLEGGET</t>
  </si>
  <si>
    <t>GESAMTKOSTEN GESAMTANLAGE</t>
  </si>
  <si>
    <t>TOTAL COST FOR THE ENTIRE FACILITY</t>
  </si>
  <si>
    <t>I232</t>
  </si>
  <si>
    <t>kein / keiner / niemand --&gt; beror på sammanhanget, alternativt: Keine Angabe (ingen specifikation)</t>
  </si>
  <si>
    <t>None</t>
  </si>
  <si>
    <t>I233</t>
  </si>
  <si>
    <t>Manual</t>
  </si>
  <si>
    <t>Manuell_+_Närvaro/frånvaro</t>
  </si>
  <si>
    <t>I234</t>
  </si>
  <si>
    <t>Manuell + tilstedeværelses-/fraværsstyring</t>
  </si>
  <si>
    <t>Manuell + Anwesenheit/Abwesenheit</t>
  </si>
  <si>
    <t>Manual + Presence/absence control</t>
  </si>
  <si>
    <t>Manuell_+_Närvaro/frånvaro_+_Dagsljus</t>
  </si>
  <si>
    <t>I235</t>
  </si>
  <si>
    <t>Manuell + tilstedeværelses-/fraværsstyring + dagslysstyring</t>
  </si>
  <si>
    <t>Manuell + Anwesenheit/Abwesenheit + Tageslicht</t>
  </si>
  <si>
    <t>Manual + Presence/absence control + Daylight control</t>
  </si>
  <si>
    <t>Aura_Light</t>
  </si>
  <si>
    <t>2. LCC Ny Installation</t>
  </si>
  <si>
    <t>BESKRIVNING_AV_ANLÄGGNINGEN_(Denna_infor</t>
  </si>
  <si>
    <t>BESKRIVNING AV ANLÄGGNINGEN (Denna information hämtas från "Befintlig installation" för att säkerställa kvalitet på data)</t>
  </si>
  <si>
    <t>BESKRIVELSE AV ANLEGGET (Denne informasjonen hentes fra "Eksisterende installasjon" for å sikre datakvalitet)</t>
  </si>
  <si>
    <t>BESCHREIBUNG DER ANLAGE (Daten werden aus der "vorhandenen Installation" übernommen, zur Sicherstellung der Datenqualität)</t>
  </si>
  <si>
    <t>DESCRIPTION OF THE FACILITY (This information is retrieved from "Existing installation" to ensure data quality)</t>
  </si>
  <si>
    <t>Lås_rader</t>
  </si>
  <si>
    <t>A32</t>
  </si>
  <si>
    <t>Zeile sperren</t>
  </si>
  <si>
    <t>Lock rows</t>
  </si>
  <si>
    <t>I150</t>
  </si>
  <si>
    <t>Totalkostnad_per_rumstyp</t>
  </si>
  <si>
    <t>Total kostnad per romtype</t>
  </si>
  <si>
    <t>Gesamtkosten per Raumtyp</t>
  </si>
  <si>
    <t>Total cost per room type</t>
  </si>
  <si>
    <t>Underhållskostnad_Armaturbeteckning</t>
  </si>
  <si>
    <t>Underhållskostnad Armaturbeteckning</t>
  </si>
  <si>
    <t>Vedlikeholdskostnad – armaturbetegnelse</t>
  </si>
  <si>
    <t>Instandhaltungskosten Leuchtenbezeichnung</t>
  </si>
  <si>
    <t>Maintenance cost – luminaire designation</t>
  </si>
  <si>
    <t>LCC-kalkyl_Anläggning_alternativ_3</t>
  </si>
  <si>
    <t>2. LCC A3</t>
  </si>
  <si>
    <t>C8</t>
  </si>
  <si>
    <t>Kalkylförutsättningar_(anges_av_beställa</t>
  </si>
  <si>
    <t>Kalkylförutsättningar (anges av beställaren)</t>
  </si>
  <si>
    <t>C10</t>
  </si>
  <si>
    <t>F11</t>
  </si>
  <si>
    <t>F12</t>
  </si>
  <si>
    <t>F13</t>
  </si>
  <si>
    <t>BESKRIVNING_AV_ANLÄGGNINGEN_(anges_av_be</t>
  </si>
  <si>
    <t>Byggnadstyp_1</t>
  </si>
  <si>
    <t>I25</t>
  </si>
  <si>
    <t>Byggnadstyp_2</t>
  </si>
  <si>
    <t>J25</t>
  </si>
  <si>
    <t>Byggnadstyp_3</t>
  </si>
  <si>
    <t>K25</t>
  </si>
  <si>
    <t>Byggnadstyp_4</t>
  </si>
  <si>
    <t>L25</t>
  </si>
  <si>
    <t>Byggnadstyp_5</t>
  </si>
  <si>
    <t>M25</t>
  </si>
  <si>
    <t>Byggnadstyp_6</t>
  </si>
  <si>
    <t>N25</t>
  </si>
  <si>
    <t>Byggnadstyp_7</t>
  </si>
  <si>
    <t>Byggnadstyp_8</t>
  </si>
  <si>
    <t>Byggnadstyp_9</t>
  </si>
  <si>
    <t>Q25</t>
  </si>
  <si>
    <t>Byggnadstyp_10</t>
  </si>
  <si>
    <t>R25</t>
  </si>
  <si>
    <t>I26</t>
  </si>
  <si>
    <t>J26</t>
  </si>
  <si>
    <t>K26</t>
  </si>
  <si>
    <t>L26</t>
  </si>
  <si>
    <t>M26</t>
  </si>
  <si>
    <t>N26</t>
  </si>
  <si>
    <t>Q26</t>
  </si>
  <si>
    <t>R26</t>
  </si>
  <si>
    <t>Rumstyp_1</t>
  </si>
  <si>
    <t>I27</t>
  </si>
  <si>
    <t>Rumstyp_2</t>
  </si>
  <si>
    <t>J27</t>
  </si>
  <si>
    <t>Rumstyp_3</t>
  </si>
  <si>
    <t>K27</t>
  </si>
  <si>
    <t>Rumstyp_4</t>
  </si>
  <si>
    <t>L27</t>
  </si>
  <si>
    <t>Rumstyp_5</t>
  </si>
  <si>
    <t>M27</t>
  </si>
  <si>
    <t>Rumstyp_6</t>
  </si>
  <si>
    <t>N27</t>
  </si>
  <si>
    <t>Rumstyp_7</t>
  </si>
  <si>
    <t>Rumstyp_8</t>
  </si>
  <si>
    <t>Rumstyp_9</t>
  </si>
  <si>
    <t>Q27</t>
  </si>
  <si>
    <t>Rumstyp_10</t>
  </si>
  <si>
    <t>R27</t>
  </si>
  <si>
    <t>BELYSNINGSFÖRSLAG_(anges_av_anbudsgivare</t>
  </si>
  <si>
    <t>ARMATURTYP_1</t>
  </si>
  <si>
    <t>ARMATURTYP_2</t>
  </si>
  <si>
    <t>C43</t>
  </si>
  <si>
    <t>ARMATURTYP_3</t>
  </si>
  <si>
    <t>C55</t>
  </si>
  <si>
    <t>ARMATURTYP_4</t>
  </si>
  <si>
    <t>C67</t>
  </si>
  <si>
    <t>ARMATURTYP_5</t>
  </si>
  <si>
    <t>C79</t>
  </si>
  <si>
    <t>ARMATURTYP_6</t>
  </si>
  <si>
    <t>C91</t>
  </si>
  <si>
    <t>ARMATURTYP_7</t>
  </si>
  <si>
    <t>C103</t>
  </si>
  <si>
    <t>ARMATURTYP_8</t>
  </si>
  <si>
    <t>C115</t>
  </si>
  <si>
    <t>ARMATURTYP_9</t>
  </si>
  <si>
    <t>C127</t>
  </si>
  <si>
    <t>ARMATURTYP_10</t>
  </si>
  <si>
    <t>C139</t>
  </si>
  <si>
    <t>LCC-kalkyl_Anläggning_alternativ_4</t>
  </si>
  <si>
    <t>2. LCC A4</t>
  </si>
  <si>
    <t>3. Kalkylparametrar</t>
  </si>
  <si>
    <t>Samlade_instruktioner_kring_kalkylparame</t>
  </si>
  <si>
    <t>Samlade instruktioner kring kalkylparametrarna.</t>
  </si>
  <si>
    <t>B10</t>
  </si>
  <si>
    <t>KALKYLFÖRUTSÄTTNINGAR_(anges_av_beställa</t>
  </si>
  <si>
    <t>G10</t>
  </si>
  <si>
    <t>Not</t>
  </si>
  <si>
    <t>G11</t>
  </si>
  <si>
    <t>H11</t>
  </si>
  <si>
    <t>I11</t>
  </si>
  <si>
    <t>Kalkylen_bör_utgå_från_den_armatur_med_b</t>
  </si>
  <si>
    <t>I12</t>
  </si>
  <si>
    <t>Kalkylränta_(diskonteringsränta)_ligger_</t>
  </si>
  <si>
    <t>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t>
  </si>
  <si>
    <t>I13</t>
  </si>
  <si>
    <t>Organisationens_avtalade_elpris_(kr/kWh)</t>
  </si>
  <si>
    <t>Organisationens avtalade elpris (kr/kWh) anges. Elpriset är uppbyggt av flera komponenter. Säkerställ att prisuppgiften innehåller samma komponenter i alla jämförelser.</t>
  </si>
  <si>
    <t>I14</t>
  </si>
  <si>
    <t>Årlig_energiprisförändring</t>
  </si>
  <si>
    <t>H15</t>
  </si>
  <si>
    <t>Faktor_för_beräkning_av_energiprisföränd</t>
  </si>
  <si>
    <t>I15</t>
  </si>
  <si>
    <t>Klimatpåverkan_elanvändning</t>
  </si>
  <si>
    <t>H16</t>
  </si>
  <si>
    <t>För_att_kunna_beräkna_klimatpåverkan_frå</t>
  </si>
  <si>
    <t>För att kunna beräkna klimatpåverkan från elanvändningen anges här elleverantörens uppgifter om klimatpåverkan från sin elmix (koldioxidutsläpp per kilowattimme). Du kan också använda riktvärden från flik 5.</t>
  </si>
  <si>
    <t>I16</t>
  </si>
  <si>
    <t>Här_ska_drifttid_(timmar_per_år)_för_bel</t>
  </si>
  <si>
    <t>Här ska drifttid (timmar per år) för belysningen anges. Tiden ska i första hand vara baserad på befintlig driftdata. I andra hand kan man utgå från driftdata (schablonvärden) enligt standard SS-EN 15193: kontor 2500h/år, skolor 2000h/år, sporthallar 4000h/år, kök 2500h/år, sjukhus 5000h/år. Dessa värden finns även nämnda i Ljus &amp; Rum, utgåva 4 (2022), kapitel 6 Energiberäkning.</t>
  </si>
  <si>
    <t>I17</t>
  </si>
  <si>
    <t>Beskrivning_av_anläggningen_(anges_av_be</t>
  </si>
  <si>
    <t>G18</t>
  </si>
  <si>
    <t>H19</t>
  </si>
  <si>
    <t>Beskrivning_av_anläggningen_med_rumstype</t>
  </si>
  <si>
    <t>I19</t>
  </si>
  <si>
    <t>Fyll_i_antal_rum_per_rumstyp,_dvs_rum_me</t>
  </si>
  <si>
    <t>I20</t>
  </si>
  <si>
    <t>Rummets_yta_matas_in_för_att_kunna_beräk</t>
  </si>
  <si>
    <t>I21</t>
  </si>
  <si>
    <t>INDATA_från_anbudsgivaren</t>
  </si>
  <si>
    <t>G22</t>
  </si>
  <si>
    <t>Här_ifylles_antal_armaturer_som_ingår_i_</t>
  </si>
  <si>
    <t>I23</t>
  </si>
  <si>
    <t>Här_ska_totala_priset_för_armatur,_ljusk</t>
  </si>
  <si>
    <t>Här ska totala priset för armatur, ljuskälla, driftdon samt inbyggd styrutrustning anges (pris per styck). Om en armatur har fler än en ljuskälla ska dessa läggas ihop.</t>
  </si>
  <si>
    <t>I24</t>
  </si>
  <si>
    <t>Här_ingår_material-_och_arbetskostnader_</t>
  </si>
  <si>
    <t>Effekt_per_armatur_inkl_driftsförluster</t>
  </si>
  <si>
    <t>H26</t>
  </si>
  <si>
    <t>Effekt_per_armatur_(W),_driftsförluster_</t>
  </si>
  <si>
    <t>Välj_typ_av_styrning_(ingen,_manuell,_nä</t>
  </si>
  <si>
    <t>2.6-_2.8</t>
  </si>
  <si>
    <t>G28</t>
  </si>
  <si>
    <t>Reduktionsfaktor_manuell_styrning,_närva</t>
  </si>
  <si>
    <t>En_energireduktionsfaktor_(reducering_av</t>
  </si>
  <si>
    <t>I28</t>
  </si>
  <si>
    <t>Här_visas_den_totala_reduktionsfaktorn,_</t>
  </si>
  <si>
    <t>Här visas den totala reduktionsfaktorn, d.v.s multiplicering av värdena från rad 2.6-2.8, som kommer användas vidare i beräkningarna.</t>
  </si>
  <si>
    <t>I29</t>
  </si>
  <si>
    <t>Kostnader_för_armaturens_underhåll_anges</t>
  </si>
  <si>
    <t>Kostnader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byten av ljuskällor ska beräknas baserat på årlig drifttid och ljuskällans livslängd enligt gällande standarder. Livslängd för LED beräknas enligt IEC 62722-2-1 "Särskilda krav för LED armaturer". Driftdon beräknas ha samma livslängd som ljuskällan.</t>
  </si>
  <si>
    <t>I30</t>
  </si>
  <si>
    <t>G31</t>
  </si>
  <si>
    <t>Styrutrustning_ingår_oftast_som_en_del_a</t>
  </si>
  <si>
    <t>G33</t>
  </si>
  <si>
    <t>Total_kostnad_per_rumstyp</t>
  </si>
  <si>
    <t>Total_kostnad_för_respektive_rumstyp_und</t>
  </si>
  <si>
    <t>I34</t>
  </si>
  <si>
    <t>Rumstypernas_energianvändning_per_kvadra</t>
  </si>
  <si>
    <t>I35</t>
  </si>
  <si>
    <t>Total_kostnad_per_anläggning</t>
  </si>
  <si>
    <t>Total kostnad per anläggning</t>
  </si>
  <si>
    <t>Här_summeras_kostnaderna_för_alla_typrum</t>
  </si>
  <si>
    <t>I36</t>
  </si>
  <si>
    <t>Årlig_energikostnad_visas_här_för_att_ök</t>
  </si>
  <si>
    <t>I37</t>
  </si>
  <si>
    <t>Energikostnad_hela_livslängden</t>
  </si>
  <si>
    <t>H38</t>
  </si>
  <si>
    <t>Anläggningens_totala_energikostnader_und</t>
  </si>
  <si>
    <t>I38</t>
  </si>
  <si>
    <t>Årlig_klimatpåverkan,_mätt_i_CO2-ekvival</t>
  </si>
  <si>
    <t>I39</t>
  </si>
  <si>
    <t>4. Reduktionsfaktorer, LENI-tal</t>
  </si>
  <si>
    <t>Riktlinjer_installerad_effekt,_reduktion</t>
  </si>
  <si>
    <t>Riktlinjer installerad effekt, reduktionsfaktorer för belysningsstyrning samt riktlinjer för årlig energianvändning per rumstyp</t>
  </si>
  <si>
    <t>G9</t>
  </si>
  <si>
    <t>I_tabellen_anges:
1._Riktlinjer_för_inst</t>
  </si>
  <si>
    <t>Riktlinjer_max_installerad_effekt_(W/m2)</t>
  </si>
  <si>
    <t>Riktlinjer max installerad effekt (W/m2)</t>
  </si>
  <si>
    <t>Reduktionsfaktor_Manuell_styrning</t>
  </si>
  <si>
    <t>J11</t>
  </si>
  <si>
    <t>Reduktionsfaktor_Frånvaro-/_närvarostyrn</t>
  </si>
  <si>
    <t>K11</t>
  </si>
  <si>
    <t>Reduktionsfaktor_Dagsljusstyrning</t>
  </si>
  <si>
    <t>L11</t>
  </si>
  <si>
    <t>Jämförelsetal_energianvändning__
-_LENI-</t>
  </si>
  <si>
    <t>Jämförelsetal energianvändning  
- LENI-tal (kWh/m2, år)</t>
  </si>
  <si>
    <t>M11</t>
  </si>
  <si>
    <t>OBS!_Nedanstående_struktur_behövs_för_at</t>
  </si>
  <si>
    <t>Q11</t>
  </si>
  <si>
    <t>N12</t>
  </si>
  <si>
    <t>O12</t>
  </si>
  <si>
    <t>Q12</t>
  </si>
  <si>
    <t>SKOLA_OCH_RESTAURANG</t>
  </si>
  <si>
    <t>R12</t>
  </si>
  <si>
    <t>S12</t>
  </si>
  <si>
    <t>T12</t>
  </si>
  <si>
    <t>U12</t>
  </si>
  <si>
    <t>H13</t>
  </si>
  <si>
    <t>R13</t>
  </si>
  <si>
    <t>S13</t>
  </si>
  <si>
    <t>Vård/patientrum,_multifunktion</t>
  </si>
  <si>
    <t>T13</t>
  </si>
  <si>
    <t>Grov,_300_lux</t>
  </si>
  <si>
    <t>U13</t>
  </si>
  <si>
    <t>Drifttid_2500h/år</t>
  </si>
  <si>
    <t>G14</t>
  </si>
  <si>
    <t>H14</t>
  </si>
  <si>
    <t>R14</t>
  </si>
  <si>
    <t>S14</t>
  </si>
  <si>
    <t>T14</t>
  </si>
  <si>
    <t>Medel,_500_lux</t>
  </si>
  <si>
    <t>U14</t>
  </si>
  <si>
    <t>R15</t>
  </si>
  <si>
    <t>S15</t>
  </si>
  <si>
    <t>Undersökning_500_lux</t>
  </si>
  <si>
    <t>T15</t>
  </si>
  <si>
    <t>Fin,_750_lux</t>
  </si>
  <si>
    <t>U15</t>
  </si>
  <si>
    <t>R16</t>
  </si>
  <si>
    <t>Kommunikationsytor_&lt;_3m_höjd</t>
  </si>
  <si>
    <t>S16</t>
  </si>
  <si>
    <t>T16</t>
  </si>
  <si>
    <t>Mindre_lokal,_300_lux</t>
  </si>
  <si>
    <t>U16</t>
  </si>
  <si>
    <t>H17</t>
  </si>
  <si>
    <t>R17</t>
  </si>
  <si>
    <t>Kommunikationsytor_&lt;_6m_höjd</t>
  </si>
  <si>
    <t>S17</t>
  </si>
  <si>
    <t>Korridor,_normal_samt_städning</t>
  </si>
  <si>
    <t>T17</t>
  </si>
  <si>
    <t>U17</t>
  </si>
  <si>
    <t>H18</t>
  </si>
  <si>
    <t>R18</t>
  </si>
  <si>
    <t>Korridor,_OP-avdelning</t>
  </si>
  <si>
    <t>T18</t>
  </si>
  <si>
    <t>Lager_packning,_300_lux</t>
  </si>
  <si>
    <t>U18</t>
  </si>
  <si>
    <t>R19</t>
  </si>
  <si>
    <t>T19</t>
  </si>
  <si>
    <t>Lager_lastning,_200_lux</t>
  </si>
  <si>
    <t>U19</t>
  </si>
  <si>
    <t>R20</t>
  </si>
  <si>
    <t>T20</t>
  </si>
  <si>
    <t>Lagergång_höglager</t>
  </si>
  <si>
    <t>U20</t>
  </si>
  <si>
    <t>H21</t>
  </si>
  <si>
    <t>Personalrum_&lt;30_kvm</t>
  </si>
  <si>
    <t>R21</t>
  </si>
  <si>
    <t>Lagergång_låglager</t>
  </si>
  <si>
    <t>U21</t>
  </si>
  <si>
    <t>H22</t>
  </si>
  <si>
    <t>Drifttid_2000h/år</t>
  </si>
  <si>
    <t>G25</t>
  </si>
  <si>
    <t>Drifttid_4000h/år</t>
  </si>
  <si>
    <t>G34</t>
  </si>
  <si>
    <t>Drifttid_5000h/år</t>
  </si>
  <si>
    <t>G39</t>
  </si>
  <si>
    <t>Värden_för_beräkning_av_klimatpåverkan_f</t>
  </si>
  <si>
    <t>5. Beräkningsfaktorer klimat</t>
  </si>
  <si>
    <t>I10</t>
  </si>
  <si>
    <t>Riktvärden_för_att_kunna_beräkna_klimatp</t>
  </si>
  <si>
    <t>Nordisk_elmix</t>
  </si>
  <si>
    <t>SMED_Rapport_Nr_4_2021</t>
  </si>
  <si>
    <t>Svensk_elmix_(normalår)</t>
  </si>
  <si>
    <t>G12</t>
  </si>
  <si>
    <t>Boverkets_klimatdatabas</t>
  </si>
  <si>
    <t>Ursprungsmärkt_el</t>
  </si>
  <si>
    <t>G13</t>
  </si>
  <si>
    <t>El_av_okänt_ursprung_(Norden)</t>
  </si>
  <si>
    <t>Residualmix_-_Energimarknadsinspektionen</t>
  </si>
  <si>
    <t>För_beräkning_av_klimatpåverkan_från_ene</t>
  </si>
  <si>
    <t>För beräkning av klimatpåverkan från energianvändning under kalkylperioden rekommenderas att värden för Nordisk elmix används då den bäst representerar de utsläpp som uppstår av energianvändningen.</t>
  </si>
  <si>
    <t>B15</t>
  </si>
  <si>
    <t>EU_(25)</t>
  </si>
  <si>
    <t>G15</t>
  </si>
  <si>
    <t>EU-27_Indicative_2020</t>
  </si>
  <si>
    <t>EU-27 Indicative 2020</t>
  </si>
  <si>
    <t>Värt_att_notera_är_att_klimatpåverkan_fr</t>
  </si>
  <si>
    <t>Värt att notera är att klimatpåverkan från energiproduktionen förväntas minska i framtiden, om vi ska nå våra klimatmål. I rekommendationer för LCA-beräkningar (IVL 2024) där användningsskedet ingår görs antagandet att klimatpåverkan för energiproduktion kommer minska med 40 % från aktuellt år till år 2050. Läs mer om detta via länk nedan. Det är inte nödvändigt att ta hänsyn till detta i en LCC-kalkyl, om syftet endast är att jämföra alternativ (framtiden är likadan för alla alternativ). Det rekommenderas dock inte att använda värdet på klimatpåverkan från denna LCC-kalkyl oreflekterat i andra sammanhang.</t>
  </si>
  <si>
    <t>G17</t>
  </si>
  <si>
    <t>Anvisningar_för_LCA-beräkning_av_byggpro</t>
  </si>
  <si>
    <t>Resultat_LCC-kalkyl</t>
  </si>
  <si>
    <t>6. Resultat</t>
  </si>
  <si>
    <t>B3</t>
  </si>
  <si>
    <t>Sida_1_av_1</t>
  </si>
  <si>
    <t>S3</t>
  </si>
  <si>
    <t>B4</t>
  </si>
  <si>
    <t>B5</t>
  </si>
  <si>
    <t>B6</t>
  </si>
  <si>
    <t>Beräkning_baserad_på</t>
  </si>
  <si>
    <t>B8</t>
  </si>
  <si>
    <t>Resultaten_är_beräknade_enligt_nuvärdesm</t>
  </si>
  <si>
    <t>M8</t>
  </si>
  <si>
    <t>Ny_installation_Aura_Light</t>
  </si>
  <si>
    <t>Ny installation Aura Light</t>
  </si>
  <si>
    <t>J10</t>
  </si>
  <si>
    <t>B12</t>
  </si>
  <si>
    <t>Totala_LCC-kostnader</t>
  </si>
  <si>
    <t>Energianvändning_&amp;_klimatpåverkan</t>
  </si>
  <si>
    <t>Energianvändning &amp; klimatpåverkan</t>
  </si>
  <si>
    <t>E18</t>
  </si>
  <si>
    <t>[kgC02-e/år]</t>
  </si>
  <si>
    <t>E19</t>
  </si>
  <si>
    <t>Förord
Visste_du_att_en_av_de_enklaste_v</t>
  </si>
  <si>
    <t>Förord
Visste du att en av de enklaste vägarna till lägre driftskostnader och ett starkare hållbarhetsavtryck går genom belysningen? Många företag missar de dolda besparingsmöjligheter som gömmer sig i traditionella belysningssystem – något som vi på Aura Light gärna hjälper till att synliggöra.
I den bifogade energibesparingsrapporten visar vi hur ett byte till våra smarta och energieffektiva LED-lösningar kan skapa både omedelbara vinster och långsiktigt värde. Med data från vår genomgång av era lokaler tillsammans med ert team, lyfter vi fram konkreta åtgärder och tydliga effekter – ekonomiskt, miljömässigt och funktionellt.
Vårt mål är att leverera en modern helhetslösning som gör skillnad – för användaren, verksamheten och planeten. Rapporten är framtagen för att stödja ert beslutsfattande och inspirera till nästa steg mot en smartare belysningsframtid. Tveka inte att höra av dig om du vill veta mer – vi ser fram emot att göra resan tillsammans!</t>
  </si>
  <si>
    <t>Sammanfattning</t>
  </si>
  <si>
    <t>D7</t>
  </si>
  <si>
    <t>Forord
Visste du at en av de enkleste måtene å redusere driftskostnader og samtidig styrke bærekraftseffekten på er gjennom belysning? Mange virksomheter overser det skjulte besparelsespotensialet i tradisjonelle belysningssystemer – noe vi i Aura Light gjerne hjelper med å avdekke.
I den vedlagte energispare-rapporten viser vi hvordan en overgang til våre smarte og energieffektive LED-løsninger kan gi både umiddelbare besparelser og langsiktig verdi. Basert på data fra vår analyse av deres lokaler, gjennomført sammen med deres team, fremhever vi konkrete tiltak og tydelige effekter – økonomisk, miljømessig og funksjonelt.
Vårt mål er å levere en moderne og helhetlig løsning som gjør en forskjell – for brukeren, virksomheten og planeten. Rapporten er utformet for å støtte deres beslutningsprosess og inspirere til neste steg mot en smartere belysningsfremtid.
Ta gjerne kontakt dersom dere ønsker mer informasjon – vi ser frem til å ta denne reisen sammen med dere!</t>
  </si>
  <si>
    <t>Vorwort
Wussten Sie, dass niedrigere Betriebskosten sowie ein stärkeres Nachhaltigkeitsprofil mit der richtigen Beleuchtung erreicht werden kann? Viele Unternehmen übersehen diese versteckten Einsparpotenziale der traditionellen Beleuchtungssysteme - Potenziale, die wir bei Aura Light sichtbar machen.
In dem beigefügten Energieeinsparungsbericht zeigen wir, wie der Umstieg auf unsere intelligenten und energieeffizienten LED-Lösungen sofortige Vorteile und langfristigen Mehrwert schaffen kann. Basierend auf der Datengrundlage, die wir gemeinsam mit Ihrem Team bei Begehung Ihrer Räumlichkeiten erstellt haben, präsentieren wir konkrete Maßnahmen und klare Effekte - wirtschaftlich, ökologisch und funktional.
Unser Ziel ist es, eine moderne Gesamtlösung zu liefern, die einen Unterschied macht - für die Nutzer, den Betrieb und den Planeten. Der Bericht wurde entwickelt, um Sie in Ihrer Entscheidung zu unterstützen, sodass der Schritt in eine intelligentere Beleuchtungszukunft gelingt. Zögern Sie nicht, sich bei Fragen zu melden - wir möchten diesen Weg gemeinsam mit Ihnen gehen!</t>
  </si>
  <si>
    <t>Foreword
Did you know that one of the simplest ways to reduce operating costs and strengthen your sustainability impact is through lighting? Many companies overlook the hidden savings potential in traditional lighting systems—something we at Aura Light are happy to help identify. In the attached energy savings report, we demonstrate how switching to our smart and energy-efficient LED solutions can deliver both immediate savings and long-term value. Based on data from our analysis of your premises together with your team, we highlight concrete measures and clear impacts—financially, environmentally, and functionally. Our goal is to deliver a modern, holistic solution that makes a difference—for the user, the business, and the planet. The report is designed to support your decision-making and inspire the next step toward a smarter lighting future. Please do not hesitate to contact us if you would like to know more—we look forward to taking this journey together!</t>
  </si>
  <si>
    <t>års_användning</t>
  </si>
  <si>
    <t>K14</t>
  </si>
  <si>
    <t>Årlig bruk</t>
  </si>
  <si>
    <t>Jährliche Nutzung</t>
  </si>
  <si>
    <t>Annual usage</t>
  </si>
  <si>
    <t>LCC-kostnader_(SEK/år)</t>
  </si>
  <si>
    <t>LCC-kostnader (SEK/år)</t>
  </si>
  <si>
    <t>D21</t>
  </si>
  <si>
    <t>LCC-kostnader (NOK/år)</t>
  </si>
  <si>
    <t>LCC costs (SEK/year)</t>
  </si>
  <si>
    <t>Vårt_förslag</t>
  </si>
  <si>
    <t>L21</t>
  </si>
  <si>
    <t>Vårt forslag</t>
  </si>
  <si>
    <t>Unser Vorschlag</t>
  </si>
  <si>
    <t>Our proposal</t>
  </si>
  <si>
    <t>Jämförelse_%</t>
  </si>
  <si>
    <t>O21</t>
  </si>
  <si>
    <t>Sammenligning %</t>
  </si>
  <si>
    <t>Vergleich in %</t>
  </si>
  <si>
    <t>Comparison %</t>
  </si>
  <si>
    <t>Besparelser</t>
  </si>
  <si>
    <t>Einsparung</t>
  </si>
  <si>
    <t>Savings</t>
  </si>
  <si>
    <t>Inget_underhåll_kalkylerat</t>
  </si>
  <si>
    <t>Inget underhåll kalkylerat</t>
  </si>
  <si>
    <t>Ingen vedlikehold beregnet</t>
  </si>
  <si>
    <t>Keine Instandhaltung kalkuliert</t>
  </si>
  <si>
    <t>No maintenance calculated</t>
  </si>
  <si>
    <t>Energianvändning_(kWh/år)</t>
  </si>
  <si>
    <t>D28</t>
  </si>
  <si>
    <t>Energiforbruk (kWh/år)</t>
  </si>
  <si>
    <t>Energieverbrauch (kWh/Jahr)</t>
  </si>
  <si>
    <t>Energy consumption (kWh/year)</t>
  </si>
  <si>
    <t>0</t>
  </si>
  <si>
    <t>Klimatpåverkan_(kgC02-e/år)</t>
  </si>
  <si>
    <t>D29</t>
  </si>
  <si>
    <t>Klimapåvirkning (kg CO₂e/år)</t>
  </si>
  <si>
    <t>Klimawirkung (kgCO2-e/Jahr)</t>
  </si>
  <si>
    <t>Climate impact (kgCO₂e/year)</t>
  </si>
  <si>
    <t>Ackumulerad_energibesparing_över_tid</t>
  </si>
  <si>
    <t>D134</t>
  </si>
  <si>
    <t>Akkumulerte energibesparelser over tid</t>
  </si>
  <si>
    <t>Kumulierte Energieeinsparung im Zeitverlauf</t>
  </si>
  <si>
    <t>Accumulated energy savings over time</t>
  </si>
  <si>
    <t>Beräknad_återbetalningstid_på_investerin</t>
  </si>
  <si>
    <t>D135</t>
  </si>
  <si>
    <t>Estimert tilbakebetalingstid for investeringen:</t>
  </si>
  <si>
    <t>Berechnete Rückzahlungszeit der Investition</t>
  </si>
  <si>
    <t>Estimated payback period for the investment:</t>
  </si>
  <si>
    <t>Summering_besparing/år</t>
  </si>
  <si>
    <t>D153</t>
  </si>
  <si>
    <t>Totale besparelser per år</t>
  </si>
  <si>
    <t>Gesamteinsparung pro Jahr</t>
  </si>
  <si>
    <t>Total savings per year</t>
  </si>
  <si>
    <t>D155</t>
  </si>
  <si>
    <t>CO₂-avtrykk</t>
  </si>
  <si>
    <t>Co2-Fußabdruck</t>
  </si>
  <si>
    <t>CO₂ footprint</t>
  </si>
  <si>
    <t>kg_Co2-e</t>
  </si>
  <si>
    <t>kg Co2-e</t>
  </si>
  <si>
    <t>E156</t>
  </si>
  <si>
    <t>kg CO₂e</t>
  </si>
  <si>
    <t>D158</t>
  </si>
  <si>
    <t>Energieverbrauch</t>
  </si>
  <si>
    <t>D161</t>
  </si>
  <si>
    <t>Kostnadsbesparelser</t>
  </si>
  <si>
    <t>Kosteneinsparung</t>
  </si>
  <si>
    <t>Cost savings</t>
  </si>
  <si>
    <t>(SEK)</t>
  </si>
  <si>
    <t>E162</t>
  </si>
  <si>
    <t>D171</t>
  </si>
  <si>
    <t>Sammendrag</t>
  </si>
  <si>
    <t>Zusammenfassung:</t>
  </si>
  <si>
    <t>Summary:</t>
  </si>
  <si>
    <t>På_Aura_Light_strävar_vi_efter_att_erbju</t>
  </si>
  <si>
    <t>D172</t>
  </si>
  <si>
    <t>Hos Aura Light ønsker vi å tilby mer enn bare en belysningsløsning – vi ønsker å bidra til et smartere og mer bærekraftig valg. Gjennom vår LCC-analyse håper vi at resultatene tydelig viser at vår løsning møter både deres funksjonelle behov og økonomiske mål.
Med fokus på brukervennlighet, driftssikkerhet og energieffektivitet leverer vi en helhetlig løsning som ikke bare forbedrer opplevelsen for dem som oppholder seg i miljøet – men også reduserer klimapåvirkningen over tid.</t>
  </si>
  <si>
    <t>Bei Aura Light streben wir danach, mehr als nur eine Beleuchtungslösung anzubieten - wir möchten zu einer intelligenteren und nachhaltigeren Wahl beitragen. Wir hoffen, dass die Ergebnisse der LCC-Analyse bestätigen, dass unsere Lösungen Ihre funktionalen Anforderungen und wirtschaftlichen Ziele erfüllen. Mit Fokus auf Benutzerfreundlichkeit, Betriebssicherheit und Energieeffizienz schaffen wir eine Gesamtlösung, die nicht nur das Erlebnis für die Menschen in der Umgebung verbessert, sondern langsfristig ebenfalls den ökologischen Fußabdruck verringert.</t>
  </si>
  <si>
    <t>At Aura Light, we strive to offer more than just a lighting solution—we aim to contribute to a smarter, more sustainable choice. Through our LCC analysis, we hope the results demonstrate that our solution meets both your functional needs and financial objectives. With a focus on user-friendliness, operational reliability, and energy efficiency, we deliver a comprehensive solution that not only enhances the experience for those in the environment—but also minimizes the climate impact over time.</t>
  </si>
  <si>
    <t>Variabler</t>
  </si>
  <si>
    <t>B1</t>
  </si>
  <si>
    <t>C1</t>
  </si>
  <si>
    <t>D1</t>
  </si>
  <si>
    <t>E1</t>
  </si>
  <si>
    <t>A2</t>
  </si>
  <si>
    <t>B2</t>
  </si>
  <si>
    <t>D2</t>
  </si>
  <si>
    <t>Co2-e/kWh_regional_average</t>
  </si>
  <si>
    <t>A3</t>
  </si>
  <si>
    <t>Lösen_"asd"</t>
  </si>
  <si>
    <t>Blad1</t>
  </si>
  <si>
    <t>Blad2</t>
  </si>
  <si>
    <t>Energiåtgång_2</t>
  </si>
  <si>
    <t>H1</t>
  </si>
  <si>
    <t>I1</t>
  </si>
  <si>
    <t>K1</t>
  </si>
  <si>
    <t>L1</t>
  </si>
  <si>
    <t>M1</t>
  </si>
  <si>
    <t>N1</t>
  </si>
  <si>
    <t>D15</t>
  </si>
  <si>
    <t>År_1</t>
  </si>
  <si>
    <t>År_2</t>
  </si>
  <si>
    <t>År_3</t>
  </si>
  <si>
    <t>År_4</t>
  </si>
  <si>
    <t>År_5</t>
  </si>
  <si>
    <t>År_6</t>
  </si>
  <si>
    <t>År_7</t>
  </si>
  <si>
    <t>År_8</t>
  </si>
  <si>
    <t>År_9</t>
  </si>
  <si>
    <t>År_10</t>
  </si>
  <si>
    <t>G27</t>
  </si>
  <si>
    <t>Energiåtgång_(kWh)</t>
  </si>
  <si>
    <t>Klimatpåverkan_(kg_Co2)</t>
  </si>
  <si>
    <t>D30</t>
  </si>
  <si>
    <t>Energikostnad_(SEK)</t>
  </si>
  <si>
    <t>E30</t>
  </si>
  <si>
    <t>D36</t>
  </si>
  <si>
    <t>G37</t>
  </si>
  <si>
    <t>Ny</t>
  </si>
  <si>
    <t>D49</t>
  </si>
  <si>
    <t>Svarsformulär_för_anbudsgivare</t>
  </si>
  <si>
    <t>7. Svarsformulär</t>
  </si>
  <si>
    <t>D9</t>
  </si>
  <si>
    <t>Sida_1_av_2</t>
  </si>
  <si>
    <t>M9</t>
  </si>
  <si>
    <t>Sida_2_av_2</t>
  </si>
  <si>
    <t>AC9</t>
  </si>
  <si>
    <t>D10</t>
  </si>
  <si>
    <t>Bifoga/_skriv_ut_ett_blad_per_rumstyp.</t>
  </si>
  <si>
    <t>Bifoga/ skriv ut ett blad per rumstyp.</t>
  </si>
  <si>
    <t>D11</t>
  </si>
  <si>
    <t>forts._rumstyp_1</t>
  </si>
  <si>
    <t>Armaturtyp_1</t>
  </si>
  <si>
    <t>D17</t>
  </si>
  <si>
    <t>Armaturtyp_6</t>
  </si>
  <si>
    <t>Armaturtyp_2</t>
  </si>
  <si>
    <t>Armaturtyp_7</t>
  </si>
  <si>
    <t>T28</t>
  </si>
  <si>
    <t>Armaturtyp_3</t>
  </si>
  <si>
    <t>D39</t>
  </si>
  <si>
    <t>Armaturtyp_8</t>
  </si>
  <si>
    <t>T39</t>
  </si>
  <si>
    <t>Armaturtyp_4</t>
  </si>
  <si>
    <t>D50</t>
  </si>
  <si>
    <t>Armaturtyp_9</t>
  </si>
  <si>
    <t>T50</t>
  </si>
  <si>
    <t>Armaturtyp_5</t>
  </si>
  <si>
    <t>D61</t>
  </si>
  <si>
    <t>Armaturtyp_10</t>
  </si>
  <si>
    <t>T61</t>
  </si>
  <si>
    <t>Blad-namn</t>
  </si>
  <si>
    <t>H60</t>
  </si>
  <si>
    <t>H51</t>
  </si>
  <si>
    <t>H52</t>
  </si>
  <si>
    <t>H53</t>
  </si>
  <si>
    <t>H54</t>
  </si>
  <si>
    <t>H63</t>
  </si>
  <si>
    <t>H72</t>
  </si>
  <si>
    <t>H64</t>
  </si>
  <si>
    <t>H65</t>
  </si>
  <si>
    <t>H66</t>
  </si>
  <si>
    <t>H75</t>
  </si>
  <si>
    <t>H76</t>
  </si>
  <si>
    <t>H77</t>
  </si>
  <si>
    <t>H78</t>
  </si>
  <si>
    <t>H84</t>
  </si>
  <si>
    <t>H87</t>
  </si>
  <si>
    <t>H88</t>
  </si>
  <si>
    <t>H89</t>
  </si>
  <si>
    <t>H90</t>
  </si>
  <si>
    <t>H96</t>
  </si>
  <si>
    <t>H99</t>
  </si>
  <si>
    <t>H100</t>
  </si>
  <si>
    <t>H101</t>
  </si>
  <si>
    <t>H102</t>
  </si>
  <si>
    <t>H108</t>
  </si>
  <si>
    <t>H111</t>
  </si>
  <si>
    <t>H112</t>
  </si>
  <si>
    <t>H113</t>
  </si>
  <si>
    <t>H114</t>
  </si>
  <si>
    <t>H120</t>
  </si>
  <si>
    <t>H123</t>
  </si>
  <si>
    <t>H124</t>
  </si>
  <si>
    <t>H125</t>
  </si>
  <si>
    <t>H126</t>
  </si>
  <si>
    <t>H132</t>
  </si>
  <si>
    <t>H135</t>
  </si>
  <si>
    <t>H136</t>
  </si>
  <si>
    <t>H137</t>
  </si>
  <si>
    <t>H138</t>
  </si>
  <si>
    <t>H144</t>
  </si>
  <si>
    <r>
      <rPr>
        <sz val="11"/>
        <color theme="1"/>
        <rFont val="Calibri"/>
        <family val="2"/>
        <scheme val="minor"/>
      </rPr>
      <t>kr/stk eller EUR/stk?</t>
    </r>
  </si>
  <si>
    <r>
      <rPr>
        <sz val="11"/>
        <color theme="1"/>
        <rFont val="Calibri"/>
        <family val="2"/>
        <scheme val="minor"/>
      </rPr>
      <t>kr eller EUR</t>
    </r>
  </si>
  <si>
    <r>
      <rPr>
        <sz val="11"/>
        <color theme="1"/>
        <rFont val="Calibri"/>
        <family val="2"/>
        <scheme val="minor"/>
      </rPr>
      <t>kr/Jahr eller EUR/Jahr?</t>
    </r>
  </si>
  <si>
    <t>H147</t>
  </si>
  <si>
    <t>kr/Jahr eller EUR/Jahr?</t>
  </si>
  <si>
    <t>LCC-Kosten (EUR/Jahr)</t>
  </si>
  <si>
    <t>EUR/Jahr</t>
  </si>
  <si>
    <t>EUR/stk</t>
  </si>
  <si>
    <t>EUR/kWh</t>
  </si>
  <si>
    <t>kr/Jahr eller EUR/Jahr</t>
  </si>
  <si>
    <t>Cellkontor &gt; 8 kvm</t>
  </si>
  <si>
    <t>Cellekontor &gt; 8 kvm</t>
  </si>
  <si>
    <t>Einzelbüro &gt; 8 m²</t>
  </si>
  <si>
    <t>Cellular office &gt; 8 sqm</t>
  </si>
  <si>
    <t>Cellkontor 8–12 kvm</t>
  </si>
  <si>
    <t>Cellekontor 8–12 kvm</t>
  </si>
  <si>
    <t>Einzelbüro 8–12 m²</t>
  </si>
  <si>
    <t>Cellular office 8–12 sqm</t>
  </si>
  <si>
    <t>Storkontor &gt; 12 kvm</t>
  </si>
  <si>
    <t>Åpent kontor &gt; 12 kvm</t>
  </si>
  <si>
    <t>Großraumbüro &gt; 12 m²</t>
  </si>
  <si>
    <t>Open-plan office &gt; 12 sqm</t>
  </si>
  <si>
    <t>Flur</t>
  </si>
  <si>
    <t>Corridor</t>
  </si>
  <si>
    <t>Pauserom større</t>
  </si>
  <si>
    <t>Pausenraum (groß)</t>
  </si>
  <si>
    <t>Break room (large)</t>
  </si>
  <si>
    <t>Pauserom mindre</t>
  </si>
  <si>
    <t>Pausenraum (klein)</t>
  </si>
  <si>
    <t>Break room (small)</t>
  </si>
  <si>
    <t>Møterom</t>
  </si>
  <si>
    <t>Konferenzraum</t>
  </si>
  <si>
    <t>Conference room</t>
  </si>
  <si>
    <t>Lagerrom</t>
  </si>
  <si>
    <t>Lagerraum</t>
  </si>
  <si>
    <t>Storage room</t>
  </si>
  <si>
    <t>Trappehus (kontor)</t>
  </si>
  <si>
    <t>Treppenhaus (Büro)</t>
  </si>
  <si>
    <t>Stairwell (office)</t>
  </si>
  <si>
    <t>Garage (icke‑publika kontor)</t>
  </si>
  <si>
    <t>Garasje (ikke‑offentlig kontor)</t>
  </si>
  <si>
    <t>Garage (nicht öffentlich, Büro)</t>
  </si>
  <si>
    <t>Garage (non‑public office)</t>
  </si>
  <si>
    <t>Klasserom</t>
  </si>
  <si>
    <t>Klassenraum</t>
  </si>
  <si>
    <t>Classroom</t>
  </si>
  <si>
    <t>Grupperom</t>
  </si>
  <si>
    <t>Gruppenraum</t>
  </si>
  <si>
    <t>Group room</t>
  </si>
  <si>
    <t>Assembly hall</t>
  </si>
  <si>
    <t>Oppholdsrom</t>
  </si>
  <si>
    <t>Aufenthaltsraum</t>
  </si>
  <si>
    <t>Common room</t>
  </si>
  <si>
    <t>Kantine</t>
  </si>
  <si>
    <t>Speisesaal</t>
  </si>
  <si>
    <t>Dining hall</t>
  </si>
  <si>
    <t>Kjøkken</t>
  </si>
  <si>
    <t>Küche</t>
  </si>
  <si>
    <t>Kitchen</t>
  </si>
  <si>
    <t>Kjøkken/lager</t>
  </si>
  <si>
    <t>Küche/Lager</t>
  </si>
  <si>
    <t>Kitchen/storage</t>
  </si>
  <si>
    <t>Personalrum &lt; 30 kvm</t>
  </si>
  <si>
    <t>Personalrom &lt; 30 kvm</t>
  </si>
  <si>
    <t>Personalraum &lt; 30 m²</t>
  </si>
  <si>
    <t>Staff room &lt; 30 sqm</t>
  </si>
  <si>
    <t>Idrettshall</t>
  </si>
  <si>
    <t>Sporthalle</t>
  </si>
  <si>
    <t>Sports hall</t>
  </si>
  <si>
    <t>Garderobe</t>
  </si>
  <si>
    <t>Umkleideraum</t>
  </si>
  <si>
    <t>Changing room</t>
  </si>
  <si>
    <t>Kommunikationsytor &lt; 3 m höjd</t>
  </si>
  <si>
    <t>Kommunikasjonsarealer &lt; 3 m høyde</t>
  </si>
  <si>
    <t>Verkehrsflächen &lt; 3 m Höhe</t>
  </si>
  <si>
    <t>Circulation areas &lt; 3 m height</t>
  </si>
  <si>
    <t>Kommunikationsytor &lt; 6 m höjd</t>
  </si>
  <si>
    <t>Kommunikasjonsarealer &lt; 6 m høyde</t>
  </si>
  <si>
    <t>Verkehrsflächen &lt; 6 m Höhe</t>
  </si>
  <si>
    <t>Circulation areas &lt; 6 m height</t>
  </si>
  <si>
    <t>Pasientrom, multifunksjon</t>
  </si>
  <si>
    <t>Patientenraum, multifunktional</t>
  </si>
  <si>
    <t>Patient room, multifunction</t>
  </si>
  <si>
    <t>Pasientrom</t>
  </si>
  <si>
    <t>Patientenraum</t>
  </si>
  <si>
    <t>Patient room</t>
  </si>
  <si>
    <t>Undersøkelse 500 lux</t>
  </si>
  <si>
    <t>Untersuchungsraum 500 Lux</t>
  </si>
  <si>
    <t>Examination room 500 lux</t>
  </si>
  <si>
    <t>Operasjon</t>
  </si>
  <si>
    <t>Operationssaal</t>
  </si>
  <si>
    <t>Operating theatre</t>
  </si>
  <si>
    <t>Korridor, normal og renhold</t>
  </si>
  <si>
    <t>Flur, normal inkl. Reinigung</t>
  </si>
  <si>
    <t>Corridor, normal incl. cleaning</t>
  </si>
  <si>
    <t>Korridor, OP‑avdelning</t>
  </si>
  <si>
    <t>Korridor, operasjonsavdeling</t>
  </si>
  <si>
    <t>Flur, OP‑Bereich</t>
  </si>
  <si>
    <t>Corridor, operating department</t>
  </si>
  <si>
    <t>Venterom</t>
  </si>
  <si>
    <t>Warteraum</t>
  </si>
  <si>
    <t>Waiting room</t>
  </si>
  <si>
    <t>Versorgungstunnel</t>
  </si>
  <si>
    <t>Service tunnel</t>
  </si>
  <si>
    <t>Grob, 300 Lux</t>
  </si>
  <si>
    <t>Rough, 300 lux</t>
  </si>
  <si>
    <t>Middels, 500 lux</t>
  </si>
  <si>
    <t>Mittel, 500 Lux</t>
  </si>
  <si>
    <t>Medium, 500 lux</t>
  </si>
  <si>
    <t>Fein, 750 Lux</t>
  </si>
  <si>
    <t>Fine, 750 lux</t>
  </si>
  <si>
    <t>Mindre lokale, 300 lux</t>
  </si>
  <si>
    <t>Kleiner Raum, 300 Lux</t>
  </si>
  <si>
    <t>Small room, 300 lux</t>
  </si>
  <si>
    <t>Maleri</t>
  </si>
  <si>
    <t>Lackierung</t>
  </si>
  <si>
    <t>Painting</t>
  </si>
  <si>
    <t>Lager pakking, 300 lux</t>
  </si>
  <si>
    <t>Lager Verpackung, 300 Lux</t>
  </si>
  <si>
    <t>Warehouse packing, 300 lux</t>
  </si>
  <si>
    <t>Lager lasting, 200 lux</t>
  </si>
  <si>
    <t>Lager Verladung, 200 Lux</t>
  </si>
  <si>
    <t>Warehouse loading, 200 lux</t>
  </si>
  <si>
    <t>Lagergang høylager</t>
  </si>
  <si>
    <t>Hochregallagergang</t>
  </si>
  <si>
    <t>High-bay warehouse aisle</t>
  </si>
  <si>
    <t>Lagergang lavlager</t>
  </si>
  <si>
    <t>Niedrigregallagergang</t>
  </si>
  <si>
    <t>Low-bay warehouse aisle</t>
  </si>
  <si>
    <t>Kontor</t>
  </si>
  <si>
    <t>Büro</t>
  </si>
  <si>
    <t>Office</t>
  </si>
  <si>
    <t>Skola och restaurang</t>
  </si>
  <si>
    <t>Skole og restaurant</t>
  </si>
  <si>
    <t>Schule und Restaurant</t>
  </si>
  <si>
    <t>School and restaurant</t>
  </si>
  <si>
    <t>Sjukhus</t>
  </si>
  <si>
    <t>Sykehus</t>
  </si>
  <si>
    <t>Krankenhaus</t>
  </si>
  <si>
    <t>Hospital</t>
  </si>
  <si>
    <t>Industri</t>
  </si>
  <si>
    <t>Industrie</t>
  </si>
  <si>
    <t>Industry</t>
  </si>
  <si>
    <t>G24</t>
  </si>
  <si>
    <t>G38</t>
  </si>
  <si>
    <t>G46</t>
  </si>
  <si>
    <t>H20</t>
  </si>
  <si>
    <t>H35</t>
  </si>
  <si>
    <t>H37</t>
  </si>
  <si>
    <t>H39</t>
  </si>
  <si>
    <t>H40</t>
  </si>
  <si>
    <t>H41</t>
  </si>
  <si>
    <t>H42</t>
  </si>
  <si>
    <t>H43</t>
  </si>
  <si>
    <t>H44</t>
  </si>
  <si>
    <t>H45</t>
  </si>
  <si>
    <t>H46</t>
  </si>
  <si>
    <t>H47</t>
  </si>
  <si>
    <t>H48</t>
  </si>
  <si>
    <t>H49</t>
  </si>
  <si>
    <t>H50</t>
  </si>
  <si>
    <t>Livskostnadskalkyl</t>
  </si>
  <si>
    <t>Titel sammanfattning</t>
  </si>
  <si>
    <t>Livssykluskostnadskalkyle</t>
  </si>
  <si>
    <t>Lebenszykluskostenkalkulation</t>
  </si>
  <si>
    <t>Life Cycle Cost Calculation</t>
  </si>
  <si>
    <t>Prosjekt:</t>
  </si>
  <si>
    <t>Dato:</t>
  </si>
  <si>
    <t>Utarbeidet av:</t>
  </si>
  <si>
    <t>Project:</t>
  </si>
  <si>
    <t>Date:</t>
  </si>
  <si>
    <t>Prepared by:</t>
  </si>
  <si>
    <t>Resultater LCC‑kalkyle</t>
  </si>
  <si>
    <t>Ergebnisse der LCC‑Kalkulation</t>
  </si>
  <si>
    <t>LCC Calculation Results</t>
  </si>
  <si>
    <t>K9</t>
  </si>
  <si>
    <t>Resultatene er beregnet etter nåverdimetoden.</t>
  </si>
  <si>
    <t>Die Ergebnisse wurden nach der Barwertmethode berechnet.</t>
  </si>
  <si>
    <t>The results are calculated using the net present value method.</t>
  </si>
  <si>
    <t>Bestehende Installation</t>
  </si>
  <si>
    <t>D22</t>
  </si>
  <si>
    <t>Investment costs</t>
  </si>
  <si>
    <t>D23</t>
  </si>
  <si>
    <t>Energiekosten</t>
  </si>
  <si>
    <t>Energy Costs</t>
  </si>
  <si>
    <t>D24</t>
  </si>
  <si>
    <t>Maintenance Costs</t>
  </si>
  <si>
    <t>Total Kostnad</t>
  </si>
  <si>
    <t>D25</t>
  </si>
  <si>
    <t>Totalkostnad</t>
  </si>
  <si>
    <t>Gesamtkosten</t>
  </si>
  <si>
    <t>Total Cost</t>
  </si>
  <si>
    <t>D27</t>
  </si>
  <si>
    <t>Energibruk og klimapåvirkning</t>
  </si>
  <si>
    <t>Energieverbrauch und Klimawirkung</t>
  </si>
  <si>
    <t>Energy consumption &amp; climate impact</t>
  </si>
  <si>
    <t>Klimatpåverkan (kg CO₂)</t>
  </si>
  <si>
    <t>Klimapåvirkning (kg CO₂)</t>
  </si>
  <si>
    <t>Klimawirkung (kg CO₂)</t>
  </si>
  <si>
    <t>Climate impact (kg CO₂)</t>
  </si>
  <si>
    <t>Energikostnad (NOK)</t>
  </si>
  <si>
    <t>Energiekosten (EUR)</t>
  </si>
  <si>
    <t>Energy cost (SEK)</t>
  </si>
  <si>
    <t>Energiforbruk (kWh)</t>
  </si>
  <si>
    <t>Energieverbrauch (kWh)</t>
  </si>
  <si>
    <t>Energy consumption (kWh)</t>
  </si>
  <si>
    <t>Uträkningar</t>
  </si>
  <si>
    <t xml:space="preserve">Årlig besparing per rumstyp </t>
  </si>
  <si>
    <t>Diagram titel sammanfattning</t>
  </si>
  <si>
    <t>B7</t>
  </si>
  <si>
    <t>Årlig besparelse per romtype</t>
  </si>
  <si>
    <t>Jährliche Einsparung pro Raumtyp</t>
  </si>
  <si>
    <t>Annual savings per room type</t>
  </si>
  <si>
    <t>Återbetalningstid</t>
  </si>
  <si>
    <t>Investitionsaufwand</t>
  </si>
  <si>
    <t>Initial investment cost</t>
  </si>
  <si>
    <t>Energibesparelse</t>
  </si>
  <si>
    <t>Energieeinsparung</t>
  </si>
  <si>
    <t>Energy savings</t>
  </si>
  <si>
    <t>Tilbakebetalingstid</t>
  </si>
  <si>
    <t>Amortisationszeit</t>
  </si>
  <si>
    <t>Payback period</t>
  </si>
  <si>
    <t>Diagram vågrät förklaring</t>
  </si>
  <si>
    <t>År</t>
  </si>
  <si>
    <t>Jahr</t>
  </si>
  <si>
    <t>Year</t>
  </si>
  <si>
    <t>CO2_kg_kWh</t>
  </si>
  <si>
    <t>EU</t>
  </si>
  <si>
    <t>Price/kWh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</si>
</sst>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0\ &quot;kr&quot;;\-#,##0\ &quot;kr&quot;"/>
    <numFmt numFmtId="44" formatCode="_-* #,##0.00\ &quot;kr&quot;_-;\-* #,##0.00\ &quot;kr&quot;_-;_-* &quot;-&quot;??\ &quot;kr&quot;_-;_-@_-"/>
    <numFmt numFmtId="43" formatCode="_-* #,##0.00_-;\-* #,##0.00_-;_-* &quot;-&quot;??_-;_-@_-"/>
    <numFmt numFmtId="164" formatCode="0.0"/>
    <numFmt numFmtId="165" formatCode="0.0%"/>
    <numFmt numFmtId="166" formatCode="_-* #,##0.00\ [$kr-41D]_-;\-* #,##0.00\ [$kr-41D]_-;_-* &quot;-&quot;??\ [$kr-41D]_-;_-@_-"/>
    <numFmt numFmtId="167" formatCode="#,##0;[Red]#,##0"/>
    <numFmt numFmtId="168" formatCode="_-* #,##0_-;\-* #,##0_-;_-* &quot;-&quot;??_-;_-@_-"/>
  </numFmts>
  <fonts count="15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Garamond"/>
      <family val="1"/>
    </font>
    <font>
      <sz val="12"/>
      <name val="Garamond"/>
      <family val="1"/>
    </font>
    <font>
      <sz val="14"/>
      <name val="Garamond"/>
      <family val="1"/>
    </font>
    <font>
      <b/>
      <sz val="16"/>
      <name val="Garamond"/>
      <family val="1"/>
    </font>
    <font>
      <u/>
      <sz val="10"/>
      <color indexed="12"/>
      <name val="Arial"/>
      <family val="2"/>
    </font>
    <font>
      <sz val="10"/>
      <name val="Arial"/>
      <family val="2"/>
    </font>
    <font>
      <sz val="14"/>
      <name val="Arial"/>
      <family val="2"/>
    </font>
    <font>
      <b/>
      <sz val="10"/>
      <name val="Arial"/>
      <family val="2"/>
    </font>
    <font>
      <sz val="11"/>
      <color indexed="8"/>
      <name val="Calibri"/>
      <family val="2"/>
    </font>
    <font>
      <sz val="11"/>
      <color indexed="9"/>
      <name val="Calibri"/>
      <family val="2"/>
    </font>
    <font>
      <b/>
      <sz val="11"/>
      <color indexed="52"/>
      <name val="Calibri"/>
      <family val="2"/>
    </font>
    <font>
      <sz val="11"/>
      <color indexed="17"/>
      <name val="Calibri"/>
      <family val="2"/>
    </font>
    <font>
      <sz val="9"/>
      <name val="Arial"/>
      <family val="2"/>
    </font>
    <font>
      <sz val="11"/>
      <color indexed="20"/>
      <name val="Calibri"/>
      <family val="2"/>
    </font>
    <font>
      <i/>
      <sz val="11"/>
      <color indexed="23"/>
      <name val="Calibri"/>
      <family val="2"/>
    </font>
    <font>
      <sz val="11"/>
      <color indexed="62"/>
      <name val="Calibri"/>
      <family val="2"/>
    </font>
    <font>
      <b/>
      <sz val="11"/>
      <color indexed="9"/>
      <name val="Calibri"/>
      <family val="2"/>
    </font>
    <font>
      <sz val="11"/>
      <color indexed="52"/>
      <name val="Calibri"/>
      <family val="2"/>
    </font>
    <font>
      <sz val="11"/>
      <color indexed="6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9"/>
      <color indexed="18"/>
      <name val="Arial"/>
      <family val="2"/>
    </font>
    <font>
      <b/>
      <sz val="11"/>
      <color indexed="8"/>
      <name val="Calibri"/>
      <family val="2"/>
    </font>
    <font>
      <b/>
      <sz val="9"/>
      <name val="Arial"/>
      <family val="2"/>
    </font>
    <font>
      <b/>
      <sz val="11"/>
      <color indexed="63"/>
      <name val="Calibri"/>
      <family val="2"/>
    </font>
    <font>
      <sz val="11"/>
      <color indexed="10"/>
      <name val="Calibri"/>
      <family val="2"/>
    </font>
    <font>
      <i/>
      <sz val="9"/>
      <name val="Arial"/>
      <family val="2"/>
    </font>
    <font>
      <b/>
      <i/>
      <sz val="9"/>
      <name val="Arial"/>
      <family val="2"/>
    </font>
    <font>
      <b/>
      <sz val="9"/>
      <color indexed="9"/>
      <name val="Arial"/>
      <family val="2"/>
    </font>
    <font>
      <b/>
      <sz val="11"/>
      <name val="Arial"/>
      <family val="2"/>
    </font>
    <font>
      <sz val="12"/>
      <name val="Calibri"/>
      <family val="2"/>
      <scheme val="minor"/>
    </font>
    <font>
      <b/>
      <sz val="26"/>
      <name val="Corbel"/>
      <family val="2"/>
    </font>
    <font>
      <b/>
      <sz val="16"/>
      <color theme="0"/>
      <name val="Corbel"/>
      <family val="2"/>
    </font>
    <font>
      <b/>
      <sz val="18"/>
      <name val="Corbel"/>
      <family val="2"/>
    </font>
    <font>
      <sz val="16"/>
      <color theme="0"/>
      <name val="Corbel"/>
      <family val="2"/>
    </font>
    <font>
      <b/>
      <sz val="14"/>
      <color theme="0"/>
      <name val="Corbel"/>
      <family val="2"/>
    </font>
    <font>
      <sz val="10"/>
      <name val="Arial"/>
      <family val="2"/>
    </font>
    <font>
      <sz val="12"/>
      <name val="Arial"/>
      <family val="2"/>
    </font>
    <font>
      <sz val="11"/>
      <name val="Arial"/>
      <family val="2"/>
    </font>
    <font>
      <b/>
      <sz val="9"/>
      <color theme="0"/>
      <name val="Arial"/>
      <family val="2"/>
    </font>
    <font>
      <b/>
      <i/>
      <sz val="9"/>
      <color theme="1"/>
      <name val="Arial"/>
      <family val="2"/>
    </font>
    <font>
      <sz val="9"/>
      <color theme="1"/>
      <name val="Arial"/>
      <family val="2"/>
    </font>
    <font>
      <b/>
      <sz val="12"/>
      <color indexed="9"/>
      <name val="Arial"/>
      <family val="2"/>
    </font>
    <font>
      <b/>
      <sz val="16"/>
      <name val="Corbel"/>
      <family val="2"/>
    </font>
    <font>
      <b/>
      <sz val="18"/>
      <color theme="3"/>
      <name val="Cambria"/>
      <family val="2"/>
      <scheme val="major"/>
    </font>
    <font>
      <b/>
      <sz val="12"/>
      <name val="Corbel"/>
      <family val="2"/>
    </font>
    <font>
      <sz val="16"/>
      <name val="Corbel"/>
      <family val="2"/>
    </font>
    <font>
      <sz val="10"/>
      <name val="Corbel"/>
      <family val="2"/>
    </font>
    <font>
      <sz val="11"/>
      <name val="Corbel"/>
      <family val="2"/>
    </font>
    <font>
      <i/>
      <sz val="11"/>
      <name val="Corbel"/>
      <family val="2"/>
    </font>
    <font>
      <sz val="12"/>
      <name val="Corbel"/>
      <family val="2"/>
    </font>
    <font>
      <i/>
      <sz val="10"/>
      <name val="Corbel"/>
      <family val="2"/>
    </font>
    <font>
      <b/>
      <sz val="11"/>
      <name val="Corbel"/>
      <family val="2"/>
    </font>
    <font>
      <sz val="9"/>
      <name val="Corbel"/>
      <family val="2"/>
    </font>
    <font>
      <sz val="10"/>
      <color indexed="12"/>
      <name val="Corbel"/>
      <family val="2"/>
    </font>
    <font>
      <b/>
      <sz val="10"/>
      <name val="Corbel"/>
      <family val="2"/>
    </font>
    <font>
      <b/>
      <sz val="11"/>
      <color theme="1"/>
      <name val="Corbel"/>
      <family val="2"/>
    </font>
    <font>
      <sz val="11"/>
      <color theme="1"/>
      <name val="Corbel"/>
      <family val="2"/>
    </font>
    <font>
      <u/>
      <sz val="10"/>
      <color indexed="12"/>
      <name val="Corbel"/>
      <family val="2"/>
    </font>
    <font>
      <b/>
      <sz val="14"/>
      <color theme="1"/>
      <name val="Corbel"/>
      <family val="2"/>
    </font>
    <font>
      <sz val="14"/>
      <name val="Corbel"/>
      <family val="2"/>
    </font>
    <font>
      <u/>
      <sz val="10"/>
      <name val="Corbel"/>
      <family val="2"/>
    </font>
    <font>
      <b/>
      <sz val="9"/>
      <name val="Corbel"/>
      <family val="2"/>
    </font>
    <font>
      <sz val="10"/>
      <color theme="1"/>
      <name val="Corbel"/>
      <family val="2"/>
    </font>
    <font>
      <sz val="8"/>
      <color indexed="81"/>
      <name val="Corbel"/>
      <family val="2"/>
    </font>
    <font>
      <sz val="9"/>
      <color indexed="81"/>
      <name val="Corbel"/>
      <family val="2"/>
    </font>
    <font>
      <sz val="16"/>
      <name val="Garamond"/>
      <family val="1"/>
    </font>
    <font>
      <vertAlign val="subscript"/>
      <sz val="9"/>
      <name val="Corbel"/>
      <family val="2"/>
    </font>
    <font>
      <b/>
      <sz val="10"/>
      <name val="Garamond"/>
      <family val="1"/>
    </font>
    <font>
      <b/>
      <sz val="9"/>
      <color theme="1"/>
      <name val="Arial"/>
      <family val="2"/>
    </font>
    <font>
      <b/>
      <i/>
      <sz val="9"/>
      <name val="Corbel"/>
      <family val="2"/>
    </font>
    <font>
      <b/>
      <i/>
      <sz val="10"/>
      <name val="Garamond"/>
      <family val="1"/>
    </font>
    <font>
      <sz val="8"/>
      <name val="Arial"/>
      <family val="2"/>
    </font>
    <font>
      <sz val="8"/>
      <color indexed="81"/>
      <name val="Tahoma"/>
      <family val="2"/>
    </font>
    <font>
      <vertAlign val="superscript"/>
      <sz val="9"/>
      <name val="Corbel"/>
      <family val="2"/>
    </font>
    <font>
      <b/>
      <sz val="14"/>
      <name val="Corbel"/>
      <family val="2"/>
    </font>
    <font>
      <vertAlign val="superscript"/>
      <sz val="9"/>
      <color theme="1"/>
      <name val="Arial"/>
      <family val="2"/>
    </font>
    <font>
      <sz val="9"/>
      <color theme="0"/>
      <name val="Arial"/>
      <family val="2"/>
    </font>
    <font>
      <sz val="9"/>
      <color indexed="9"/>
      <name val="Arial"/>
      <family val="2"/>
    </font>
    <font>
      <i/>
      <sz val="9"/>
      <color theme="1"/>
      <name val="Arial"/>
      <family val="2"/>
    </font>
    <font>
      <sz val="9"/>
      <color indexed="81"/>
      <name val="Tahoma"/>
      <family val="2"/>
    </font>
    <font>
      <sz val="10"/>
      <color theme="0" tint="-0.249977111117893"/>
      <name val="Corbel"/>
      <family val="2"/>
    </font>
    <font>
      <sz val="10"/>
      <color theme="0" tint="-0.249977111117893"/>
      <name val="Arial"/>
      <family val="2"/>
    </font>
    <font>
      <sz val="10"/>
      <color rgb="FFFF0000"/>
      <name val="Corbel"/>
      <family val="2"/>
    </font>
    <font>
      <b/>
      <vertAlign val="superscript"/>
      <sz val="11"/>
      <name val="Corbel"/>
      <family val="2"/>
    </font>
    <font>
      <i/>
      <sz val="9"/>
      <name val="Corbel"/>
      <family val="2"/>
    </font>
    <font>
      <i/>
      <u/>
      <sz val="9"/>
      <name val="Corbel"/>
      <family val="2"/>
    </font>
    <font>
      <sz val="8"/>
      <color rgb="FFFF0000"/>
      <name val="Corbel"/>
      <family val="2"/>
    </font>
    <font>
      <sz val="9"/>
      <color rgb="FF000000"/>
      <name val="Tahoma"/>
      <family val="2"/>
    </font>
    <font>
      <sz val="8"/>
      <color rgb="FF000000"/>
      <name val="Corbel"/>
      <family val="2"/>
    </font>
    <font>
      <b/>
      <sz val="11"/>
      <name val="Calibri"/>
      <family val="2"/>
      <scheme val="minor"/>
    </font>
    <font>
      <sz val="10"/>
      <name val="Calibri"/>
      <family val="2"/>
      <scheme val="minor"/>
    </font>
    <font>
      <sz val="14"/>
      <name val="Calibri"/>
      <family val="2"/>
      <scheme val="minor"/>
    </font>
    <font>
      <i/>
      <sz val="10"/>
      <name val="Calibri"/>
      <family val="2"/>
      <scheme val="minor"/>
    </font>
    <font>
      <i/>
      <sz val="11"/>
      <name val="Calibri"/>
      <family val="2"/>
      <scheme val="minor"/>
    </font>
    <font>
      <sz val="10"/>
      <color theme="0"/>
      <name val="Calibri"/>
      <family val="2"/>
      <scheme val="minor"/>
    </font>
    <font>
      <sz val="10"/>
      <color theme="1"/>
      <name val="Calibri"/>
      <family val="2"/>
      <scheme val="minor"/>
    </font>
    <font>
      <sz val="48"/>
      <color theme="1"/>
      <name val="Calibri"/>
      <family val="2"/>
      <scheme val="minor"/>
    </font>
    <font>
      <u/>
      <sz val="10"/>
      <color theme="1"/>
      <name val="Calibri"/>
      <family val="2"/>
      <scheme val="minor"/>
    </font>
    <font>
      <sz val="10"/>
      <name val="Arial"/>
      <family val="2"/>
    </font>
    <font>
      <sz val="20"/>
      <name val="Arial"/>
      <family val="2"/>
    </font>
    <font>
      <sz val="9"/>
      <name val="Segoe UI"/>
      <family val="2"/>
    </font>
    <font>
      <sz val="22"/>
      <name val="Calibri"/>
      <family val="2"/>
      <scheme val="minor"/>
    </font>
    <font>
      <sz val="9"/>
      <color rgb="FF000000"/>
      <name val="Corbel"/>
      <family val="2"/>
    </font>
    <font>
      <sz val="10"/>
      <name val="KievitPro-Regular"/>
    </font>
    <font>
      <sz val="10"/>
      <name val="KievitPro-Light"/>
    </font>
    <font>
      <sz val="14"/>
      <name val="KievitPro-Regular"/>
    </font>
    <font>
      <sz val="16"/>
      <name val="KievitPro-Regular"/>
    </font>
    <font>
      <sz val="16"/>
      <color rgb="FF00656C"/>
      <name val="KievitPro-Regular"/>
    </font>
    <font>
      <sz val="16"/>
      <color theme="1" tint="0.34998626667073579"/>
      <name val="KievitPro-Regular"/>
    </font>
    <font>
      <i/>
      <sz val="16"/>
      <name val="KievitPro-Regular"/>
    </font>
    <font>
      <sz val="16"/>
      <name val="Calibri"/>
      <family val="2"/>
      <scheme val="minor"/>
    </font>
    <font>
      <sz val="16"/>
      <color theme="1"/>
      <name val="Calibri"/>
      <family val="2"/>
      <scheme val="minor"/>
    </font>
    <font>
      <sz val="20"/>
      <name val="KievitPro-Regular"/>
    </font>
    <font>
      <sz val="36"/>
      <color theme="1"/>
      <name val="KievitPro-Light"/>
    </font>
    <font>
      <b/>
      <sz val="9"/>
      <color rgb="FF000000"/>
      <name val="Tahoma"/>
      <family val="2"/>
    </font>
    <font>
      <sz val="10"/>
      <name val="Arial"/>
      <family val="2"/>
    </font>
    <font>
      <sz val="36"/>
      <name val="KievitPro-Light"/>
      <family val="2"/>
    </font>
    <font>
      <sz val="20"/>
      <name val="KievitPro-Medium"/>
      <family val="2"/>
    </font>
    <font>
      <sz val="20"/>
      <name val="KievitPro-Light"/>
      <family val="2"/>
    </font>
    <font>
      <i/>
      <sz val="20"/>
      <color rgb="FF00656C"/>
      <name val="KievitPro-Medium"/>
      <family val="2"/>
    </font>
    <font>
      <sz val="20"/>
      <color theme="1"/>
      <name val="KievitPro-Light"/>
      <family val="2"/>
    </font>
    <font>
      <i/>
      <sz val="20"/>
      <name val="KievitPro-Regular"/>
      <family val="2"/>
    </font>
    <font>
      <sz val="22"/>
      <name val="KievitPro-Regular"/>
      <family val="2"/>
    </font>
    <font>
      <sz val="20"/>
      <name val="KievitPro-Regular"/>
      <family val="2"/>
    </font>
    <font>
      <b/>
      <sz val="22"/>
      <name val="KievitPro-Regular"/>
      <family val="2"/>
    </font>
    <font>
      <sz val="22"/>
      <name val="KievitPro-Light"/>
      <family val="2"/>
    </font>
    <font>
      <b/>
      <sz val="22"/>
      <name val="KievitPro-Light"/>
      <family val="2"/>
    </font>
    <font>
      <sz val="20"/>
      <color theme="1"/>
      <name val="Calibri Light"/>
      <family val="2"/>
    </font>
    <font>
      <sz val="20"/>
      <name val="Calibri Light"/>
      <family val="2"/>
    </font>
    <font>
      <b/>
      <sz val="20"/>
      <name val="Calibri Light"/>
      <family val="2"/>
    </font>
    <font>
      <sz val="10"/>
      <name val="KievitPro-Regular"/>
      <family val="2"/>
    </font>
    <font>
      <b/>
      <sz val="11"/>
      <name val="KievitPro-Regular"/>
      <family val="2"/>
    </font>
    <font>
      <sz val="22"/>
      <name val="Calibri Light"/>
      <family val="2"/>
    </font>
    <font>
      <sz val="16"/>
      <color rgb="FF00656C"/>
      <name val="KievitPro-Regular"/>
      <family val="2"/>
    </font>
    <font>
      <sz val="24"/>
      <name val="KievitPro-Light"/>
      <family val="2"/>
    </font>
    <font>
      <vertAlign val="subscript"/>
      <sz val="20"/>
      <name val="KievitPro-Light"/>
      <family val="2"/>
    </font>
    <font>
      <b/>
      <sz val="11"/>
      <color rgb="FF000000"/>
      <name val="Calibri"/>
      <family val="2"/>
      <scheme val="minor"/>
    </font>
    <font>
      <b/>
      <sz val="11"/>
      <color theme="1"/>
      <name val="Calibri"/>
      <family val="2"/>
      <scheme val="minor"/>
    </font>
    <font>
      <sz val="11"/>
      <color rgb="FF000000"/>
      <name val="Calibri"/>
      <family val="2"/>
      <scheme val="minor"/>
    </font>
    <font>
      <sz val="11"/>
      <color rgb="FFFF0000"/>
      <name val="Calibri"/>
      <family val="2"/>
      <scheme val="minor"/>
    </font>
    <font>
      <sz val="11"/>
      <color rgb="FF000000"/>
      <name val="Calibri"/>
      <family val="2"/>
    </font>
    <font>
      <sz val="8"/>
      <name val="Arial"/>
      <family val="2"/>
    </font>
    <font>
      <sz val="10"/>
      <name val="Segoe UI"/>
      <family val="2"/>
    </font>
    <font>
      <sz val="28"/>
      <name val="KievitPro-Light"/>
      <family val="2"/>
    </font>
  </fonts>
  <fills count="4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patternFill>
    </fill>
    <fill>
      <patternFill patternType="solid">
        <fgColor indexed="22"/>
      </patternFill>
    </fill>
    <fill>
      <patternFill patternType="solid">
        <fgColor indexed="54"/>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8"/>
        <bgColor indexed="64"/>
      </patternFill>
    </fill>
    <fill>
      <patternFill patternType="solid">
        <fgColor rgb="FF6B2879"/>
        <bgColor indexed="64"/>
      </patternFill>
    </fill>
    <fill>
      <patternFill patternType="solid">
        <fgColor theme="0"/>
        <bgColor indexed="64"/>
      </patternFill>
    </fill>
    <fill>
      <patternFill patternType="solid">
        <fgColor rgb="FF008A2B"/>
        <bgColor indexed="64"/>
      </patternFill>
    </fill>
    <fill>
      <patternFill patternType="solid">
        <fgColor rgb="FF89B24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rgb="FF009999"/>
        <bgColor indexed="64"/>
      </patternFill>
    </fill>
    <fill>
      <patternFill patternType="solid">
        <fgColor rgb="FFC6DBCB"/>
        <bgColor indexed="64"/>
      </patternFill>
    </fill>
    <fill>
      <patternFill patternType="solid">
        <fgColor rgb="FF9B182F"/>
        <bgColor indexed="64"/>
      </patternFill>
    </fill>
    <fill>
      <patternFill patternType="solid">
        <fgColor rgb="FFD9C2BE"/>
        <bgColor indexed="64"/>
      </patternFill>
    </fill>
    <fill>
      <patternFill patternType="solid">
        <fgColor rgb="FF007E48"/>
        <bgColor indexed="64"/>
      </patternFill>
    </fill>
    <fill>
      <patternFill patternType="solid">
        <fgColor rgb="FFEFEDED"/>
        <bgColor indexed="64"/>
      </patternFill>
    </fill>
    <fill>
      <patternFill patternType="solid">
        <fgColor rgb="FFC00000"/>
        <bgColor indexed="64"/>
      </patternFill>
    </fill>
    <fill>
      <patternFill patternType="solid">
        <fgColor theme="5"/>
        <bgColor indexed="64"/>
      </patternFill>
    </fill>
    <fill>
      <patternFill patternType="solid">
        <fgColor rgb="FF00B05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00B0F0"/>
        <bgColor indexed="64"/>
      </patternFill>
    </fill>
  </fills>
  <borders count="54">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0"/>
      </left>
      <right style="thin">
        <color indexed="60"/>
      </right>
      <top style="thin">
        <color indexed="60"/>
      </top>
      <bottom style="thin">
        <color indexed="6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right/>
      <top style="thin">
        <color indexed="8"/>
      </top>
      <bottom style="thin">
        <color indexed="8"/>
      </bottom>
      <diagonal/>
    </border>
    <border>
      <left style="medium">
        <color indexed="8"/>
      </left>
      <right style="thin">
        <color indexed="60"/>
      </right>
      <top style="medium">
        <color indexed="8"/>
      </top>
      <bottom style="thin">
        <color indexed="60"/>
      </bottom>
      <diagonal/>
    </border>
    <border>
      <left style="medium">
        <color indexed="8"/>
      </left>
      <right/>
      <top/>
      <bottom style="medium">
        <color indexed="8"/>
      </bottom>
      <diagonal/>
    </border>
    <border>
      <left style="thin">
        <color indexed="63"/>
      </left>
      <right style="thin">
        <color indexed="63"/>
      </right>
      <top style="thin">
        <color indexed="63"/>
      </top>
      <bottom style="thin">
        <color indexed="63"/>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right style="thin">
        <color theme="0" tint="-0.14999847407452621"/>
      </right>
      <top/>
      <bottom/>
      <diagonal/>
    </border>
    <border>
      <left/>
      <right/>
      <top/>
      <bottom style="thin">
        <color indexed="64"/>
      </bottom>
      <diagonal/>
    </border>
    <border>
      <left style="thin">
        <color indexed="9"/>
      </left>
      <right style="thin">
        <color indexed="9"/>
      </right>
      <top style="thin">
        <color indexed="9"/>
      </top>
      <bottom/>
      <diagonal/>
    </border>
    <border>
      <left/>
      <right/>
      <top style="thin">
        <color indexed="64"/>
      </top>
      <bottom/>
      <diagonal/>
    </border>
    <border>
      <left/>
      <right/>
      <top style="thin">
        <color indexed="64"/>
      </top>
      <bottom style="thin">
        <color indexed="64"/>
      </bottom>
      <diagonal/>
    </border>
    <border>
      <left/>
      <right/>
      <top style="thin">
        <color theme="0" tint="-0.34998626667073579"/>
      </top>
      <bottom/>
      <diagonal/>
    </border>
    <border>
      <left/>
      <right/>
      <top/>
      <bottom style="thin">
        <color indexed="9"/>
      </bottom>
      <diagonal/>
    </border>
    <border>
      <left style="thin">
        <color theme="0" tint="-0.14996795556505021"/>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theme="0" tint="-0.14996795556505021"/>
      </right>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indexed="64"/>
      </bottom>
      <diagonal/>
    </border>
    <border>
      <left style="thin">
        <color theme="0" tint="-0.14996795556505021"/>
      </left>
      <right style="thin">
        <color indexed="64"/>
      </right>
      <top style="thin">
        <color indexed="64"/>
      </top>
      <bottom style="thin">
        <color theme="0" tint="-0.14996795556505021"/>
      </bottom>
      <diagonal/>
    </border>
    <border>
      <left/>
      <right/>
      <top/>
      <bottom style="medium">
        <color rgb="FF6B2879"/>
      </bottom>
      <diagonal/>
    </border>
    <border>
      <left style="thin">
        <color theme="0" tint="-0.14996795556505021"/>
      </left>
      <right style="thin">
        <color indexed="64"/>
      </right>
      <top style="thin">
        <color theme="0" tint="-0.14996795556505021"/>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theme="0" tint="-0.499984740745262"/>
      </left>
      <right/>
      <top style="thin">
        <color theme="0" tint="-0.499984740745262"/>
      </top>
      <bottom style="thin">
        <color indexed="64"/>
      </bottom>
      <diagonal/>
    </border>
    <border>
      <left style="thin">
        <color theme="0" tint="-0.499984740745262"/>
      </left>
      <right/>
      <top/>
      <bottom style="thin">
        <color theme="0" tint="-0.499984740745262"/>
      </bottom>
      <diagonal/>
    </border>
    <border>
      <left/>
      <right/>
      <top style="thin">
        <color theme="0" tint="-0.499984740745262"/>
      </top>
      <bottom style="thin">
        <color indexed="64"/>
      </bottom>
      <diagonal/>
    </border>
    <border>
      <left style="thin">
        <color rgb="FF000000"/>
      </left>
      <right style="thin">
        <color rgb="FF000000"/>
      </right>
      <top style="thin">
        <color rgb="FF000000"/>
      </top>
      <bottom/>
      <diagonal/>
    </border>
    <border>
      <left style="medium">
        <color rgb="FFE6E6E6"/>
      </left>
      <right style="medium">
        <color rgb="FFE6E6E6"/>
      </right>
      <top style="medium">
        <color rgb="FFE6E6E6"/>
      </top>
      <bottom style="medium">
        <color rgb="FFE6E6E6"/>
      </bottom>
      <diagonal/>
    </border>
    <border>
      <left style="thin">
        <color rgb="FF000000"/>
      </left>
      <right style="thin">
        <color rgb="FF000000"/>
      </right>
      <top/>
      <bottom style="thin">
        <color rgb="FF000000"/>
      </bottom>
      <diagonal/>
    </border>
    <border>
      <left style="medium">
        <color rgb="FFE6E6E6"/>
      </left>
      <right/>
      <top style="medium">
        <color rgb="FFE6E6E6"/>
      </top>
      <bottom style="medium">
        <color rgb="FFE6E6E6"/>
      </bottom>
      <diagonal/>
    </border>
    <border>
      <left style="medium">
        <color indexed="64"/>
      </left>
      <right style="medium">
        <color indexed="64"/>
      </right>
      <top style="medium">
        <color indexed="64"/>
      </top>
      <bottom style="medium">
        <color indexed="64"/>
      </bottom>
      <diagonal/>
    </border>
  </borders>
  <cellStyleXfs count="66">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5" borderId="0" applyNumberFormat="0" applyBorder="0" applyAlignment="0" applyProtection="0"/>
    <xf numFmtId="0" fontId="16" fillId="8" borderId="0" applyNumberFormat="0" applyBorder="0" applyAlignment="0" applyProtection="0"/>
    <xf numFmtId="0" fontId="16" fillId="11"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6" fillId="16" borderId="1" applyNumberFormat="0" applyFont="0" applyAlignment="0" applyProtection="0"/>
    <xf numFmtId="0" fontId="18" fillId="17" borderId="2" applyNumberFormat="0" applyAlignment="0" applyProtection="0"/>
    <xf numFmtId="0" fontId="19" fillId="4" borderId="0" applyNumberFormat="0" applyBorder="0" applyAlignment="0" applyProtection="0"/>
    <xf numFmtId="0" fontId="20" fillId="18" borderId="3" applyNumberFormat="0" applyFont="0" applyBorder="0" applyAlignment="0" applyProtection="0"/>
    <xf numFmtId="0" fontId="21" fillId="3"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22" borderId="0" applyNumberFormat="0" applyBorder="0" applyAlignment="0" applyProtection="0"/>
    <xf numFmtId="0" fontId="22" fillId="0" borderId="0" applyNumberFormat="0" applyFill="0" applyBorder="0" applyAlignment="0" applyProtection="0"/>
    <xf numFmtId="0" fontId="12" fillId="0" borderId="0" applyNumberFormat="0" applyFill="0" applyBorder="0" applyAlignment="0" applyProtection="0">
      <alignment vertical="top"/>
      <protection locked="0"/>
    </xf>
    <xf numFmtId="0" fontId="23" fillId="7" borderId="2" applyNumberFormat="0" applyAlignment="0" applyProtection="0"/>
    <xf numFmtId="0" fontId="24" fillId="23" borderId="4" applyNumberFormat="0" applyAlignment="0" applyProtection="0"/>
    <xf numFmtId="0" fontId="25" fillId="0" borderId="5" applyNumberFormat="0" applyFill="0" applyAlignment="0" applyProtection="0"/>
    <xf numFmtId="0" fontId="26" fillId="24" borderId="0" applyNumberFormat="0" applyBorder="0" applyAlignment="0" applyProtection="0"/>
    <xf numFmtId="0" fontId="27" fillId="0" borderId="0" applyNumberFormat="0" applyFill="0" applyBorder="0" applyAlignment="0" applyProtection="0"/>
    <xf numFmtId="0" fontId="28" fillId="0" borderId="6"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0" fillId="0" borderId="0" applyNumberFormat="0" applyFill="0" applyBorder="0" applyAlignment="0" applyProtection="0"/>
    <xf numFmtId="0" fontId="31" fillId="25" borderId="0" applyBorder="0"/>
    <xf numFmtId="0" fontId="14" fillId="25" borderId="0"/>
    <xf numFmtId="0" fontId="15" fillId="0" borderId="9">
      <alignment horizontal="right" vertical="center"/>
    </xf>
    <xf numFmtId="0" fontId="32" fillId="0" borderId="10" applyNumberFormat="0" applyFill="0" applyAlignment="0" applyProtection="0"/>
    <xf numFmtId="0" fontId="20" fillId="0" borderId="3"/>
    <xf numFmtId="0" fontId="20" fillId="0" borderId="11" applyAlignment="0"/>
    <xf numFmtId="0" fontId="15" fillId="0" borderId="12" applyNumberFormat="0" applyFill="0" applyBorder="0" applyAlignment="0" applyProtection="0"/>
    <xf numFmtId="0" fontId="33" fillId="0" borderId="3" applyNumberFormat="0" applyFill="0" applyBorder="0" applyAlignment="0" applyProtection="0"/>
    <xf numFmtId="0" fontId="31" fillId="25" borderId="13" applyNumberFormat="0" applyAlignment="0" applyProtection="0">
      <protection locked="0"/>
    </xf>
    <xf numFmtId="0" fontId="13" fillId="25" borderId="0">
      <alignment vertical="top"/>
    </xf>
    <xf numFmtId="0" fontId="33" fillId="0" borderId="0"/>
    <xf numFmtId="0" fontId="34" fillId="17" borderId="14" applyNumberFormat="0" applyAlignment="0" applyProtection="0"/>
    <xf numFmtId="0" fontId="35" fillId="0" borderId="0" applyNumberFormat="0" applyFill="0" applyBorder="0" applyAlignment="0" applyProtection="0"/>
    <xf numFmtId="9" fontId="46" fillId="0" borderId="0" applyFont="0" applyFill="0" applyBorder="0" applyAlignment="0" applyProtection="0"/>
    <xf numFmtId="0" fontId="13" fillId="0" borderId="0"/>
    <xf numFmtId="9" fontId="13" fillId="0" borderId="0" applyFont="0" applyFill="0" applyBorder="0" applyAlignment="0" applyProtection="0"/>
    <xf numFmtId="0" fontId="7" fillId="0" borderId="0"/>
    <xf numFmtId="0" fontId="7" fillId="0" borderId="0"/>
    <xf numFmtId="0" fontId="54" fillId="0" borderId="0" applyNumberFormat="0" applyFill="0" applyBorder="0" applyAlignment="0" applyProtection="0"/>
    <xf numFmtId="0" fontId="6" fillId="0" borderId="0"/>
    <xf numFmtId="0" fontId="6" fillId="0" borderId="0"/>
    <xf numFmtId="44" fontId="109" fillId="0" borderId="0" applyFont="0" applyFill="0" applyBorder="0" applyAlignment="0" applyProtection="0"/>
    <xf numFmtId="43" fontId="126" fillId="0" borderId="0" applyFont="0" applyFill="0" applyBorder="0" applyAlignment="0" applyProtection="0"/>
    <xf numFmtId="0" fontId="5" fillId="0" borderId="0"/>
    <xf numFmtId="0" fontId="3" fillId="0" borderId="0"/>
  </cellStyleXfs>
  <cellXfs count="746">
    <xf numFmtId="0" fontId="0" fillId="0" borderId="0" xfId="0"/>
    <xf numFmtId="0" fontId="41" fillId="27" borderId="0" xfId="0" applyFont="1" applyFill="1"/>
    <xf numFmtId="0" fontId="42" fillId="26" borderId="23" xfId="31" applyFont="1" applyFill="1" applyBorder="1" applyAlignment="1" applyProtection="1">
      <alignment horizontal="center" vertical="center"/>
    </xf>
    <xf numFmtId="0" fontId="42" fillId="26" borderId="0" xfId="0" applyFont="1" applyFill="1"/>
    <xf numFmtId="0" fontId="42" fillId="27" borderId="0" xfId="31" applyFont="1" applyFill="1" applyBorder="1" applyAlignment="1" applyProtection="1">
      <alignment horizontal="center" vertical="center"/>
    </xf>
    <xf numFmtId="0" fontId="42" fillId="26" borderId="0" xfId="31" applyFont="1" applyFill="1" applyAlignment="1" applyProtection="1">
      <alignment vertical="center"/>
    </xf>
    <xf numFmtId="0" fontId="42" fillId="26" borderId="0" xfId="55" applyFont="1" applyFill="1"/>
    <xf numFmtId="1" fontId="20" fillId="27" borderId="9" xfId="0" applyNumberFormat="1" applyFont="1" applyFill="1" applyBorder="1" applyAlignment="1" applyProtection="1">
      <alignment horizontal="center"/>
      <protection locked="0"/>
    </xf>
    <xf numFmtId="9" fontId="20" fillId="27" borderId="9" xfId="54" applyFont="1" applyFill="1" applyBorder="1" applyAlignment="1" applyProtection="1">
      <alignment horizontal="center"/>
      <protection locked="0"/>
    </xf>
    <xf numFmtId="0" fontId="42" fillId="26" borderId="0" xfId="31" applyFont="1" applyFill="1" applyAlignment="1" applyProtection="1">
      <alignment horizontal="center" vertical="center"/>
    </xf>
    <xf numFmtId="0" fontId="42" fillId="26" borderId="0" xfId="31" applyFont="1" applyFill="1" applyBorder="1" applyAlignment="1" applyProtection="1">
      <alignment horizontal="center" vertical="center"/>
    </xf>
    <xf numFmtId="2" fontId="20" fillId="27" borderId="9" xfId="0" applyNumberFormat="1" applyFont="1" applyFill="1" applyBorder="1" applyAlignment="1" applyProtection="1">
      <alignment horizontal="center"/>
      <protection locked="0"/>
    </xf>
    <xf numFmtId="3" fontId="20" fillId="27" borderId="9" xfId="0" applyNumberFormat="1" applyFont="1" applyFill="1" applyBorder="1" applyAlignment="1" applyProtection="1">
      <alignment horizontal="center"/>
      <protection locked="0"/>
    </xf>
    <xf numFmtId="0" fontId="57" fillId="27" borderId="0" xfId="55" applyFont="1" applyFill="1"/>
    <xf numFmtId="0" fontId="56" fillId="27" borderId="0" xfId="55" applyFont="1" applyFill="1"/>
    <xf numFmtId="1" fontId="59" fillId="27" borderId="0" xfId="55" applyNumberFormat="1" applyFont="1" applyFill="1" applyAlignment="1">
      <alignment horizontal="center"/>
    </xf>
    <xf numFmtId="0" fontId="58" fillId="27" borderId="0" xfId="55" applyFont="1" applyFill="1"/>
    <xf numFmtId="0" fontId="60" fillId="27" borderId="0" xfId="55" applyFont="1" applyFill="1"/>
    <xf numFmtId="0" fontId="62" fillId="27" borderId="0" xfId="55" applyFont="1" applyFill="1"/>
    <xf numFmtId="0" fontId="58" fillId="27" borderId="18" xfId="55" applyFont="1" applyFill="1" applyBorder="1"/>
    <xf numFmtId="0" fontId="62" fillId="27" borderId="18" xfId="55" applyFont="1" applyFill="1" applyBorder="1"/>
    <xf numFmtId="0" fontId="57" fillId="27" borderId="18" xfId="55" applyFont="1" applyFill="1" applyBorder="1"/>
    <xf numFmtId="0" fontId="63" fillId="27" borderId="0" xfId="55" applyFont="1" applyFill="1" applyAlignment="1">
      <alignment vertical="center"/>
    </xf>
    <xf numFmtId="0" fontId="57" fillId="27" borderId="18" xfId="0" applyFont="1" applyFill="1" applyBorder="1"/>
    <xf numFmtId="0" fontId="57" fillId="27" borderId="21" xfId="0" applyFont="1" applyFill="1" applyBorder="1" applyAlignment="1">
      <alignment vertical="center" wrapText="1"/>
    </xf>
    <xf numFmtId="0" fontId="57" fillId="27" borderId="21" xfId="0" applyFont="1" applyFill="1" applyBorder="1" applyAlignment="1">
      <alignment vertical="center"/>
    </xf>
    <xf numFmtId="0" fontId="57" fillId="27" borderId="21" xfId="0" applyFont="1" applyFill="1" applyBorder="1"/>
    <xf numFmtId="0" fontId="57" fillId="27" borderId="18" xfId="0" applyFont="1" applyFill="1" applyBorder="1" applyAlignment="1">
      <alignment vertical="center" wrapText="1"/>
    </xf>
    <xf numFmtId="0" fontId="57" fillId="27" borderId="0" xfId="0" applyFont="1" applyFill="1"/>
    <xf numFmtId="0" fontId="62" fillId="27" borderId="0" xfId="55" applyFont="1" applyFill="1" applyAlignment="1">
      <alignment horizontal="center"/>
    </xf>
    <xf numFmtId="0" fontId="58" fillId="27" borderId="0" xfId="55" applyFont="1" applyFill="1" applyAlignment="1">
      <alignment horizontal="center"/>
    </xf>
    <xf numFmtId="0" fontId="57" fillId="27" borderId="24" xfId="0" applyFont="1" applyFill="1" applyBorder="1"/>
    <xf numFmtId="0" fontId="68" fillId="27" borderId="0" xfId="31" applyFont="1" applyFill="1" applyAlignment="1" applyProtection="1"/>
    <xf numFmtId="0" fontId="71" fillId="27" borderId="0" xfId="31" applyFont="1" applyFill="1" applyAlignment="1" applyProtection="1"/>
    <xf numFmtId="0" fontId="65" fillId="27" borderId="0" xfId="0" applyFont="1" applyFill="1"/>
    <xf numFmtId="0" fontId="43" fillId="27" borderId="0" xfId="0" applyFont="1" applyFill="1"/>
    <xf numFmtId="0" fontId="43" fillId="27" borderId="0" xfId="55" applyFont="1" applyFill="1"/>
    <xf numFmtId="0" fontId="66" fillId="27" borderId="0" xfId="55" applyFont="1" applyFill="1"/>
    <xf numFmtId="0" fontId="57" fillId="27" borderId="24" xfId="55" applyFont="1" applyFill="1" applyBorder="1"/>
    <xf numFmtId="0" fontId="65" fillId="27" borderId="0" xfId="55" applyFont="1" applyFill="1"/>
    <xf numFmtId="0" fontId="57" fillId="27" borderId="0" xfId="55" applyFont="1" applyFill="1" applyAlignment="1">
      <alignment horizontal="center" vertical="center"/>
    </xf>
    <xf numFmtId="0" fontId="57" fillId="27" borderId="0" xfId="55" applyFont="1" applyFill="1" applyAlignment="1">
      <alignment vertical="center"/>
    </xf>
    <xf numFmtId="0" fontId="57" fillId="27" borderId="0" xfId="55" applyFont="1" applyFill="1" applyAlignment="1">
      <alignment horizontal="left" vertical="center" wrapText="1"/>
    </xf>
    <xf numFmtId="0" fontId="57" fillId="27" borderId="0" xfId="55" applyFont="1" applyFill="1" applyAlignment="1">
      <alignment vertical="center" wrapText="1"/>
    </xf>
    <xf numFmtId="0" fontId="57" fillId="27" borderId="0" xfId="55" applyFont="1" applyFill="1" applyAlignment="1">
      <alignment horizontal="center" vertical="center" wrapText="1"/>
    </xf>
    <xf numFmtId="0" fontId="61" fillId="27" borderId="0" xfId="55" applyFont="1" applyFill="1" applyAlignment="1">
      <alignment horizontal="left" vertical="center"/>
    </xf>
    <xf numFmtId="0" fontId="57" fillId="27" borderId="0" xfId="55" applyFont="1" applyFill="1" applyAlignment="1">
      <alignment horizontal="left" vertical="center"/>
    </xf>
    <xf numFmtId="0" fontId="66" fillId="27" borderId="0" xfId="55" applyFont="1" applyFill="1" applyAlignment="1">
      <alignment vertical="top"/>
    </xf>
    <xf numFmtId="0" fontId="66" fillId="27" borderId="0" xfId="55" applyFont="1" applyFill="1" applyAlignment="1">
      <alignment vertical="top" wrapText="1"/>
    </xf>
    <xf numFmtId="0" fontId="66" fillId="27" borderId="0" xfId="55" applyFont="1" applyFill="1" applyAlignment="1">
      <alignment wrapText="1"/>
    </xf>
    <xf numFmtId="0" fontId="57" fillId="27" borderId="0" xfId="55" applyFont="1" applyFill="1" applyAlignment="1">
      <alignment vertical="top" wrapText="1"/>
    </xf>
    <xf numFmtId="0" fontId="73" fillId="27" borderId="0" xfId="55" applyFont="1" applyFill="1" applyAlignment="1">
      <alignment horizontal="center" vertical="center"/>
    </xf>
    <xf numFmtId="164" fontId="63" fillId="27" borderId="0" xfId="55" applyNumberFormat="1" applyFont="1" applyFill="1" applyAlignment="1">
      <alignment horizontal="left"/>
    </xf>
    <xf numFmtId="0" fontId="57" fillId="27" borderId="0" xfId="55" applyFont="1" applyFill="1" applyAlignment="1">
      <alignment horizontal="left"/>
    </xf>
    <xf numFmtId="164" fontId="58" fillId="27" borderId="0" xfId="55" applyNumberFormat="1" applyFont="1" applyFill="1" applyAlignment="1">
      <alignment horizontal="center"/>
    </xf>
    <xf numFmtId="3" fontId="58" fillId="27" borderId="0" xfId="55" applyNumberFormat="1" applyFont="1" applyFill="1"/>
    <xf numFmtId="3" fontId="58" fillId="27" borderId="0" xfId="55" applyNumberFormat="1" applyFont="1" applyFill="1" applyAlignment="1">
      <alignment horizontal="left"/>
    </xf>
    <xf numFmtId="0" fontId="58" fillId="27" borderId="0" xfId="55" applyFont="1" applyFill="1" applyAlignment="1">
      <alignment horizontal="left"/>
    </xf>
    <xf numFmtId="0" fontId="58" fillId="27" borderId="0" xfId="55" applyFont="1" applyFill="1" applyAlignment="1">
      <alignment horizontal="left" vertical="center"/>
    </xf>
    <xf numFmtId="164" fontId="58" fillId="27" borderId="0" xfId="55" applyNumberFormat="1" applyFont="1" applyFill="1" applyAlignment="1">
      <alignment horizontal="center" vertical="center"/>
    </xf>
    <xf numFmtId="10" fontId="20" fillId="27" borderId="9" xfId="54" applyNumberFormat="1" applyFont="1" applyFill="1" applyBorder="1" applyAlignment="1" applyProtection="1">
      <alignment horizontal="center"/>
      <protection locked="0"/>
    </xf>
    <xf numFmtId="0" fontId="43" fillId="27" borderId="0" xfId="0" applyFont="1" applyFill="1" applyAlignment="1">
      <alignment horizontal="left"/>
    </xf>
    <xf numFmtId="0" fontId="57" fillId="27" borderId="21" xfId="0" applyFont="1" applyFill="1" applyBorder="1" applyAlignment="1">
      <alignment horizontal="left" vertical="center" wrapText="1"/>
    </xf>
    <xf numFmtId="0" fontId="57" fillId="27" borderId="18" xfId="0" applyFont="1" applyFill="1" applyBorder="1" applyAlignment="1">
      <alignment horizontal="left" vertical="center" wrapText="1"/>
    </xf>
    <xf numFmtId="3" fontId="59" fillId="27" borderId="0" xfId="55" applyNumberFormat="1" applyFont="1" applyFill="1" applyAlignment="1">
      <alignment horizontal="center"/>
    </xf>
    <xf numFmtId="0" fontId="61" fillId="27" borderId="0" xfId="55" applyFont="1" applyFill="1"/>
    <xf numFmtId="0" fontId="57" fillId="27" borderId="0" xfId="55" applyFont="1" applyFill="1" applyAlignment="1">
      <alignment horizontal="left" vertical="top" wrapText="1"/>
    </xf>
    <xf numFmtId="0" fontId="57" fillId="27" borderId="18" xfId="55" applyFont="1" applyFill="1" applyBorder="1" applyAlignment="1" applyProtection="1">
      <alignment horizontal="left"/>
      <protection locked="0"/>
    </xf>
    <xf numFmtId="164" fontId="63" fillId="27" borderId="18" xfId="55" applyNumberFormat="1" applyFont="1" applyFill="1" applyBorder="1" applyAlignment="1" applyProtection="1">
      <alignment horizontal="left"/>
      <protection locked="0"/>
    </xf>
    <xf numFmtId="164" fontId="63" fillId="27" borderId="21" xfId="55" applyNumberFormat="1" applyFont="1" applyFill="1" applyBorder="1" applyAlignment="1" applyProtection="1">
      <alignment horizontal="left"/>
      <protection locked="0"/>
    </xf>
    <xf numFmtId="0" fontId="62" fillId="0" borderId="25" xfId="0" applyFont="1" applyBorder="1" applyAlignment="1" applyProtection="1">
      <alignment horizontal="center"/>
      <protection locked="0"/>
    </xf>
    <xf numFmtId="0" fontId="63" fillId="0" borderId="9" xfId="0" applyFont="1" applyBorder="1" applyAlignment="1" applyProtection="1">
      <alignment horizontal="center" wrapText="1"/>
      <protection locked="0"/>
    </xf>
    <xf numFmtId="0" fontId="65" fillId="27" borderId="0" xfId="0" applyFont="1" applyFill="1" applyAlignment="1">
      <alignment horizontal="center"/>
    </xf>
    <xf numFmtId="0" fontId="57" fillId="27" borderId="21" xfId="0" applyFont="1" applyFill="1" applyBorder="1" applyAlignment="1">
      <alignment horizontal="center" vertical="center"/>
    </xf>
    <xf numFmtId="0" fontId="57" fillId="27" borderId="21" xfId="0" applyFont="1" applyFill="1" applyBorder="1" applyAlignment="1">
      <alignment horizontal="center"/>
    </xf>
    <xf numFmtId="0" fontId="57" fillId="32" borderId="21" xfId="0" applyFont="1" applyFill="1" applyBorder="1"/>
    <xf numFmtId="0" fontId="57" fillId="27" borderId="20" xfId="0" applyFont="1" applyFill="1" applyBorder="1" applyAlignment="1">
      <alignment horizontal="center" vertical="center"/>
    </xf>
    <xf numFmtId="0" fontId="57" fillId="27" borderId="20" xfId="0" applyFont="1" applyFill="1" applyBorder="1" applyAlignment="1">
      <alignment vertical="center"/>
    </xf>
    <xf numFmtId="0" fontId="57" fillId="27" borderId="21" xfId="0" applyFont="1" applyFill="1" applyBorder="1" applyAlignment="1">
      <alignment horizontal="center" vertical="center" wrapText="1"/>
    </xf>
    <xf numFmtId="0" fontId="61" fillId="27" borderId="18" xfId="0" applyFont="1" applyFill="1" applyBorder="1" applyAlignment="1">
      <alignment horizontal="left" vertical="center"/>
    </xf>
    <xf numFmtId="0" fontId="57" fillId="27" borderId="21" xfId="0" applyFont="1" applyFill="1" applyBorder="1" applyAlignment="1">
      <alignment horizontal="left" vertical="center"/>
    </xf>
    <xf numFmtId="0" fontId="66" fillId="31" borderId="18" xfId="0" applyFont="1" applyFill="1" applyBorder="1" applyAlignment="1">
      <alignment vertical="top"/>
    </xf>
    <xf numFmtId="0" fontId="66" fillId="31" borderId="18" xfId="0" applyFont="1" applyFill="1" applyBorder="1" applyAlignment="1">
      <alignment vertical="top" wrapText="1"/>
    </xf>
    <xf numFmtId="0" fontId="66" fillId="31" borderId="18" xfId="0" applyFont="1" applyFill="1" applyBorder="1" applyAlignment="1">
      <alignment wrapText="1"/>
    </xf>
    <xf numFmtId="0" fontId="57" fillId="27" borderId="21" xfId="0" applyFont="1" applyFill="1" applyBorder="1" applyAlignment="1">
      <alignment vertical="top" wrapText="1"/>
    </xf>
    <xf numFmtId="0" fontId="73" fillId="27" borderId="21" xfId="0" applyFont="1" applyFill="1" applyBorder="1" applyAlignment="1">
      <alignment horizontal="center" vertical="center"/>
    </xf>
    <xf numFmtId="0" fontId="57" fillId="27" borderId="38" xfId="0" applyFont="1" applyFill="1" applyBorder="1" applyAlignment="1">
      <alignment horizontal="center"/>
    </xf>
    <xf numFmtId="0" fontId="58" fillId="0" borderId="0" xfId="60" applyFont="1"/>
    <xf numFmtId="0" fontId="42" fillId="33" borderId="0" xfId="31" applyFont="1" applyFill="1" applyBorder="1" applyAlignment="1" applyProtection="1">
      <alignment horizontal="left" vertical="center"/>
    </xf>
    <xf numFmtId="0" fontId="42" fillId="33" borderId="0" xfId="31" applyFont="1" applyFill="1" applyBorder="1" applyAlignment="1" applyProtection="1">
      <alignment horizontal="center" vertical="center"/>
    </xf>
    <xf numFmtId="0" fontId="42" fillId="34" borderId="0" xfId="31" applyFont="1" applyFill="1" applyBorder="1" applyAlignment="1" applyProtection="1">
      <alignment horizontal="left" vertical="center"/>
    </xf>
    <xf numFmtId="0" fontId="42" fillId="34" borderId="0" xfId="31" applyFont="1" applyFill="1" applyBorder="1" applyAlignment="1" applyProtection="1">
      <alignment horizontal="center" vertical="center"/>
    </xf>
    <xf numFmtId="0" fontId="41" fillId="27" borderId="0" xfId="55" applyFont="1" applyFill="1"/>
    <xf numFmtId="165" fontId="61" fillId="27" borderId="0" xfId="56" applyNumberFormat="1" applyFont="1" applyFill="1" applyAlignment="1">
      <alignment horizontal="left"/>
    </xf>
    <xf numFmtId="0" fontId="59" fillId="27" borderId="0" xfId="55" applyFont="1" applyFill="1" applyAlignment="1">
      <alignment horizontal="center"/>
    </xf>
    <xf numFmtId="3" fontId="57" fillId="27" borderId="0" xfId="55" applyNumberFormat="1" applyFont="1" applyFill="1" applyAlignment="1">
      <alignment horizontal="center"/>
    </xf>
    <xf numFmtId="0" fontId="62" fillId="27" borderId="0" xfId="55" applyFont="1" applyFill="1" applyAlignment="1">
      <alignment horizontal="left"/>
    </xf>
    <xf numFmtId="0" fontId="57" fillId="27" borderId="0" xfId="55" applyFont="1" applyFill="1" applyAlignment="1">
      <alignment horizontal="center"/>
    </xf>
    <xf numFmtId="0" fontId="57" fillId="0" borderId="0" xfId="55" applyFont="1"/>
    <xf numFmtId="0" fontId="57" fillId="27" borderId="17" xfId="55" applyFont="1" applyFill="1" applyBorder="1"/>
    <xf numFmtId="0" fontId="43" fillId="27" borderId="41" xfId="55" applyFont="1" applyFill="1" applyBorder="1"/>
    <xf numFmtId="2" fontId="58" fillId="27" borderId="0" xfId="55" applyNumberFormat="1" applyFont="1" applyFill="1" applyAlignment="1">
      <alignment horizontal="right"/>
    </xf>
    <xf numFmtId="0" fontId="85" fillId="27" borderId="0" xfId="55" applyFont="1" applyFill="1"/>
    <xf numFmtId="0" fontId="63" fillId="27" borderId="21" xfId="55" applyFont="1" applyFill="1" applyBorder="1" applyAlignment="1" applyProtection="1">
      <alignment horizontal="left"/>
      <protection locked="0"/>
    </xf>
    <xf numFmtId="0" fontId="63" fillId="27" borderId="0" xfId="55" applyFont="1" applyFill="1" applyAlignment="1" applyProtection="1">
      <alignment horizontal="left"/>
      <protection locked="0"/>
    </xf>
    <xf numFmtId="0" fontId="57" fillId="27" borderId="0" xfId="55" applyFont="1" applyFill="1" applyAlignment="1" applyProtection="1">
      <alignment horizontal="left"/>
      <protection locked="0"/>
    </xf>
    <xf numFmtId="2" fontId="58" fillId="27" borderId="0" xfId="55" applyNumberFormat="1" applyFont="1" applyFill="1" applyAlignment="1">
      <alignment horizontal="right" vertical="center"/>
    </xf>
    <xf numFmtId="0" fontId="58" fillId="27" borderId="0" xfId="55" applyFont="1" applyFill="1" applyAlignment="1">
      <alignment vertical="center"/>
    </xf>
    <xf numFmtId="0" fontId="9" fillId="30" borderId="0" xfId="0" applyFont="1" applyFill="1"/>
    <xf numFmtId="0" fontId="44" fillId="30" borderId="0" xfId="0" applyFont="1" applyFill="1" applyAlignment="1">
      <alignment horizontal="left" vertical="center"/>
    </xf>
    <xf numFmtId="0" fontId="72" fillId="30" borderId="0" xfId="0" applyFont="1" applyFill="1" applyAlignment="1">
      <alignment horizontal="left"/>
    </xf>
    <xf numFmtId="2" fontId="63" fillId="30" borderId="0" xfId="0" applyNumberFormat="1" applyFont="1" applyFill="1" applyAlignment="1">
      <alignment horizontal="right"/>
    </xf>
    <xf numFmtId="0" fontId="72" fillId="30" borderId="35" xfId="0" applyFont="1" applyFill="1" applyBorder="1"/>
    <xf numFmtId="0" fontId="72" fillId="30" borderId="36" xfId="0" applyFont="1" applyFill="1" applyBorder="1"/>
    <xf numFmtId="0" fontId="72" fillId="30" borderId="37" xfId="0" applyFont="1" applyFill="1" applyBorder="1"/>
    <xf numFmtId="0" fontId="63" fillId="30" borderId="35" xfId="0" applyFont="1" applyFill="1" applyBorder="1" applyAlignment="1">
      <alignment horizontal="left"/>
    </xf>
    <xf numFmtId="0" fontId="63" fillId="30" borderId="36" xfId="0" applyFont="1" applyFill="1" applyBorder="1" applyAlignment="1">
      <alignment horizontal="left"/>
    </xf>
    <xf numFmtId="0" fontId="63" fillId="30" borderId="37" xfId="0" applyFont="1" applyFill="1" applyBorder="1" applyAlignment="1">
      <alignment horizontal="left"/>
    </xf>
    <xf numFmtId="0" fontId="63" fillId="30" borderId="0" xfId="0" applyFont="1" applyFill="1" applyAlignment="1">
      <alignment horizontal="left"/>
    </xf>
    <xf numFmtId="0" fontId="80" fillId="30" borderId="35" xfId="0" applyFont="1" applyFill="1" applyBorder="1" applyAlignment="1">
      <alignment horizontal="left"/>
    </xf>
    <xf numFmtId="2" fontId="63" fillId="30" borderId="0" xfId="0" applyNumberFormat="1" applyFont="1" applyFill="1" applyAlignment="1">
      <alignment horizontal="right" wrapText="1"/>
    </xf>
    <xf numFmtId="0" fontId="63" fillId="30" borderId="36" xfId="0" applyFont="1" applyFill="1" applyBorder="1" applyAlignment="1">
      <alignment horizontal="left" wrapText="1"/>
    </xf>
    <xf numFmtId="0" fontId="63" fillId="30" borderId="37" xfId="0" applyFont="1" applyFill="1" applyBorder="1" applyAlignment="1">
      <alignment horizontal="left" wrapText="1"/>
    </xf>
    <xf numFmtId="2" fontId="20" fillId="30" borderId="0" xfId="0" applyNumberFormat="1" applyFont="1" applyFill="1" applyAlignment="1">
      <alignment horizontal="right" vertical="center"/>
    </xf>
    <xf numFmtId="0" fontId="33" fillId="30" borderId="0" xfId="0" applyFont="1" applyFill="1" applyAlignment="1">
      <alignment horizontal="left" vertical="center" wrapText="1"/>
    </xf>
    <xf numFmtId="0" fontId="10" fillId="29" borderId="0" xfId="0" applyFont="1" applyFill="1"/>
    <xf numFmtId="0" fontId="40" fillId="29" borderId="0" xfId="0" applyFont="1" applyFill="1"/>
    <xf numFmtId="0" fontId="8" fillId="29" borderId="0" xfId="0" applyFont="1" applyFill="1"/>
    <xf numFmtId="0" fontId="8" fillId="29" borderId="0" xfId="0" applyFont="1" applyFill="1" applyAlignment="1">
      <alignment horizontal="center"/>
    </xf>
    <xf numFmtId="2" fontId="20" fillId="30" borderId="0" xfId="0" applyNumberFormat="1" applyFont="1" applyFill="1" applyAlignment="1">
      <alignment horizontal="center"/>
    </xf>
    <xf numFmtId="0" fontId="20" fillId="30" borderId="0" xfId="0" applyFont="1" applyFill="1" applyAlignment="1">
      <alignment vertical="center"/>
    </xf>
    <xf numFmtId="2" fontId="63" fillId="30" borderId="0" xfId="0" applyNumberFormat="1" applyFont="1" applyFill="1" applyAlignment="1">
      <alignment horizontal="right" vertical="center"/>
    </xf>
    <xf numFmtId="0" fontId="63" fillId="30" borderId="0" xfId="0" applyFont="1" applyFill="1" applyAlignment="1">
      <alignment horizontal="left" vertical="center"/>
    </xf>
    <xf numFmtId="0" fontId="63" fillId="30" borderId="0" xfId="0" applyFont="1" applyFill="1" applyAlignment="1">
      <alignment vertical="center"/>
    </xf>
    <xf numFmtId="0" fontId="85" fillId="30" borderId="0" xfId="0" applyFont="1" applyFill="1" applyAlignment="1">
      <alignment horizontal="left" vertical="center"/>
    </xf>
    <xf numFmtId="0" fontId="55" fillId="30" borderId="0" xfId="0" applyFont="1" applyFill="1" applyAlignment="1">
      <alignment horizontal="left" vertical="center" wrapText="1"/>
    </xf>
    <xf numFmtId="0" fontId="55" fillId="30" borderId="0" xfId="0" applyFont="1" applyFill="1" applyAlignment="1">
      <alignment horizontal="left" vertical="center"/>
    </xf>
    <xf numFmtId="0" fontId="20" fillId="30" borderId="0" xfId="0" applyFont="1" applyFill="1"/>
    <xf numFmtId="0" fontId="33" fillId="30" borderId="18" xfId="0" applyFont="1" applyFill="1" applyBorder="1"/>
    <xf numFmtId="0" fontId="33" fillId="30" borderId="0" xfId="0" applyFont="1" applyFill="1"/>
    <xf numFmtId="0" fontId="37" fillId="30" borderId="18" xfId="0" applyFont="1" applyFill="1" applyBorder="1" applyAlignment="1">
      <alignment horizontal="left"/>
    </xf>
    <xf numFmtId="0" fontId="37" fillId="30" borderId="0" xfId="0" applyFont="1" applyFill="1" applyAlignment="1">
      <alignment horizontal="left"/>
    </xf>
    <xf numFmtId="0" fontId="36" fillId="30" borderId="0" xfId="0" applyFont="1" applyFill="1" applyAlignment="1">
      <alignment horizontal="left"/>
    </xf>
    <xf numFmtId="0" fontId="36" fillId="30" borderId="0" xfId="0" applyFont="1" applyFill="1"/>
    <xf numFmtId="0" fontId="51" fillId="30" borderId="0" xfId="0" applyFont="1" applyFill="1"/>
    <xf numFmtId="0" fontId="33" fillId="30" borderId="29" xfId="0" applyFont="1" applyFill="1" applyBorder="1" applyAlignment="1">
      <alignment horizontal="left"/>
    </xf>
    <xf numFmtId="0" fontId="33" fillId="30" borderId="28" xfId="0" applyFont="1" applyFill="1" applyBorder="1" applyAlignment="1">
      <alignment horizontal="left"/>
    </xf>
    <xf numFmtId="0" fontId="51" fillId="30" borderId="0" xfId="0" applyFont="1" applyFill="1" applyAlignment="1">
      <alignment horizontal="left"/>
    </xf>
    <xf numFmtId="0" fontId="51" fillId="30" borderId="29" xfId="0" applyFont="1" applyFill="1" applyBorder="1" applyAlignment="1">
      <alignment horizontal="left"/>
    </xf>
    <xf numFmtId="1" fontId="51" fillId="30" borderId="0" xfId="0" applyNumberFormat="1" applyFont="1" applyFill="1"/>
    <xf numFmtId="0" fontId="79" fillId="30" borderId="0" xfId="0" applyFont="1" applyFill="1"/>
    <xf numFmtId="0" fontId="33" fillId="30" borderId="26" xfId="0" applyFont="1" applyFill="1" applyBorder="1" applyAlignment="1">
      <alignment horizontal="left"/>
    </xf>
    <xf numFmtId="0" fontId="37" fillId="30" borderId="21" xfId="0" applyFont="1" applyFill="1" applyBorder="1" applyAlignment="1">
      <alignment horizontal="left"/>
    </xf>
    <xf numFmtId="0" fontId="33" fillId="30" borderId="21" xfId="0" applyFont="1" applyFill="1" applyBorder="1"/>
    <xf numFmtId="0" fontId="50" fillId="30" borderId="0" xfId="0" applyFont="1" applyFill="1"/>
    <xf numFmtId="0" fontId="50" fillId="30" borderId="29" xfId="0" applyFont="1" applyFill="1" applyBorder="1" applyAlignment="1">
      <alignment horizontal="left"/>
    </xf>
    <xf numFmtId="0" fontId="50" fillId="30" borderId="0" xfId="0" applyFont="1" applyFill="1" applyAlignment="1">
      <alignment horizontal="left"/>
    </xf>
    <xf numFmtId="0" fontId="50" fillId="30" borderId="28" xfId="0" applyFont="1" applyFill="1" applyBorder="1" applyAlignment="1">
      <alignment horizontal="left"/>
    </xf>
    <xf numFmtId="0" fontId="50" fillId="30" borderId="18" xfId="0" applyFont="1" applyFill="1" applyBorder="1" applyAlignment="1">
      <alignment horizontal="left"/>
    </xf>
    <xf numFmtId="0" fontId="50" fillId="30" borderId="18" xfId="0" applyFont="1" applyFill="1" applyBorder="1"/>
    <xf numFmtId="0" fontId="37" fillId="30" borderId="26" xfId="0" applyFont="1" applyFill="1" applyBorder="1" applyAlignment="1">
      <alignment horizontal="left"/>
    </xf>
    <xf numFmtId="0" fontId="50" fillId="30" borderId="26" xfId="0" applyFont="1" applyFill="1" applyBorder="1" applyAlignment="1">
      <alignment horizontal="left"/>
    </xf>
    <xf numFmtId="0" fontId="50" fillId="30" borderId="21" xfId="0" applyFont="1" applyFill="1" applyBorder="1" applyAlignment="1">
      <alignment horizontal="left"/>
    </xf>
    <xf numFmtId="0" fontId="51" fillId="30" borderId="21" xfId="0" applyFont="1" applyFill="1" applyBorder="1"/>
    <xf numFmtId="0" fontId="8" fillId="28" borderId="0" xfId="0" applyFont="1" applyFill="1"/>
    <xf numFmtId="0" fontId="52" fillId="28" borderId="0" xfId="0" applyFont="1" applyFill="1" applyAlignment="1">
      <alignment vertical="center"/>
    </xf>
    <xf numFmtId="0" fontId="63" fillId="30" borderId="0" xfId="0" applyFont="1" applyFill="1" applyAlignment="1">
      <alignment horizontal="center"/>
    </xf>
    <xf numFmtId="0" fontId="63" fillId="0" borderId="25" xfId="0" applyFont="1" applyBorder="1" applyAlignment="1" applyProtection="1">
      <alignment horizontal="center" wrapText="1"/>
      <protection locked="0"/>
    </xf>
    <xf numFmtId="0" fontId="63" fillId="30" borderId="0" xfId="0" applyFont="1" applyFill="1" applyAlignment="1">
      <alignment horizontal="center" wrapText="1"/>
    </xf>
    <xf numFmtId="0" fontId="0" fillId="27" borderId="0" xfId="0" applyFill="1"/>
    <xf numFmtId="0" fontId="42" fillId="27" borderId="0" xfId="0" applyFont="1" applyFill="1"/>
    <xf numFmtId="0" fontId="42" fillId="27" borderId="0" xfId="0" applyFont="1" applyFill="1" applyAlignment="1">
      <alignment horizontal="center" vertical="center"/>
    </xf>
    <xf numFmtId="0" fontId="20" fillId="30" borderId="0" xfId="0" applyFont="1" applyFill="1" applyAlignment="1">
      <alignment horizontal="center"/>
    </xf>
    <xf numFmtId="0" fontId="8" fillId="27" borderId="0" xfId="0" applyFont="1" applyFill="1"/>
    <xf numFmtId="0" fontId="9" fillId="27" borderId="0" xfId="0" applyFont="1" applyFill="1"/>
    <xf numFmtId="1" fontId="63" fillId="30" borderId="0" xfId="0" applyNumberFormat="1" applyFont="1" applyFill="1" applyAlignment="1">
      <alignment horizontal="left"/>
    </xf>
    <xf numFmtId="2" fontId="63" fillId="30" borderId="0" xfId="0" applyNumberFormat="1" applyFont="1" applyFill="1" applyAlignment="1">
      <alignment horizontal="center"/>
    </xf>
    <xf numFmtId="2" fontId="63" fillId="30" borderId="0" xfId="0" applyNumberFormat="1" applyFont="1" applyFill="1"/>
    <xf numFmtId="1" fontId="20" fillId="30" borderId="0" xfId="0" applyNumberFormat="1" applyFont="1" applyFill="1" applyAlignment="1">
      <alignment horizontal="center"/>
    </xf>
    <xf numFmtId="0" fontId="63" fillId="30" borderId="0" xfId="0" applyFont="1" applyFill="1" applyAlignment="1">
      <alignment horizontal="left" wrapText="1"/>
    </xf>
    <xf numFmtId="0" fontId="9" fillId="27" borderId="0" xfId="0" applyFont="1" applyFill="1" applyAlignment="1">
      <alignment wrapText="1"/>
    </xf>
    <xf numFmtId="0" fontId="20" fillId="30" borderId="0" xfId="0" applyFont="1" applyFill="1" applyAlignment="1">
      <alignment horizontal="left" vertical="center" wrapText="1"/>
    </xf>
    <xf numFmtId="0" fontId="10" fillId="27" borderId="0" xfId="0" applyFont="1" applyFill="1"/>
    <xf numFmtId="0" fontId="11" fillId="27" borderId="0" xfId="0" applyFont="1" applyFill="1"/>
    <xf numFmtId="5" fontId="33" fillId="30" borderId="0" xfId="0" applyNumberFormat="1" applyFont="1" applyFill="1" applyAlignment="1">
      <alignment horizontal="center"/>
    </xf>
    <xf numFmtId="0" fontId="78" fillId="27" borderId="0" xfId="0" applyFont="1" applyFill="1"/>
    <xf numFmtId="0" fontId="81" fillId="27" borderId="0" xfId="0" applyFont="1" applyFill="1"/>
    <xf numFmtId="3" fontId="52" fillId="28" borderId="0" xfId="0" applyNumberFormat="1" applyFont="1" applyFill="1" applyAlignment="1">
      <alignment horizontal="center" vertical="center"/>
    </xf>
    <xf numFmtId="0" fontId="8" fillId="27" borderId="16" xfId="0" applyFont="1" applyFill="1" applyBorder="1"/>
    <xf numFmtId="0" fontId="8" fillId="27" borderId="16" xfId="0" applyFont="1" applyFill="1" applyBorder="1" applyAlignment="1">
      <alignment horizontal="center"/>
    </xf>
    <xf numFmtId="0" fontId="8" fillId="27" borderId="15" xfId="0" applyFont="1" applyFill="1" applyBorder="1"/>
    <xf numFmtId="0" fontId="9" fillId="27" borderId="15" xfId="0" applyFont="1" applyFill="1" applyBorder="1" applyAlignment="1">
      <alignment horizontal="center"/>
    </xf>
    <xf numFmtId="0" fontId="8" fillId="27" borderId="0" xfId="0" applyFont="1" applyFill="1" applyAlignment="1">
      <alignment horizontal="center"/>
    </xf>
    <xf numFmtId="0" fontId="8" fillId="27" borderId="15" xfId="0" applyFont="1" applyFill="1" applyBorder="1" applyAlignment="1">
      <alignment horizontal="center"/>
    </xf>
    <xf numFmtId="0" fontId="8" fillId="27" borderId="19" xfId="0" applyFont="1" applyFill="1" applyBorder="1"/>
    <xf numFmtId="0" fontId="9" fillId="27" borderId="0" xfId="0" applyFont="1" applyFill="1" applyAlignment="1">
      <alignment horizontal="center"/>
    </xf>
    <xf numFmtId="0" fontId="13" fillId="27" borderId="0" xfId="0" applyFont="1" applyFill="1"/>
    <xf numFmtId="0" fontId="62" fillId="0" borderId="25" xfId="0" applyFont="1" applyBorder="1" applyAlignment="1" applyProtection="1">
      <alignment horizontal="center" wrapText="1"/>
      <protection locked="0"/>
    </xf>
    <xf numFmtId="0" fontId="8" fillId="0" borderId="0" xfId="0" applyFont="1" applyAlignment="1">
      <alignment wrapText="1"/>
    </xf>
    <xf numFmtId="2" fontId="48" fillId="30" borderId="0" xfId="0" applyNumberFormat="1" applyFont="1" applyFill="1" applyAlignment="1">
      <alignment horizontal="center" wrapText="1"/>
    </xf>
    <xf numFmtId="3" fontId="48" fillId="30" borderId="0" xfId="0" applyNumberFormat="1" applyFont="1" applyFill="1" applyAlignment="1">
      <alignment horizontal="center" vertical="center" wrapText="1"/>
    </xf>
    <xf numFmtId="3" fontId="47" fillId="30" borderId="0" xfId="0" applyNumberFormat="1" applyFont="1" applyFill="1" applyAlignment="1">
      <alignment horizontal="center" vertical="center" wrapText="1"/>
    </xf>
    <xf numFmtId="2" fontId="20" fillId="30" borderId="0" xfId="0" applyNumberFormat="1" applyFont="1" applyFill="1" applyAlignment="1">
      <alignment horizontal="center" wrapText="1"/>
    </xf>
    <xf numFmtId="0" fontId="48" fillId="30" borderId="0" xfId="0" applyFont="1" applyFill="1" applyAlignment="1">
      <alignment horizontal="center" wrapText="1"/>
    </xf>
    <xf numFmtId="0" fontId="48" fillId="30" borderId="18" xfId="0" applyFont="1" applyFill="1" applyBorder="1" applyAlignment="1">
      <alignment horizontal="center" wrapText="1"/>
    </xf>
    <xf numFmtId="0" fontId="20" fillId="30" borderId="18" xfId="0" applyFont="1" applyFill="1" applyBorder="1" applyAlignment="1">
      <alignment horizontal="center" wrapText="1"/>
    </xf>
    <xf numFmtId="3" fontId="20" fillId="30" borderId="0" xfId="0" applyNumberFormat="1" applyFont="1" applyFill="1" applyAlignment="1">
      <alignment horizontal="center" wrapText="1"/>
    </xf>
    <xf numFmtId="3" fontId="36" fillId="30" borderId="0" xfId="0" applyNumberFormat="1" applyFont="1" applyFill="1" applyAlignment="1">
      <alignment horizontal="center" wrapText="1"/>
    </xf>
    <xf numFmtId="3" fontId="20" fillId="30" borderId="0" xfId="0" applyNumberFormat="1" applyFont="1" applyFill="1" applyAlignment="1">
      <alignment wrapText="1"/>
    </xf>
    <xf numFmtId="5" fontId="20" fillId="30" borderId="0" xfId="0" applyNumberFormat="1" applyFont="1" applyFill="1" applyAlignment="1">
      <alignment wrapText="1"/>
    </xf>
    <xf numFmtId="5" fontId="20" fillId="30" borderId="0" xfId="0" applyNumberFormat="1" applyFont="1" applyFill="1" applyAlignment="1">
      <alignment horizontal="center" wrapText="1"/>
    </xf>
    <xf numFmtId="0" fontId="20" fillId="30" borderId="0" xfId="0" applyFont="1" applyFill="1" applyAlignment="1">
      <alignment horizontal="center" wrapText="1"/>
    </xf>
    <xf numFmtId="3" fontId="20" fillId="30" borderId="18" xfId="0" applyNumberFormat="1" applyFont="1" applyFill="1" applyBorder="1" applyAlignment="1">
      <alignment horizontal="center" wrapText="1"/>
    </xf>
    <xf numFmtId="3" fontId="51" fillId="30" borderId="0" xfId="0" applyNumberFormat="1" applyFont="1" applyFill="1" applyAlignment="1">
      <alignment horizontal="center" wrapText="1"/>
    </xf>
    <xf numFmtId="3" fontId="20" fillId="30" borderId="21" xfId="0" applyNumberFormat="1" applyFont="1" applyFill="1" applyBorder="1" applyAlignment="1">
      <alignment horizontal="center" wrapText="1"/>
    </xf>
    <xf numFmtId="3" fontId="89" fillId="30" borderId="0" xfId="0" applyNumberFormat="1" applyFont="1" applyFill="1" applyAlignment="1">
      <alignment horizontal="center" wrapText="1"/>
    </xf>
    <xf numFmtId="3" fontId="89" fillId="30" borderId="18" xfId="0" applyNumberFormat="1" applyFont="1" applyFill="1" applyBorder="1" applyAlignment="1">
      <alignment horizontal="center" wrapText="1"/>
    </xf>
    <xf numFmtId="4" fontId="89" fillId="30" borderId="18" xfId="0" applyNumberFormat="1" applyFont="1" applyFill="1" applyBorder="1" applyAlignment="1">
      <alignment horizontal="center" wrapText="1"/>
    </xf>
    <xf numFmtId="3" fontId="89" fillId="30" borderId="21" xfId="0" applyNumberFormat="1" applyFont="1" applyFill="1" applyBorder="1" applyAlignment="1">
      <alignment horizontal="center" wrapText="1"/>
    </xf>
    <xf numFmtId="0" fontId="42" fillId="33" borderId="0" xfId="0" applyFont="1" applyFill="1"/>
    <xf numFmtId="0" fontId="42" fillId="33" borderId="0" xfId="0" applyFont="1" applyFill="1" applyAlignment="1">
      <alignment horizontal="center" vertical="center"/>
    </xf>
    <xf numFmtId="0" fontId="9" fillId="33" borderId="0" xfId="0" applyFont="1" applyFill="1"/>
    <xf numFmtId="0" fontId="44" fillId="33" borderId="0" xfId="0" applyFont="1" applyFill="1" applyAlignment="1">
      <alignment horizontal="left" vertical="center"/>
    </xf>
    <xf numFmtId="0" fontId="76" fillId="33" borderId="0" xfId="0" applyFont="1" applyFill="1"/>
    <xf numFmtId="2" fontId="20" fillId="33" borderId="0" xfId="0" applyNumberFormat="1" applyFont="1" applyFill="1" applyAlignment="1">
      <alignment horizontal="center"/>
    </xf>
    <xf numFmtId="0" fontId="33" fillId="33" borderId="0" xfId="0" applyFont="1" applyFill="1" applyAlignment="1">
      <alignment horizontal="left" vertical="center" wrapText="1"/>
    </xf>
    <xf numFmtId="0" fontId="20" fillId="33" borderId="0" xfId="0" applyFont="1" applyFill="1" applyAlignment="1">
      <alignment vertical="center"/>
    </xf>
    <xf numFmtId="164" fontId="20" fillId="33" borderId="0" xfId="0" applyNumberFormat="1" applyFont="1" applyFill="1" applyAlignment="1">
      <alignment horizontal="center" vertical="center" wrapText="1"/>
    </xf>
    <xf numFmtId="164" fontId="20" fillId="33" borderId="0" xfId="0" applyNumberFormat="1" applyFont="1" applyFill="1" applyAlignment="1">
      <alignment horizontal="center" wrapText="1"/>
    </xf>
    <xf numFmtId="164" fontId="20" fillId="33" borderId="0" xfId="0" applyNumberFormat="1" applyFont="1" applyFill="1" applyAlignment="1">
      <alignment horizontal="center"/>
    </xf>
    <xf numFmtId="0" fontId="10" fillId="33" borderId="0" xfId="0" applyFont="1" applyFill="1"/>
    <xf numFmtId="0" fontId="45" fillId="33" borderId="0" xfId="0" applyFont="1" applyFill="1" applyAlignment="1">
      <alignment horizontal="left" vertical="center"/>
    </xf>
    <xf numFmtId="0" fontId="45" fillId="33" borderId="0" xfId="0" applyFont="1" applyFill="1" applyAlignment="1">
      <alignment vertical="center"/>
    </xf>
    <xf numFmtId="0" fontId="10" fillId="33" borderId="0" xfId="0" applyFont="1" applyFill="1" applyAlignment="1">
      <alignment wrapText="1"/>
    </xf>
    <xf numFmtId="0" fontId="49" fillId="33" borderId="0" xfId="0" applyFont="1" applyFill="1"/>
    <xf numFmtId="0" fontId="87" fillId="33" borderId="0" xfId="0" applyFont="1" applyFill="1" applyAlignment="1">
      <alignment horizontal="center" wrapText="1"/>
    </xf>
    <xf numFmtId="0" fontId="87" fillId="33" borderId="20" xfId="0" applyFont="1" applyFill="1" applyBorder="1" applyAlignment="1">
      <alignment horizontal="center" wrapText="1"/>
    </xf>
    <xf numFmtId="0" fontId="49" fillId="33" borderId="20" xfId="0" applyFont="1" applyFill="1" applyBorder="1" applyAlignment="1">
      <alignment horizontal="center"/>
    </xf>
    <xf numFmtId="0" fontId="38" fillId="33" borderId="0" xfId="0" applyFont="1" applyFill="1"/>
    <xf numFmtId="3" fontId="88" fillId="33" borderId="0" xfId="0" applyNumberFormat="1" applyFont="1" applyFill="1" applyAlignment="1">
      <alignment horizontal="center" wrapText="1"/>
    </xf>
    <xf numFmtId="3" fontId="38" fillId="33" borderId="0" xfId="0" applyNumberFormat="1" applyFont="1" applyFill="1" applyAlignment="1">
      <alignment horizontal="center"/>
    </xf>
    <xf numFmtId="3" fontId="88" fillId="33" borderId="0" xfId="0" applyNumberFormat="1" applyFont="1" applyFill="1" applyAlignment="1">
      <alignment wrapText="1"/>
    </xf>
    <xf numFmtId="0" fontId="88" fillId="33" borderId="0" xfId="0" applyFont="1" applyFill="1" applyAlignment="1">
      <alignment wrapText="1"/>
    </xf>
    <xf numFmtId="3" fontId="38" fillId="33" borderId="0" xfId="0" applyNumberFormat="1" applyFont="1" applyFill="1" applyAlignment="1">
      <alignment horizontal="center" wrapText="1"/>
    </xf>
    <xf numFmtId="0" fontId="42" fillId="34" borderId="0" xfId="0" applyFont="1" applyFill="1"/>
    <xf numFmtId="0" fontId="42" fillId="34" borderId="0" xfId="0" applyFont="1" applyFill="1" applyAlignment="1">
      <alignment horizontal="center" vertical="center"/>
    </xf>
    <xf numFmtId="0" fontId="9" fillId="34" borderId="0" xfId="0" applyFont="1" applyFill="1"/>
    <xf numFmtId="0" fontId="44" fillId="34" borderId="0" xfId="0" applyFont="1" applyFill="1" applyAlignment="1">
      <alignment horizontal="left" vertical="center"/>
    </xf>
    <xf numFmtId="0" fontId="76" fillId="34" borderId="0" xfId="0" applyFont="1" applyFill="1"/>
    <xf numFmtId="2" fontId="20" fillId="34" borderId="0" xfId="0" applyNumberFormat="1" applyFont="1" applyFill="1" applyAlignment="1">
      <alignment horizontal="center"/>
    </xf>
    <xf numFmtId="0" fontId="33" fillId="34" borderId="0" xfId="0" applyFont="1" applyFill="1" applyAlignment="1">
      <alignment horizontal="left" vertical="center" wrapText="1"/>
    </xf>
    <xf numFmtId="0" fontId="20" fillId="34" borderId="0" xfId="0" applyFont="1" applyFill="1" applyAlignment="1">
      <alignment vertical="center"/>
    </xf>
    <xf numFmtId="164" fontId="20" fillId="34" borderId="0" xfId="0" applyNumberFormat="1" applyFont="1" applyFill="1" applyAlignment="1">
      <alignment horizontal="center" vertical="center" wrapText="1"/>
    </xf>
    <xf numFmtId="164" fontId="20" fillId="34" borderId="0" xfId="0" applyNumberFormat="1" applyFont="1" applyFill="1" applyAlignment="1">
      <alignment horizontal="center" wrapText="1"/>
    </xf>
    <xf numFmtId="164" fontId="20" fillId="34" borderId="0" xfId="0" applyNumberFormat="1" applyFont="1" applyFill="1" applyAlignment="1">
      <alignment horizontal="center"/>
    </xf>
    <xf numFmtId="0" fontId="10" fillId="34" borderId="0" xfId="0" applyFont="1" applyFill="1"/>
    <xf numFmtId="0" fontId="45" fillId="34" borderId="0" xfId="0" applyFont="1" applyFill="1" applyAlignment="1">
      <alignment horizontal="left" vertical="center"/>
    </xf>
    <xf numFmtId="0" fontId="45" fillId="34" borderId="0" xfId="0" applyFont="1" applyFill="1" applyAlignment="1">
      <alignment vertical="center"/>
    </xf>
    <xf numFmtId="0" fontId="10" fillId="34" borderId="0" xfId="0" applyFont="1" applyFill="1" applyAlignment="1">
      <alignment wrapText="1"/>
    </xf>
    <xf numFmtId="0" fontId="49" fillId="34" borderId="0" xfId="0" applyFont="1" applyFill="1"/>
    <xf numFmtId="0" fontId="87" fillId="34" borderId="0" xfId="0" applyFont="1" applyFill="1" applyAlignment="1">
      <alignment horizontal="center" wrapText="1"/>
    </xf>
    <xf numFmtId="0" fontId="87" fillId="34" borderId="20" xfId="0" applyFont="1" applyFill="1" applyBorder="1" applyAlignment="1">
      <alignment horizontal="center" wrapText="1"/>
    </xf>
    <xf numFmtId="0" fontId="49" fillId="34" borderId="20" xfId="0" applyFont="1" applyFill="1" applyBorder="1" applyAlignment="1">
      <alignment horizontal="center"/>
    </xf>
    <xf numFmtId="0" fontId="38" fillId="34" borderId="0" xfId="0" applyFont="1" applyFill="1"/>
    <xf numFmtId="3" fontId="88" fillId="34" borderId="0" xfId="0" applyNumberFormat="1" applyFont="1" applyFill="1" applyAlignment="1">
      <alignment horizontal="center" wrapText="1"/>
    </xf>
    <xf numFmtId="3" fontId="38" fillId="34" borderId="0" xfId="0" applyNumberFormat="1" applyFont="1" applyFill="1" applyAlignment="1">
      <alignment horizontal="center"/>
    </xf>
    <xf numFmtId="3" fontId="88" fillId="34" borderId="0" xfId="0" applyNumberFormat="1" applyFont="1" applyFill="1" applyAlignment="1">
      <alignment wrapText="1"/>
    </xf>
    <xf numFmtId="0" fontId="88" fillId="34" borderId="0" xfId="0" applyFont="1" applyFill="1" applyAlignment="1">
      <alignment wrapText="1"/>
    </xf>
    <xf numFmtId="3" fontId="38" fillId="34" borderId="0" xfId="0" applyNumberFormat="1" applyFont="1" applyFill="1" applyAlignment="1">
      <alignment horizontal="center" wrapText="1"/>
    </xf>
    <xf numFmtId="0" fontId="91" fillId="27" borderId="0" xfId="55" applyFont="1" applyFill="1"/>
    <xf numFmtId="0" fontId="91" fillId="27" borderId="0" xfId="0" applyFont="1" applyFill="1"/>
    <xf numFmtId="0" fontId="92" fillId="27" borderId="0" xfId="0" applyFont="1" applyFill="1"/>
    <xf numFmtId="0" fontId="93" fillId="27" borderId="0" xfId="55" applyFont="1" applyFill="1" applyAlignment="1">
      <alignment horizontal="left" wrapText="1"/>
    </xf>
    <xf numFmtId="0" fontId="93" fillId="27" borderId="0" xfId="55" applyFont="1" applyFill="1"/>
    <xf numFmtId="0" fontId="65" fillId="27" borderId="9" xfId="55" applyFont="1" applyFill="1" applyBorder="1" applyAlignment="1">
      <alignment horizontal="right"/>
    </xf>
    <xf numFmtId="0" fontId="57" fillId="27" borderId="0" xfId="55" applyFont="1" applyFill="1" applyAlignment="1">
      <alignment wrapText="1"/>
    </xf>
    <xf numFmtId="0" fontId="93" fillId="27" borderId="0" xfId="55" applyFont="1" applyFill="1" applyAlignment="1">
      <alignment vertical="top" wrapText="1"/>
    </xf>
    <xf numFmtId="0" fontId="57" fillId="27" borderId="0" xfId="0" applyFont="1" applyFill="1" applyAlignment="1">
      <alignment vertical="center"/>
    </xf>
    <xf numFmtId="0" fontId="68" fillId="27" borderId="0" xfId="31" applyFont="1" applyFill="1" applyAlignment="1" applyProtection="1">
      <alignment horizontal="left" vertical="center"/>
    </xf>
    <xf numFmtId="0" fontId="57" fillId="27" borderId="24" xfId="0" applyFont="1" applyFill="1" applyBorder="1" applyAlignment="1">
      <alignment vertical="center"/>
    </xf>
    <xf numFmtId="0" fontId="59" fillId="0" borderId="32" xfId="60" applyFont="1" applyBorder="1" applyAlignment="1">
      <alignment horizontal="center"/>
    </xf>
    <xf numFmtId="0" fontId="59" fillId="0" borderId="0" xfId="60" applyFont="1" applyAlignment="1">
      <alignment horizontal="center"/>
    </xf>
    <xf numFmtId="0" fontId="59" fillId="0" borderId="34" xfId="60" applyFont="1" applyBorder="1" applyAlignment="1">
      <alignment horizontal="center"/>
    </xf>
    <xf numFmtId="0" fontId="57" fillId="0" borderId="29" xfId="60" applyFont="1" applyBorder="1" applyAlignment="1">
      <alignment horizontal="center"/>
    </xf>
    <xf numFmtId="0" fontId="57" fillId="0" borderId="0" xfId="60" applyFont="1" applyAlignment="1">
      <alignment horizontal="center"/>
    </xf>
    <xf numFmtId="0" fontId="57" fillId="27" borderId="42" xfId="0" applyFont="1" applyFill="1" applyBorder="1" applyAlignment="1">
      <alignment horizontal="center"/>
    </xf>
    <xf numFmtId="0" fontId="57" fillId="0" borderId="28" xfId="60" applyFont="1" applyBorder="1" applyAlignment="1">
      <alignment horizontal="center"/>
    </xf>
    <xf numFmtId="0" fontId="57" fillId="0" borderId="18" xfId="60" applyFont="1" applyBorder="1" applyAlignment="1">
      <alignment horizontal="center"/>
    </xf>
    <xf numFmtId="0" fontId="57" fillId="27" borderId="39" xfId="0" applyFont="1" applyFill="1" applyBorder="1" applyAlignment="1">
      <alignment horizontal="center"/>
    </xf>
    <xf numFmtId="0" fontId="57" fillId="27" borderId="40" xfId="0" applyFont="1" applyFill="1" applyBorder="1" applyAlignment="1">
      <alignment horizontal="center"/>
    </xf>
    <xf numFmtId="1" fontId="57" fillId="0" borderId="29" xfId="60" applyNumberFormat="1" applyFont="1" applyBorder="1" applyAlignment="1">
      <alignment horizontal="center"/>
    </xf>
    <xf numFmtId="1" fontId="57" fillId="0" borderId="0" xfId="60" applyNumberFormat="1" applyFont="1" applyAlignment="1">
      <alignment horizontal="center"/>
    </xf>
    <xf numFmtId="1" fontId="57" fillId="0" borderId="38" xfId="60" applyNumberFormat="1" applyFont="1" applyBorder="1" applyAlignment="1">
      <alignment horizontal="center"/>
    </xf>
    <xf numFmtId="1" fontId="57" fillId="27" borderId="38" xfId="0" applyNumberFormat="1" applyFont="1" applyFill="1" applyBorder="1" applyAlignment="1">
      <alignment horizontal="center"/>
    </xf>
    <xf numFmtId="1" fontId="57" fillId="0" borderId="28" xfId="60" applyNumberFormat="1" applyFont="1" applyBorder="1" applyAlignment="1">
      <alignment horizontal="center"/>
    </xf>
    <xf numFmtId="1" fontId="57" fillId="0" borderId="18" xfId="60" applyNumberFormat="1" applyFont="1" applyBorder="1" applyAlignment="1">
      <alignment horizontal="center"/>
    </xf>
    <xf numFmtId="1" fontId="57" fillId="27" borderId="39" xfId="0" applyNumberFormat="1" applyFont="1" applyFill="1" applyBorder="1" applyAlignment="1">
      <alignment horizontal="center"/>
    </xf>
    <xf numFmtId="0" fontId="58" fillId="0" borderId="29" xfId="60" applyFont="1" applyBorder="1" applyAlignment="1">
      <alignment horizontal="center"/>
    </xf>
    <xf numFmtId="0" fontId="58" fillId="0" borderId="0" xfId="60" applyFont="1" applyAlignment="1">
      <alignment horizontal="center"/>
    </xf>
    <xf numFmtId="0" fontId="58" fillId="0" borderId="28" xfId="60" applyFont="1" applyBorder="1" applyAlignment="1">
      <alignment horizontal="center"/>
    </xf>
    <xf numFmtId="0" fontId="58" fillId="0" borderId="18" xfId="60" applyFont="1" applyBorder="1" applyAlignment="1">
      <alignment horizontal="center"/>
    </xf>
    <xf numFmtId="0" fontId="62" fillId="0" borderId="9" xfId="60" applyFont="1" applyBorder="1"/>
    <xf numFmtId="0" fontId="62" fillId="0" borderId="9" xfId="60" applyFont="1" applyBorder="1" applyAlignment="1">
      <alignment horizontal="center" vertical="center"/>
    </xf>
    <xf numFmtId="0" fontId="62" fillId="0" borderId="9" xfId="60" applyFont="1" applyBorder="1" applyAlignment="1">
      <alignment horizontal="center" vertical="center" wrapText="1"/>
    </xf>
    <xf numFmtId="0" fontId="62" fillId="0" borderId="0" xfId="60" applyFont="1"/>
    <xf numFmtId="0" fontId="62" fillId="0" borderId="0" xfId="60" applyFont="1" applyAlignment="1">
      <alignment vertical="center"/>
    </xf>
    <xf numFmtId="0" fontId="62" fillId="0" borderId="33" xfId="60" applyFont="1" applyBorder="1" applyAlignment="1">
      <alignment vertical="center" wrapText="1"/>
    </xf>
    <xf numFmtId="0" fontId="62" fillId="0" borderId="0" xfId="60" applyFont="1" applyAlignment="1">
      <alignment horizontal="center" vertical="center" wrapText="1"/>
    </xf>
    <xf numFmtId="1" fontId="58" fillId="0" borderId="31" xfId="60" applyNumberFormat="1" applyFont="1" applyBorder="1" applyAlignment="1">
      <alignment horizontal="center"/>
    </xf>
    <xf numFmtId="0" fontId="59" fillId="0" borderId="0" xfId="60" applyFont="1" applyAlignment="1">
      <alignment vertical="top" wrapText="1"/>
    </xf>
    <xf numFmtId="0" fontId="58" fillId="0" borderId="18" xfId="60" applyFont="1" applyBorder="1"/>
    <xf numFmtId="1" fontId="58" fillId="0" borderId="30" xfId="60" applyNumberFormat="1" applyFont="1" applyBorder="1" applyAlignment="1">
      <alignment horizontal="center"/>
    </xf>
    <xf numFmtId="1" fontId="58" fillId="0" borderId="33" xfId="60" applyNumberFormat="1" applyFont="1" applyBorder="1" applyAlignment="1">
      <alignment horizontal="center"/>
    </xf>
    <xf numFmtId="1" fontId="58" fillId="0" borderId="31" xfId="60" applyNumberFormat="1" applyFont="1" applyBorder="1" applyAlignment="1">
      <alignment horizontal="center" wrapText="1"/>
    </xf>
    <xf numFmtId="0" fontId="71" fillId="27" borderId="0" xfId="31" applyFont="1" applyFill="1" applyAlignment="1" applyProtection="1">
      <alignment horizontal="left"/>
    </xf>
    <xf numFmtId="0" fontId="57" fillId="27" borderId="0" xfId="31" applyFont="1" applyFill="1" applyAlignment="1" applyProtection="1"/>
    <xf numFmtId="0" fontId="85" fillId="27" borderId="0" xfId="55" applyFont="1" applyFill="1" applyAlignment="1">
      <alignment vertical="top"/>
    </xf>
    <xf numFmtId="0" fontId="62" fillId="0" borderId="0" xfId="58" applyFont="1"/>
    <xf numFmtId="0" fontId="58" fillId="0" borderId="0" xfId="58" applyFont="1" applyAlignment="1">
      <alignment horizontal="center"/>
    </xf>
    <xf numFmtId="0" fontId="58" fillId="0" borderId="0" xfId="58" applyFont="1" applyAlignment="1">
      <alignment horizontal="right"/>
    </xf>
    <xf numFmtId="2" fontId="58" fillId="0" borderId="0" xfId="58" applyNumberFormat="1" applyFont="1" applyAlignment="1">
      <alignment horizontal="center"/>
    </xf>
    <xf numFmtId="0" fontId="57" fillId="0" borderId="0" xfId="0" applyFont="1"/>
    <xf numFmtId="0" fontId="62" fillId="0" borderId="20" xfId="60" applyFont="1" applyBorder="1"/>
    <xf numFmtId="10" fontId="57" fillId="27" borderId="0" xfId="54" applyNumberFormat="1" applyFont="1" applyFill="1"/>
    <xf numFmtId="0" fontId="42" fillId="38" borderId="0" xfId="31" applyFont="1" applyFill="1" applyBorder="1" applyAlignment="1" applyProtection="1">
      <alignment horizontal="left" vertical="center"/>
    </xf>
    <xf numFmtId="0" fontId="42" fillId="38" borderId="0" xfId="31" applyFont="1" applyFill="1" applyBorder="1" applyAlignment="1" applyProtection="1">
      <alignment horizontal="center" vertical="center"/>
    </xf>
    <xf numFmtId="0" fontId="101" fillId="27" borderId="0" xfId="55" applyFont="1" applyFill="1"/>
    <xf numFmtId="0" fontId="103" fillId="27" borderId="0" xfId="55" applyFont="1" applyFill="1"/>
    <xf numFmtId="0" fontId="100" fillId="27" borderId="0" xfId="55" applyFont="1" applyFill="1" applyAlignment="1">
      <alignment horizontal="center"/>
    </xf>
    <xf numFmtId="0" fontId="104" fillId="27" borderId="0" xfId="55" applyFont="1" applyFill="1" applyAlignment="1">
      <alignment horizontal="center"/>
    </xf>
    <xf numFmtId="10" fontId="101" fillId="27" borderId="0" xfId="54" applyNumberFormat="1" applyFont="1" applyFill="1"/>
    <xf numFmtId="3" fontId="104" fillId="27" borderId="0" xfId="55" applyNumberFormat="1" applyFont="1" applyFill="1" applyAlignment="1">
      <alignment horizontal="center"/>
    </xf>
    <xf numFmtId="3" fontId="101" fillId="27" borderId="0" xfId="55" applyNumberFormat="1" applyFont="1" applyFill="1" applyAlignment="1">
      <alignment horizontal="center"/>
    </xf>
    <xf numFmtId="0" fontId="101" fillId="27" borderId="0" xfId="55" applyFont="1" applyFill="1" applyAlignment="1">
      <alignment horizontal="center"/>
    </xf>
    <xf numFmtId="0" fontId="101" fillId="27" borderId="0" xfId="55" applyFont="1" applyFill="1" applyAlignment="1">
      <alignment horizontal="left"/>
    </xf>
    <xf numFmtId="0" fontId="106" fillId="27" borderId="0" xfId="55" applyFont="1" applyFill="1"/>
    <xf numFmtId="0" fontId="107" fillId="27" borderId="0" xfId="55" applyFont="1" applyFill="1"/>
    <xf numFmtId="0" fontId="106" fillId="27" borderId="0" xfId="55" applyFont="1" applyFill="1" applyAlignment="1">
      <alignment horizontal="left" vertical="center"/>
    </xf>
    <xf numFmtId="0" fontId="108" fillId="27" borderId="0" xfId="31" applyFont="1" applyFill="1" applyAlignment="1" applyProtection="1"/>
    <xf numFmtId="0" fontId="42" fillId="40" borderId="0" xfId="31" applyFont="1" applyFill="1" applyAlignment="1" applyProtection="1">
      <alignment horizontal="left" vertical="center"/>
    </xf>
    <xf numFmtId="0" fontId="42" fillId="40" borderId="0" xfId="31" applyFont="1" applyFill="1" applyAlignment="1" applyProtection="1">
      <alignment horizontal="center" vertical="center"/>
    </xf>
    <xf numFmtId="0" fontId="13" fillId="0" borderId="0" xfId="0" applyFont="1"/>
    <xf numFmtId="0" fontId="0" fillId="41" borderId="0" xfId="0" applyFill="1"/>
    <xf numFmtId="0" fontId="15" fillId="41" borderId="0" xfId="0" applyFont="1" applyFill="1"/>
    <xf numFmtId="0" fontId="0" fillId="42" borderId="0" xfId="0" applyFill="1"/>
    <xf numFmtId="0" fontId="13" fillId="42" borderId="0" xfId="0" applyFont="1" applyFill="1"/>
    <xf numFmtId="3" fontId="0" fillId="42" borderId="0" xfId="0" applyNumberFormat="1" applyFill="1"/>
    <xf numFmtId="0" fontId="110" fillId="0" borderId="0" xfId="0" applyFont="1"/>
    <xf numFmtId="3" fontId="0" fillId="0" borderId="0" xfId="0" applyNumberFormat="1"/>
    <xf numFmtId="166" fontId="0" fillId="0" borderId="0" xfId="0" applyNumberFormat="1"/>
    <xf numFmtId="3" fontId="0" fillId="0" borderId="0" xfId="62" applyNumberFormat="1" applyFont="1"/>
    <xf numFmtId="44" fontId="0" fillId="0" borderId="0" xfId="62" applyFont="1"/>
    <xf numFmtId="9" fontId="0" fillId="0" borderId="0" xfId="0" applyNumberFormat="1"/>
    <xf numFmtId="0" fontId="20" fillId="30" borderId="0" xfId="0" applyFont="1" applyFill="1" applyAlignment="1">
      <alignment horizontal="left"/>
    </xf>
    <xf numFmtId="0" fontId="20" fillId="30" borderId="18" xfId="0" applyFont="1" applyFill="1" applyBorder="1" applyAlignment="1">
      <alignment horizontal="center"/>
    </xf>
    <xf numFmtId="0" fontId="42" fillId="38" borderId="0" xfId="0" applyFont="1" applyFill="1"/>
    <xf numFmtId="0" fontId="42" fillId="38" borderId="0" xfId="0" applyFont="1" applyFill="1" applyAlignment="1">
      <alignment horizontal="center" vertical="center"/>
    </xf>
    <xf numFmtId="1" fontId="20" fillId="27" borderId="9" xfId="0" applyNumberFormat="1" applyFont="1" applyFill="1" applyBorder="1" applyAlignment="1">
      <alignment horizontal="center"/>
    </xf>
    <xf numFmtId="2" fontId="20" fillId="27" borderId="9" xfId="0" applyNumberFormat="1" applyFont="1" applyFill="1" applyBorder="1" applyAlignment="1">
      <alignment horizontal="center"/>
    </xf>
    <xf numFmtId="0" fontId="9" fillId="38" borderId="0" xfId="0" applyFont="1" applyFill="1"/>
    <xf numFmtId="0" fontId="44" fillId="38" borderId="0" xfId="0" applyFont="1" applyFill="1" applyAlignment="1">
      <alignment horizontal="left" vertical="center"/>
    </xf>
    <xf numFmtId="0" fontId="76" fillId="38" borderId="0" xfId="0" applyFont="1" applyFill="1"/>
    <xf numFmtId="0" fontId="9" fillId="0" borderId="0" xfId="0" applyFont="1"/>
    <xf numFmtId="0" fontId="111" fillId="43" borderId="0" xfId="0" applyFont="1" applyFill="1" applyAlignment="1">
      <alignment vertical="center"/>
    </xf>
    <xf numFmtId="0" fontId="9" fillId="43" borderId="0" xfId="0" applyFont="1" applyFill="1"/>
    <xf numFmtId="2" fontId="20" fillId="38" borderId="0" xfId="0" applyNumberFormat="1" applyFont="1" applyFill="1" applyAlignment="1">
      <alignment horizontal="center"/>
    </xf>
    <xf numFmtId="0" fontId="33" fillId="38" borderId="0" xfId="0" applyFont="1" applyFill="1" applyAlignment="1">
      <alignment horizontal="left" vertical="center" wrapText="1"/>
    </xf>
    <xf numFmtId="0" fontId="20" fillId="38" borderId="0" xfId="0" applyFont="1" applyFill="1" applyAlignment="1">
      <alignment vertical="center"/>
    </xf>
    <xf numFmtId="164" fontId="20" fillId="38" borderId="0" xfId="0" applyNumberFormat="1" applyFont="1" applyFill="1" applyAlignment="1">
      <alignment horizontal="center" vertical="center" wrapText="1"/>
    </xf>
    <xf numFmtId="164" fontId="20" fillId="38" borderId="0" xfId="0" applyNumberFormat="1" applyFont="1" applyFill="1" applyAlignment="1">
      <alignment horizontal="center" wrapText="1"/>
    </xf>
    <xf numFmtId="164" fontId="20" fillId="38" borderId="0" xfId="0" applyNumberFormat="1" applyFont="1" applyFill="1" applyAlignment="1">
      <alignment horizontal="center"/>
    </xf>
    <xf numFmtId="0" fontId="10" fillId="38" borderId="0" xfId="0" applyFont="1" applyFill="1"/>
    <xf numFmtId="0" fontId="45" fillId="38" borderId="0" xfId="0" applyFont="1" applyFill="1" applyAlignment="1">
      <alignment horizontal="left" vertical="center"/>
    </xf>
    <xf numFmtId="0" fontId="45" fillId="38" borderId="0" xfId="0" applyFont="1" applyFill="1" applyAlignment="1">
      <alignment vertical="center"/>
    </xf>
    <xf numFmtId="0" fontId="49" fillId="38" borderId="0" xfId="0" applyFont="1" applyFill="1"/>
    <xf numFmtId="0" fontId="87" fillId="38" borderId="0" xfId="0" applyFont="1" applyFill="1" applyAlignment="1">
      <alignment horizontal="center" wrapText="1"/>
    </xf>
    <xf numFmtId="0" fontId="87" fillId="38" borderId="20" xfId="0" applyFont="1" applyFill="1" applyBorder="1" applyAlignment="1">
      <alignment horizontal="center" wrapText="1"/>
    </xf>
    <xf numFmtId="0" fontId="49" fillId="38" borderId="20" xfId="0" applyFont="1" applyFill="1" applyBorder="1" applyAlignment="1">
      <alignment horizontal="center"/>
    </xf>
    <xf numFmtId="0" fontId="38" fillId="38" borderId="0" xfId="0" applyFont="1" applyFill="1"/>
    <xf numFmtId="3" fontId="88" fillId="38" borderId="0" xfId="0" applyNumberFormat="1" applyFont="1" applyFill="1" applyAlignment="1">
      <alignment horizontal="center" wrapText="1"/>
    </xf>
    <xf numFmtId="3" fontId="38" fillId="38" borderId="0" xfId="0" applyNumberFormat="1" applyFont="1" applyFill="1" applyAlignment="1">
      <alignment horizontal="center"/>
    </xf>
    <xf numFmtId="0" fontId="51" fillId="30" borderId="32" xfId="0" applyFont="1" applyFill="1" applyBorder="1" applyAlignment="1">
      <alignment horizontal="left"/>
    </xf>
    <xf numFmtId="0" fontId="51" fillId="30" borderId="20" xfId="0" applyFont="1" applyFill="1" applyBorder="1" applyAlignment="1">
      <alignment horizontal="left"/>
    </xf>
    <xf numFmtId="0" fontId="8" fillId="35" borderId="0" xfId="0" applyFont="1" applyFill="1"/>
    <xf numFmtId="0" fontId="52" fillId="35" borderId="0" xfId="0" applyFont="1" applyFill="1" applyAlignment="1">
      <alignment vertical="center"/>
    </xf>
    <xf numFmtId="3" fontId="52" fillId="35" borderId="0" xfId="0" applyNumberFormat="1" applyFont="1" applyFill="1" applyAlignment="1">
      <alignment horizontal="center" vertical="center"/>
    </xf>
    <xf numFmtId="0" fontId="62" fillId="39" borderId="25" xfId="0" applyFont="1" applyFill="1" applyBorder="1" applyAlignment="1">
      <alignment horizontal="center" wrapText="1"/>
    </xf>
    <xf numFmtId="0" fontId="62" fillId="39" borderId="25" xfId="0" applyFont="1" applyFill="1" applyBorder="1" applyAlignment="1">
      <alignment horizontal="center"/>
    </xf>
    <xf numFmtId="0" fontId="63" fillId="39" borderId="25" xfId="0" applyFont="1" applyFill="1" applyBorder="1" applyAlignment="1">
      <alignment horizontal="center" wrapText="1"/>
    </xf>
    <xf numFmtId="0" fontId="72" fillId="30" borderId="0" xfId="0" applyFont="1" applyFill="1"/>
    <xf numFmtId="0" fontId="42" fillId="40" borderId="0" xfId="0" applyFont="1" applyFill="1"/>
    <xf numFmtId="0" fontId="42" fillId="40" borderId="0" xfId="0" applyFont="1" applyFill="1" applyAlignment="1">
      <alignment horizontal="center" vertical="center"/>
    </xf>
    <xf numFmtId="0" fontId="9" fillId="40" borderId="0" xfId="0" applyFont="1" applyFill="1"/>
    <xf numFmtId="0" fontId="44" fillId="40" borderId="0" xfId="0" applyFont="1" applyFill="1" applyAlignment="1">
      <alignment horizontal="left" vertical="center"/>
    </xf>
    <xf numFmtId="0" fontId="76" fillId="40" borderId="0" xfId="0" applyFont="1" applyFill="1"/>
    <xf numFmtId="2" fontId="20" fillId="36" borderId="0" xfId="0" applyNumberFormat="1" applyFont="1" applyFill="1" applyAlignment="1">
      <alignment horizontal="center"/>
    </xf>
    <xf numFmtId="0" fontId="9" fillId="36" borderId="0" xfId="0" applyFont="1" applyFill="1"/>
    <xf numFmtId="0" fontId="33" fillId="36" borderId="0" xfId="0" applyFont="1" applyFill="1" applyAlignment="1">
      <alignment horizontal="left" vertical="center" wrapText="1"/>
    </xf>
    <xf numFmtId="0" fontId="20" fillId="36" borderId="0" xfId="0" applyFont="1" applyFill="1" applyAlignment="1">
      <alignment vertical="center"/>
    </xf>
    <xf numFmtId="164" fontId="20" fillId="36" borderId="0" xfId="0" applyNumberFormat="1" applyFont="1" applyFill="1" applyAlignment="1">
      <alignment horizontal="center" vertical="center"/>
    </xf>
    <xf numFmtId="164" fontId="20" fillId="36" borderId="0" xfId="0" applyNumberFormat="1" applyFont="1" applyFill="1" applyAlignment="1">
      <alignment horizontal="center"/>
    </xf>
    <xf numFmtId="2" fontId="48" fillId="30" borderId="0" xfId="0" applyNumberFormat="1" applyFont="1" applyFill="1" applyAlignment="1">
      <alignment horizontal="center"/>
    </xf>
    <xf numFmtId="3" fontId="48" fillId="30" borderId="0" xfId="0" applyNumberFormat="1" applyFont="1" applyFill="1" applyAlignment="1">
      <alignment horizontal="center" vertical="center"/>
    </xf>
    <xf numFmtId="3" fontId="47" fillId="30" borderId="0" xfId="0" applyNumberFormat="1" applyFont="1" applyFill="1" applyAlignment="1">
      <alignment horizontal="center" vertical="center"/>
    </xf>
    <xf numFmtId="0" fontId="10" fillId="36" borderId="0" xfId="0" applyFont="1" applyFill="1"/>
    <xf numFmtId="0" fontId="45" fillId="36" borderId="0" xfId="0" applyFont="1" applyFill="1" applyAlignment="1">
      <alignment horizontal="left" vertical="center"/>
    </xf>
    <xf numFmtId="0" fontId="45" fillId="36" borderId="0" xfId="0" applyFont="1" applyFill="1" applyAlignment="1">
      <alignment vertical="center"/>
    </xf>
    <xf numFmtId="0" fontId="48" fillId="30" borderId="0" xfId="0" applyFont="1" applyFill="1" applyAlignment="1">
      <alignment horizontal="center"/>
    </xf>
    <xf numFmtId="0" fontId="48" fillId="30" borderId="18" xfId="0" applyFont="1" applyFill="1" applyBorder="1" applyAlignment="1">
      <alignment horizontal="center"/>
    </xf>
    <xf numFmtId="0" fontId="49" fillId="36" borderId="0" xfId="0" applyFont="1" applyFill="1"/>
    <xf numFmtId="0" fontId="87" fillId="36" borderId="0" xfId="0" applyFont="1" applyFill="1" applyAlignment="1">
      <alignment horizontal="center"/>
    </xf>
    <xf numFmtId="0" fontId="87" fillId="36" borderId="20" xfId="0" applyFont="1" applyFill="1" applyBorder="1" applyAlignment="1">
      <alignment horizontal="center"/>
    </xf>
    <xf numFmtId="0" fontId="49" fillId="36" borderId="20" xfId="0" applyFont="1" applyFill="1" applyBorder="1" applyAlignment="1">
      <alignment horizontal="center"/>
    </xf>
    <xf numFmtId="3" fontId="20" fillId="30" borderId="0" xfId="0" applyNumberFormat="1" applyFont="1" applyFill="1" applyAlignment="1">
      <alignment horizontal="center"/>
    </xf>
    <xf numFmtId="3" fontId="36" fillId="30" borderId="0" xfId="0" applyNumberFormat="1" applyFont="1" applyFill="1" applyAlignment="1">
      <alignment horizontal="center"/>
    </xf>
    <xf numFmtId="0" fontId="38" fillId="36" borderId="0" xfId="0" applyFont="1" applyFill="1"/>
    <xf numFmtId="3" fontId="88" fillId="36" borderId="0" xfId="0" applyNumberFormat="1" applyFont="1" applyFill="1" applyAlignment="1">
      <alignment horizontal="center"/>
    </xf>
    <xf numFmtId="3" fontId="38" fillId="36" borderId="0" xfId="0" applyNumberFormat="1" applyFont="1" applyFill="1" applyAlignment="1">
      <alignment horizontal="center"/>
    </xf>
    <xf numFmtId="5" fontId="20" fillId="30" borderId="0" xfId="0" applyNumberFormat="1" applyFont="1" applyFill="1" applyAlignment="1">
      <alignment horizontal="center"/>
    </xf>
    <xf numFmtId="3" fontId="20" fillId="30" borderId="18" xfId="0" applyNumberFormat="1" applyFont="1" applyFill="1" applyBorder="1" applyAlignment="1">
      <alignment horizontal="center"/>
    </xf>
    <xf numFmtId="3" fontId="51" fillId="30" borderId="0" xfId="0" applyNumberFormat="1" applyFont="1" applyFill="1" applyAlignment="1">
      <alignment horizontal="center"/>
    </xf>
    <xf numFmtId="3" fontId="20" fillId="30" borderId="21" xfId="0" applyNumberFormat="1" applyFont="1" applyFill="1" applyBorder="1" applyAlignment="1">
      <alignment horizontal="center"/>
    </xf>
    <xf numFmtId="3" fontId="89" fillId="30" borderId="0" xfId="0" applyNumberFormat="1" applyFont="1" applyFill="1" applyAlignment="1">
      <alignment horizontal="center"/>
    </xf>
    <xf numFmtId="3" fontId="89" fillId="30" borderId="18" xfId="0" applyNumberFormat="1" applyFont="1" applyFill="1" applyBorder="1" applyAlignment="1">
      <alignment horizontal="center"/>
    </xf>
    <xf numFmtId="4" fontId="89" fillId="30" borderId="18" xfId="0" applyNumberFormat="1" applyFont="1" applyFill="1" applyBorder="1" applyAlignment="1">
      <alignment horizontal="center"/>
    </xf>
    <xf numFmtId="3" fontId="89" fillId="30" borderId="21" xfId="0" applyNumberFormat="1" applyFont="1" applyFill="1" applyBorder="1" applyAlignment="1">
      <alignment horizontal="center"/>
    </xf>
    <xf numFmtId="0" fontId="8" fillId="37" borderId="0" xfId="0" applyFont="1" applyFill="1"/>
    <xf numFmtId="0" fontId="52" fillId="37" borderId="0" xfId="0" applyFont="1" applyFill="1" applyAlignment="1">
      <alignment vertical="center"/>
    </xf>
    <xf numFmtId="3" fontId="52" fillId="37" borderId="0" xfId="0" applyNumberFormat="1" applyFont="1" applyFill="1" applyAlignment="1">
      <alignment horizontal="center" vertical="center"/>
    </xf>
    <xf numFmtId="2" fontId="20" fillId="39" borderId="0" xfId="0" applyNumberFormat="1" applyFont="1" applyFill="1" applyAlignment="1">
      <alignment horizontal="center"/>
    </xf>
    <xf numFmtId="0" fontId="63" fillId="39" borderId="0" xfId="0" applyFont="1" applyFill="1" applyAlignment="1">
      <alignment horizontal="center"/>
    </xf>
    <xf numFmtId="0" fontId="20" fillId="39" borderId="0" xfId="0" applyFont="1" applyFill="1" applyAlignment="1">
      <alignment horizontal="center"/>
    </xf>
    <xf numFmtId="2" fontId="63" fillId="39" borderId="0" xfId="0" applyNumberFormat="1" applyFont="1" applyFill="1" applyAlignment="1">
      <alignment horizontal="right"/>
    </xf>
    <xf numFmtId="1" fontId="63" fillId="39" borderId="0" xfId="0" applyNumberFormat="1" applyFont="1" applyFill="1" applyAlignment="1">
      <alignment horizontal="left"/>
    </xf>
    <xf numFmtId="1" fontId="20" fillId="44" borderId="9" xfId="0" applyNumberFormat="1" applyFont="1" applyFill="1" applyBorder="1" applyAlignment="1" applyProtection="1">
      <alignment horizontal="center"/>
      <protection locked="0"/>
    </xf>
    <xf numFmtId="2" fontId="20" fillId="44" borderId="9" xfId="0" applyNumberFormat="1" applyFont="1" applyFill="1" applyBorder="1" applyAlignment="1" applyProtection="1">
      <alignment horizontal="center"/>
      <protection locked="0"/>
    </xf>
    <xf numFmtId="3" fontId="20" fillId="44" borderId="9" xfId="0" applyNumberFormat="1" applyFont="1" applyFill="1" applyBorder="1" applyAlignment="1" applyProtection="1">
      <alignment horizontal="center"/>
      <protection locked="0"/>
    </xf>
    <xf numFmtId="0" fontId="63" fillId="44" borderId="9" xfId="0" applyFont="1" applyFill="1" applyBorder="1" applyAlignment="1" applyProtection="1">
      <alignment horizontal="center" wrapText="1"/>
      <protection locked="0"/>
    </xf>
    <xf numFmtId="0" fontId="62" fillId="44" borderId="25" xfId="0" applyFont="1" applyFill="1" applyBorder="1" applyAlignment="1" applyProtection="1">
      <alignment horizontal="center" wrapText="1"/>
      <protection locked="0"/>
    </xf>
    <xf numFmtId="0" fontId="62" fillId="44" borderId="25" xfId="0" applyFont="1" applyFill="1" applyBorder="1" applyAlignment="1" applyProtection="1">
      <alignment horizontal="center"/>
      <protection locked="0"/>
    </xf>
    <xf numFmtId="0" fontId="63" fillId="44" borderId="25" xfId="0" applyFont="1" applyFill="1" applyBorder="1" applyAlignment="1" applyProtection="1">
      <alignment horizontal="center" wrapText="1"/>
      <protection locked="0"/>
    </xf>
    <xf numFmtId="0" fontId="112" fillId="27" borderId="0" xfId="55" applyFont="1" applyFill="1"/>
    <xf numFmtId="0" fontId="101" fillId="0" borderId="0" xfId="55" applyFont="1"/>
    <xf numFmtId="0" fontId="105" fillId="0" borderId="0" xfId="55" applyFont="1"/>
    <xf numFmtId="0" fontId="101" fillId="0" borderId="0" xfId="55" applyFont="1" applyAlignment="1">
      <alignment horizontal="right"/>
    </xf>
    <xf numFmtId="0" fontId="102" fillId="27" borderId="0" xfId="55" applyFont="1" applyFill="1"/>
    <xf numFmtId="0" fontId="116" fillId="27" borderId="0" xfId="55" applyFont="1" applyFill="1"/>
    <xf numFmtId="0" fontId="114" fillId="27" borderId="0" xfId="55" applyFont="1" applyFill="1"/>
    <xf numFmtId="0" fontId="117" fillId="27" borderId="0" xfId="55" applyFont="1" applyFill="1"/>
    <xf numFmtId="0" fontId="115" fillId="27" borderId="0" xfId="55" applyFont="1" applyFill="1"/>
    <xf numFmtId="0" fontId="114" fillId="0" borderId="0" xfId="55" applyFont="1"/>
    <xf numFmtId="0" fontId="114" fillId="27" borderId="0" xfId="55" applyFont="1" applyFill="1" applyAlignment="1">
      <alignment horizontal="center"/>
    </xf>
    <xf numFmtId="0" fontId="114" fillId="0" borderId="0" xfId="55" applyFont="1" applyAlignment="1">
      <alignment horizontal="center"/>
    </xf>
    <xf numFmtId="0" fontId="114" fillId="0" borderId="0" xfId="55" applyFont="1" applyAlignment="1">
      <alignment horizontal="right"/>
    </xf>
    <xf numFmtId="0" fontId="118" fillId="27" borderId="0" xfId="55" applyFont="1" applyFill="1"/>
    <xf numFmtId="0" fontId="118" fillId="0" borderId="0" xfId="55" applyFont="1"/>
    <xf numFmtId="0" fontId="119" fillId="27" borderId="0" xfId="55" applyFont="1" applyFill="1"/>
    <xf numFmtId="0" fontId="117" fillId="0" borderId="0" xfId="55" applyFont="1"/>
    <xf numFmtId="0" fontId="117" fillId="0" borderId="0" xfId="55" applyFont="1" applyAlignment="1">
      <alignment horizontal="right"/>
    </xf>
    <xf numFmtId="0" fontId="120" fillId="27" borderId="0" xfId="55" applyFont="1" applyFill="1"/>
    <xf numFmtId="0" fontId="117" fillId="0" borderId="0" xfId="0" applyFont="1"/>
    <xf numFmtId="1" fontId="121" fillId="0" borderId="0" xfId="55" applyNumberFormat="1" applyFont="1" applyAlignment="1">
      <alignment horizontal="right"/>
    </xf>
    <xf numFmtId="2" fontId="121" fillId="0" borderId="0" xfId="55" applyNumberFormat="1" applyFont="1" applyAlignment="1">
      <alignment horizontal="right"/>
    </xf>
    <xf numFmtId="1" fontId="122" fillId="0" borderId="0" xfId="55" applyNumberFormat="1" applyFont="1" applyAlignment="1">
      <alignment horizontal="right"/>
    </xf>
    <xf numFmtId="0" fontId="124" fillId="0" borderId="0" xfId="55" applyFont="1" applyAlignment="1">
      <alignment horizontal="left" vertical="center"/>
    </xf>
    <xf numFmtId="0" fontId="63" fillId="45" borderId="0" xfId="0" applyFont="1" applyFill="1" applyAlignment="1">
      <alignment horizontal="left"/>
    </xf>
    <xf numFmtId="0" fontId="72" fillId="0" borderId="9" xfId="0" applyFont="1" applyBorder="1" applyAlignment="1">
      <alignment horizontal="center" wrapText="1"/>
    </xf>
    <xf numFmtId="0" fontId="72" fillId="44" borderId="9" xfId="0" applyFont="1" applyFill="1" applyBorder="1" applyAlignment="1" applyProtection="1">
      <alignment horizontal="center" wrapText="1"/>
      <protection locked="0"/>
    </xf>
    <xf numFmtId="1" fontId="63" fillId="30" borderId="0" xfId="0" applyNumberFormat="1" applyFont="1" applyFill="1" applyAlignment="1">
      <alignment horizontal="center"/>
    </xf>
    <xf numFmtId="0" fontId="9" fillId="40" borderId="0" xfId="0" applyFont="1" applyFill="1" applyAlignment="1">
      <alignment horizontal="center"/>
    </xf>
    <xf numFmtId="0" fontId="9" fillId="30" borderId="0" xfId="0" applyFont="1" applyFill="1" applyAlignment="1">
      <alignment horizontal="center"/>
    </xf>
    <xf numFmtId="0" fontId="63" fillId="45" borderId="0" xfId="0" applyFont="1" applyFill="1" applyAlignment="1">
      <alignment horizontal="center" wrapText="1"/>
    </xf>
    <xf numFmtId="0" fontId="20" fillId="30" borderId="0" xfId="0" applyFont="1" applyFill="1" applyAlignment="1">
      <alignment horizontal="center" vertical="center" wrapText="1"/>
    </xf>
    <xf numFmtId="0" fontId="8" fillId="0" borderId="0" xfId="0" applyFont="1" applyAlignment="1">
      <alignment horizontal="center"/>
    </xf>
    <xf numFmtId="0" fontId="10" fillId="36" borderId="0" xfId="0" applyFont="1" applyFill="1" applyAlignment="1">
      <alignment horizontal="center"/>
    </xf>
    <xf numFmtId="0" fontId="8" fillId="27" borderId="19" xfId="0" applyFont="1" applyFill="1" applyBorder="1" applyAlignment="1">
      <alignment horizontal="center"/>
    </xf>
    <xf numFmtId="0" fontId="88" fillId="36" borderId="0" xfId="0" applyFont="1" applyFill="1" applyAlignment="1">
      <alignment horizontal="center"/>
    </xf>
    <xf numFmtId="0" fontId="9" fillId="38" borderId="0" xfId="0" applyFont="1" applyFill="1" applyAlignment="1">
      <alignment horizontal="center"/>
    </xf>
    <xf numFmtId="0" fontId="63" fillId="0" borderId="9" xfId="0" applyFont="1" applyBorder="1" applyAlignment="1">
      <alignment horizontal="center" wrapText="1"/>
    </xf>
    <xf numFmtId="0" fontId="63" fillId="30" borderId="9" xfId="0" applyFont="1" applyFill="1" applyBorder="1" applyAlignment="1">
      <alignment horizontal="center" wrapText="1"/>
    </xf>
    <xf numFmtId="0" fontId="8" fillId="0" borderId="0" xfId="0" applyFont="1" applyAlignment="1">
      <alignment horizontal="center" wrapText="1"/>
    </xf>
    <xf numFmtId="0" fontId="10" fillId="38" borderId="0" xfId="0" applyFont="1" applyFill="1" applyAlignment="1">
      <alignment horizontal="center" wrapText="1"/>
    </xf>
    <xf numFmtId="0" fontId="88" fillId="38" borderId="0" xfId="0" applyFont="1" applyFill="1" applyAlignment="1">
      <alignment horizontal="center" wrapText="1"/>
    </xf>
    <xf numFmtId="168" fontId="0" fillId="41" borderId="0" xfId="63" applyNumberFormat="1" applyFont="1" applyFill="1"/>
    <xf numFmtId="0" fontId="63" fillId="44" borderId="0" xfId="0" applyFont="1" applyFill="1" applyAlignment="1" applyProtection="1">
      <alignment horizontal="center"/>
      <protection locked="0"/>
    </xf>
    <xf numFmtId="0" fontId="127" fillId="27" borderId="0" xfId="55" applyFont="1" applyFill="1" applyAlignment="1">
      <alignment horizontal="left"/>
    </xf>
    <xf numFmtId="2" fontId="20" fillId="44" borderId="9" xfId="54" applyNumberFormat="1" applyFont="1" applyFill="1" applyBorder="1" applyAlignment="1" applyProtection="1">
      <alignment horizontal="center"/>
      <protection locked="0"/>
    </xf>
    <xf numFmtId="0" fontId="128" fillId="27" borderId="0" xfId="55" applyFont="1" applyFill="1" applyAlignment="1">
      <alignment horizontal="left"/>
    </xf>
    <xf numFmtId="0" fontId="129" fillId="27" borderId="0" xfId="55" applyFont="1" applyFill="1" applyAlignment="1">
      <alignment horizontal="left"/>
    </xf>
    <xf numFmtId="1" fontId="130" fillId="27" borderId="0" xfId="55" applyNumberFormat="1" applyFont="1" applyFill="1" applyAlignment="1">
      <alignment horizontal="right"/>
    </xf>
    <xf numFmtId="0" fontId="129" fillId="27" borderId="0" xfId="55" applyFont="1" applyFill="1"/>
    <xf numFmtId="1" fontId="129" fillId="27" borderId="0" xfId="55" applyNumberFormat="1" applyFont="1" applyFill="1" applyAlignment="1">
      <alignment horizontal="right"/>
    </xf>
    <xf numFmtId="165" fontId="131" fillId="0" borderId="0" xfId="56" applyNumberFormat="1" applyFont="1" applyFill="1" applyAlignment="1"/>
    <xf numFmtId="0" fontId="132" fillId="27" borderId="0" xfId="55" applyFont="1" applyFill="1"/>
    <xf numFmtId="9" fontId="131" fillId="27" borderId="0" xfId="54" applyFont="1" applyFill="1" applyAlignment="1"/>
    <xf numFmtId="0" fontId="128" fillId="0" borderId="0" xfId="0" applyFont="1"/>
    <xf numFmtId="0" fontId="129" fillId="0" borderId="0" xfId="0" applyFont="1"/>
    <xf numFmtId="0" fontId="133" fillId="27" borderId="18" xfId="55" applyFont="1" applyFill="1" applyBorder="1"/>
    <xf numFmtId="0" fontId="136" fillId="27" borderId="0" xfId="55" applyFont="1" applyFill="1"/>
    <xf numFmtId="0" fontId="137" fillId="27" borderId="0" xfId="55" applyFont="1" applyFill="1"/>
    <xf numFmtId="0" fontId="137" fillId="27" borderId="43" xfId="55" applyFont="1" applyFill="1" applyBorder="1"/>
    <xf numFmtId="0" fontId="136" fillId="27" borderId="18" xfId="55" applyFont="1" applyFill="1" applyBorder="1"/>
    <xf numFmtId="0" fontId="137" fillId="27" borderId="18" xfId="55" applyFont="1" applyFill="1" applyBorder="1"/>
    <xf numFmtId="0" fontId="137" fillId="27" borderId="44" xfId="55" applyFont="1" applyFill="1" applyBorder="1"/>
    <xf numFmtId="0" fontId="141" fillId="27" borderId="0" xfId="55" applyFont="1" applyFill="1"/>
    <xf numFmtId="0" fontId="142" fillId="27" borderId="0" xfId="55" applyFont="1" applyFill="1"/>
    <xf numFmtId="0" fontId="141" fillId="27" borderId="0" xfId="55" applyFont="1" applyFill="1" applyAlignment="1">
      <alignment horizontal="center"/>
    </xf>
    <xf numFmtId="3" fontId="141" fillId="27" borderId="0" xfId="55" applyNumberFormat="1" applyFont="1" applyFill="1"/>
    <xf numFmtId="0" fontId="136" fillId="27" borderId="0" xfId="55" applyFont="1" applyFill="1" applyAlignment="1">
      <alignment vertical="center"/>
    </xf>
    <xf numFmtId="0" fontId="136" fillId="27" borderId="43" xfId="55" applyFont="1" applyFill="1" applyBorder="1" applyAlignment="1">
      <alignment vertical="center"/>
    </xf>
    <xf numFmtId="0" fontId="136" fillId="27" borderId="21" xfId="55" applyFont="1" applyFill="1" applyBorder="1"/>
    <xf numFmtId="0" fontId="136" fillId="27" borderId="25" xfId="55" applyFont="1" applyFill="1" applyBorder="1"/>
    <xf numFmtId="0" fontId="136" fillId="27" borderId="18" xfId="55" applyFont="1" applyFill="1" applyBorder="1" applyAlignment="1">
      <alignment vertical="center"/>
    </xf>
    <xf numFmtId="0" fontId="136" fillId="27" borderId="44" xfId="55" applyFont="1" applyFill="1" applyBorder="1" applyAlignment="1">
      <alignment vertical="center"/>
    </xf>
    <xf numFmtId="0" fontId="144" fillId="0" borderId="0" xfId="55" applyFont="1"/>
    <xf numFmtId="0" fontId="127" fillId="27" borderId="0" xfId="55" applyFont="1" applyFill="1"/>
    <xf numFmtId="0" fontId="129" fillId="0" borderId="0" xfId="55" applyFont="1"/>
    <xf numFmtId="167" fontId="134" fillId="0" borderId="0" xfId="55" applyNumberFormat="1" applyFont="1" applyAlignment="1">
      <alignment horizontal="right"/>
    </xf>
    <xf numFmtId="3" fontId="134" fillId="27" borderId="0" xfId="55" applyNumberFormat="1" applyFont="1" applyFill="1" applyAlignment="1">
      <alignment horizontal="right"/>
    </xf>
    <xf numFmtId="0" fontId="123" fillId="0" borderId="0" xfId="0" applyFont="1" applyAlignment="1">
      <alignment vertical="top" wrapText="1"/>
    </xf>
    <xf numFmtId="0" fontId="144" fillId="27" borderId="0" xfId="55" applyFont="1" applyFill="1"/>
    <xf numFmtId="0" fontId="15" fillId="0" borderId="0" xfId="0" applyFont="1"/>
    <xf numFmtId="168" fontId="0" fillId="0" borderId="0" xfId="0" applyNumberFormat="1"/>
    <xf numFmtId="1" fontId="57" fillId="27" borderId="42" xfId="0" applyNumberFormat="1" applyFont="1" applyFill="1" applyBorder="1" applyAlignment="1">
      <alignment horizontal="center"/>
    </xf>
    <xf numFmtId="0" fontId="57" fillId="27" borderId="0" xfId="0" applyFont="1" applyFill="1" applyAlignment="1">
      <alignment horizontal="center"/>
    </xf>
    <xf numFmtId="0" fontId="63" fillId="44" borderId="9" xfId="0" applyFont="1" applyFill="1" applyBorder="1" applyAlignment="1">
      <alignment horizontal="center" wrapText="1"/>
    </xf>
    <xf numFmtId="0" fontId="63" fillId="44" borderId="0" xfId="0" applyFont="1" applyFill="1" applyAlignment="1">
      <alignment horizontal="center" wrapText="1"/>
    </xf>
    <xf numFmtId="0" fontId="5" fillId="0" borderId="0" xfId="64"/>
    <xf numFmtId="0" fontId="147" fillId="46" borderId="0" xfId="64" applyFont="1" applyFill="1"/>
    <xf numFmtId="0" fontId="148" fillId="46" borderId="0" xfId="64" applyFont="1" applyFill="1"/>
    <xf numFmtId="0" fontId="148" fillId="46" borderId="45" xfId="64" applyFont="1" applyFill="1" applyBorder="1"/>
    <xf numFmtId="0" fontId="5" fillId="46" borderId="0" xfId="64" applyFill="1" applyAlignment="1">
      <alignment horizontal="left"/>
    </xf>
    <xf numFmtId="0" fontId="5" fillId="43" borderId="0" xfId="64" applyFill="1"/>
    <xf numFmtId="0" fontId="5" fillId="43" borderId="0" xfId="64" applyFill="1" applyAlignment="1">
      <alignment wrapText="1"/>
    </xf>
    <xf numFmtId="0" fontId="5" fillId="47" borderId="0" xfId="64" applyFill="1"/>
    <xf numFmtId="0" fontId="5" fillId="0" borderId="0" xfId="64" applyAlignment="1">
      <alignment wrapText="1"/>
    </xf>
    <xf numFmtId="0" fontId="5" fillId="0" borderId="45" xfId="64" applyBorder="1"/>
    <xf numFmtId="0" fontId="5" fillId="0" borderId="0" xfId="64" applyAlignment="1">
      <alignment horizontal="left"/>
    </xf>
    <xf numFmtId="0" fontId="5" fillId="0" borderId="45" xfId="64" applyBorder="1" applyAlignment="1">
      <alignment wrapText="1"/>
    </xf>
    <xf numFmtId="0" fontId="151" fillId="0" borderId="0" xfId="64" applyFont="1" applyAlignment="1">
      <alignment horizontal="left"/>
    </xf>
    <xf numFmtId="0" fontId="149" fillId="0" borderId="0" xfId="64" applyFont="1" applyAlignment="1">
      <alignment horizontal="left"/>
    </xf>
    <xf numFmtId="0" fontId="150" fillId="0" borderId="45" xfId="64" applyFont="1" applyBorder="1" applyAlignment="1">
      <alignment wrapText="1"/>
    </xf>
    <xf numFmtId="0" fontId="5" fillId="0" borderId="0" xfId="64" applyAlignment="1">
      <alignment vertical="top" wrapText="1"/>
    </xf>
    <xf numFmtId="0" fontId="5" fillId="0" borderId="45" xfId="64" applyBorder="1" applyAlignment="1">
      <alignment vertical="top" wrapText="1"/>
    </xf>
    <xf numFmtId="0" fontId="5" fillId="0" borderId="0" xfId="64" applyAlignment="1">
      <alignment horizontal="left" vertical="top" wrapText="1"/>
    </xf>
    <xf numFmtId="0" fontId="5" fillId="47" borderId="0" xfId="64" applyFill="1" applyAlignment="1">
      <alignment vertical="top"/>
    </xf>
    <xf numFmtId="0" fontId="149" fillId="0" borderId="0" xfId="64" applyFont="1" applyAlignment="1">
      <alignment horizontal="left" vertical="top" wrapText="1"/>
    </xf>
    <xf numFmtId="0" fontId="5" fillId="0" borderId="0" xfId="64" applyAlignment="1">
      <alignment vertical="top"/>
    </xf>
    <xf numFmtId="0" fontId="5" fillId="0" borderId="45" xfId="64" applyBorder="1" applyAlignment="1">
      <alignment horizontal="left"/>
    </xf>
    <xf numFmtId="0" fontId="72" fillId="45" borderId="46" xfId="0" applyFont="1" applyFill="1" applyBorder="1"/>
    <xf numFmtId="0" fontId="63" fillId="45" borderId="48" xfId="0" applyFont="1" applyFill="1" applyBorder="1" applyAlignment="1">
      <alignment horizontal="left"/>
    </xf>
    <xf numFmtId="0" fontId="5" fillId="0" borderId="49" xfId="64" applyBorder="1"/>
    <xf numFmtId="0" fontId="4" fillId="47" borderId="0" xfId="64" applyFont="1" applyFill="1"/>
    <xf numFmtId="22" fontId="0" fillId="27" borderId="0" xfId="0" applyNumberFormat="1" applyFill="1"/>
    <xf numFmtId="0" fontId="63" fillId="30" borderId="47" xfId="0" applyFont="1" applyFill="1" applyBorder="1"/>
    <xf numFmtId="0" fontId="3" fillId="0" borderId="45" xfId="64" applyFont="1" applyBorder="1"/>
    <xf numFmtId="0" fontId="150" fillId="0" borderId="45" xfId="64" applyFont="1" applyBorder="1"/>
    <xf numFmtId="0" fontId="3" fillId="0" borderId="49" xfId="64" applyFont="1" applyBorder="1"/>
    <xf numFmtId="0" fontId="3" fillId="0" borderId="0" xfId="65"/>
    <xf numFmtId="0" fontId="2" fillId="0" borderId="0" xfId="65" applyFont="1"/>
    <xf numFmtId="0" fontId="153" fillId="0" borderId="50" xfId="0" applyFont="1" applyBorder="1" applyAlignment="1">
      <alignment vertical="center" wrapText="1"/>
    </xf>
    <xf numFmtId="0" fontId="2" fillId="0" borderId="0" xfId="64" applyFont="1"/>
    <xf numFmtId="0" fontId="2" fillId="47" borderId="0" xfId="64" applyFont="1" applyFill="1"/>
    <xf numFmtId="0" fontId="5" fillId="0" borderId="51" xfId="64" applyBorder="1"/>
    <xf numFmtId="0" fontId="5" fillId="0" borderId="9" xfId="64" applyBorder="1"/>
    <xf numFmtId="0" fontId="58" fillId="0" borderId="34" xfId="60" applyFont="1" applyBorder="1"/>
    <xf numFmtId="0" fontId="153" fillId="0" borderId="52" xfId="0" applyFont="1" applyBorder="1" applyAlignment="1">
      <alignment vertical="center" wrapText="1"/>
    </xf>
    <xf numFmtId="0" fontId="153" fillId="0" borderId="9" xfId="0" applyFont="1" applyBorder="1" applyAlignment="1">
      <alignment vertical="center" wrapText="1"/>
    </xf>
    <xf numFmtId="0" fontId="2" fillId="0" borderId="0" xfId="64" applyFont="1" applyAlignment="1">
      <alignment wrapText="1"/>
    </xf>
    <xf numFmtId="0" fontId="2" fillId="0" borderId="45" xfId="64" applyFont="1" applyBorder="1"/>
    <xf numFmtId="0" fontId="2" fillId="0" borderId="0" xfId="64" applyFont="1" applyAlignment="1">
      <alignment horizontal="left"/>
    </xf>
    <xf numFmtId="1" fontId="134" fillId="0" borderId="0" xfId="62" applyNumberFormat="1" applyFont="1" applyFill="1" applyBorder="1" applyAlignment="1">
      <alignment horizontal="right"/>
    </xf>
    <xf numFmtId="2" fontId="20" fillId="44" borderId="53" xfId="0" applyNumberFormat="1" applyFont="1" applyFill="1" applyBorder="1" applyAlignment="1" applyProtection="1">
      <alignment horizontal="center"/>
      <protection locked="0"/>
    </xf>
    <xf numFmtId="0" fontId="72" fillId="30" borderId="0" xfId="0" applyFont="1" applyFill="1" applyAlignment="1">
      <alignment horizontal="right"/>
    </xf>
    <xf numFmtId="0" fontId="72" fillId="30" borderId="43" xfId="0" applyFont="1" applyFill="1" applyBorder="1" applyAlignment="1">
      <alignment horizontal="right"/>
    </xf>
    <xf numFmtId="0" fontId="60" fillId="27" borderId="26" xfId="0" applyFont="1" applyFill="1" applyBorder="1" applyAlignment="1">
      <alignment horizontal="left"/>
    </xf>
    <xf numFmtId="0" fontId="60" fillId="27" borderId="21" xfId="0" applyFont="1" applyFill="1" applyBorder="1" applyAlignment="1">
      <alignment horizontal="left"/>
    </xf>
    <xf numFmtId="0" fontId="60" fillId="27" borderId="25" xfId="0" applyFont="1" applyFill="1" applyBorder="1" applyAlignment="1">
      <alignment horizontal="left"/>
    </xf>
    <xf numFmtId="0" fontId="33" fillId="30" borderId="0" xfId="0" applyFont="1" applyFill="1" applyAlignment="1">
      <alignment horizontal="left"/>
    </xf>
    <xf numFmtId="0" fontId="53" fillId="30" borderId="0" xfId="0" applyFont="1" applyFill="1" applyAlignment="1">
      <alignment horizontal="left"/>
    </xf>
    <xf numFmtId="0" fontId="20" fillId="30" borderId="0" xfId="0" applyFont="1" applyFill="1" applyAlignment="1">
      <alignment horizontal="center"/>
    </xf>
    <xf numFmtId="0" fontId="39" fillId="30" borderId="0" xfId="0" applyFont="1" applyFill="1" applyAlignment="1">
      <alignment horizontal="left"/>
    </xf>
    <xf numFmtId="0" fontId="63" fillId="30" borderId="0" xfId="0" applyFont="1" applyFill="1" applyAlignment="1">
      <alignment horizontal="left"/>
    </xf>
    <xf numFmtId="0" fontId="63" fillId="30" borderId="43" xfId="0" applyFont="1" applyFill="1" applyBorder="1" applyAlignment="1">
      <alignment horizontal="left"/>
    </xf>
    <xf numFmtId="0" fontId="20" fillId="30" borderId="0" xfId="0" applyFont="1" applyFill="1" applyAlignment="1">
      <alignment horizontal="left"/>
    </xf>
    <xf numFmtId="0" fontId="42" fillId="38" borderId="22" xfId="0" applyFont="1" applyFill="1" applyBorder="1" applyAlignment="1">
      <alignment horizontal="left" vertical="center" wrapText="1"/>
    </xf>
    <xf numFmtId="0" fontId="33" fillId="30" borderId="0" xfId="0" applyFont="1" applyFill="1" applyAlignment="1">
      <alignment horizontal="center" vertical="center" wrapText="1"/>
    </xf>
    <xf numFmtId="0" fontId="55" fillId="30" borderId="0" xfId="0" applyFont="1" applyFill="1" applyAlignment="1">
      <alignment horizontal="left" vertical="center" wrapText="1"/>
    </xf>
    <xf numFmtId="0" fontId="20" fillId="30" borderId="18" xfId="0" applyFont="1" applyFill="1" applyBorder="1" applyAlignment="1">
      <alignment horizontal="center"/>
    </xf>
    <xf numFmtId="0" fontId="49" fillId="38" borderId="0" xfId="0" applyFont="1" applyFill="1" applyAlignment="1">
      <alignment horizontal="left"/>
    </xf>
    <xf numFmtId="0" fontId="37" fillId="30" borderId="18" xfId="0" applyFont="1" applyFill="1" applyBorder="1" applyAlignment="1">
      <alignment horizontal="left"/>
    </xf>
    <xf numFmtId="3" fontId="51" fillId="30" borderId="29" xfId="0" applyNumberFormat="1" applyFont="1" applyFill="1" applyBorder="1" applyAlignment="1">
      <alignment horizontal="left"/>
    </xf>
    <xf numFmtId="0" fontId="51" fillId="30" borderId="0" xfId="0" applyFont="1" applyFill="1" applyAlignment="1">
      <alignment horizontal="left"/>
    </xf>
    <xf numFmtId="0" fontId="38" fillId="38" borderId="0" xfId="0" applyFont="1" applyFill="1" applyAlignment="1">
      <alignment horizontal="left"/>
    </xf>
    <xf numFmtId="0" fontId="33" fillId="30" borderId="0" xfId="0" applyFont="1" applyFill="1" applyAlignment="1">
      <alignment horizontal="center"/>
    </xf>
    <xf numFmtId="0" fontId="33" fillId="30" borderId="28" xfId="0" applyFont="1" applyFill="1" applyBorder="1" applyAlignment="1">
      <alignment horizontal="left"/>
    </xf>
    <xf numFmtId="0" fontId="33" fillId="30" borderId="18" xfId="0" applyFont="1" applyFill="1" applyBorder="1" applyAlignment="1">
      <alignment horizontal="left"/>
    </xf>
    <xf numFmtId="0" fontId="20" fillId="30" borderId="29" xfId="0" applyFont="1" applyFill="1" applyBorder="1" applyAlignment="1">
      <alignment horizontal="left"/>
    </xf>
    <xf numFmtId="0" fontId="57" fillId="27" borderId="0" xfId="55" applyFont="1" applyFill="1" applyAlignment="1">
      <alignment horizontal="left" vertical="top" wrapText="1"/>
    </xf>
    <xf numFmtId="0" fontId="57" fillId="27" borderId="0" xfId="31" applyFont="1" applyFill="1" applyAlignment="1" applyProtection="1">
      <alignment horizontal="left" vertical="top" wrapText="1"/>
    </xf>
    <xf numFmtId="0" fontId="93" fillId="27" borderId="0" xfId="55" applyFont="1" applyFill="1" applyAlignment="1">
      <alignment horizontal="left" vertical="top" wrapText="1"/>
    </xf>
    <xf numFmtId="0" fontId="85" fillId="27" borderId="0" xfId="55" applyFont="1" applyFill="1" applyAlignment="1">
      <alignment horizontal="left" vertical="top" wrapText="1"/>
    </xf>
    <xf numFmtId="0" fontId="57" fillId="0" borderId="0" xfId="55" applyFont="1" applyAlignment="1">
      <alignment horizontal="left" vertical="top" wrapText="1"/>
    </xf>
    <xf numFmtId="0" fontId="57" fillId="0" borderId="0" xfId="55" applyFont="1"/>
    <xf numFmtId="0" fontId="53" fillId="27" borderId="0" xfId="55" applyFont="1" applyFill="1" applyAlignment="1">
      <alignment horizontal="left" vertical="top" wrapText="1"/>
    </xf>
    <xf numFmtId="0" fontId="57" fillId="27" borderId="0" xfId="55" applyFont="1" applyFill="1" applyAlignment="1">
      <alignment horizontal="left" vertical="center" wrapText="1"/>
    </xf>
    <xf numFmtId="0" fontId="65" fillId="27" borderId="0" xfId="55" applyFont="1" applyFill="1" applyAlignment="1">
      <alignment horizontal="left" vertical="top" wrapText="1"/>
    </xf>
    <xf numFmtId="0" fontId="57" fillId="26" borderId="0" xfId="55" applyFont="1" applyFill="1"/>
    <xf numFmtId="0" fontId="43" fillId="27" borderId="0" xfId="55" applyFont="1" applyFill="1" applyAlignment="1">
      <alignment horizontal="left"/>
    </xf>
    <xf numFmtId="0" fontId="64" fillId="27" borderId="0" xfId="31" applyFont="1" applyFill="1" applyAlignment="1" applyProtection="1">
      <alignment wrapText="1"/>
    </xf>
    <xf numFmtId="0" fontId="57" fillId="0" borderId="0" xfId="55" applyFont="1" applyAlignment="1">
      <alignment wrapText="1"/>
    </xf>
    <xf numFmtId="0" fontId="70" fillId="27" borderId="0" xfId="55" applyFont="1" applyFill="1" applyAlignment="1">
      <alignment horizontal="left" vertical="top" wrapText="1"/>
    </xf>
    <xf numFmtId="0" fontId="57" fillId="27" borderId="0" xfId="55" applyFont="1" applyFill="1" applyAlignment="1">
      <alignment horizontal="left" wrapText="1"/>
    </xf>
    <xf numFmtId="0" fontId="63" fillId="39" borderId="0" xfId="0" applyFont="1" applyFill="1" applyAlignment="1">
      <alignment horizontal="left"/>
    </xf>
    <xf numFmtId="0" fontId="39" fillId="39" borderId="0" xfId="0" applyFont="1" applyFill="1" applyAlignment="1">
      <alignment horizontal="left"/>
    </xf>
    <xf numFmtId="0" fontId="72" fillId="39" borderId="0" xfId="0" applyFont="1" applyFill="1" applyAlignment="1">
      <alignment horizontal="right"/>
    </xf>
    <xf numFmtId="0" fontId="60" fillId="44" borderId="9" xfId="0" applyFont="1" applyFill="1" applyBorder="1" applyAlignment="1" applyProtection="1">
      <alignment horizontal="left"/>
      <protection locked="0"/>
    </xf>
    <xf numFmtId="0" fontId="53" fillId="39" borderId="0" xfId="0" applyFont="1" applyFill="1" applyAlignment="1">
      <alignment horizontal="left" wrapText="1"/>
    </xf>
    <xf numFmtId="0" fontId="53" fillId="39" borderId="0" xfId="0" applyFont="1" applyFill="1" applyAlignment="1">
      <alignment horizontal="left"/>
    </xf>
    <xf numFmtId="49" fontId="60" fillId="44" borderId="9" xfId="0" applyNumberFormat="1" applyFont="1" applyFill="1" applyBorder="1" applyAlignment="1" applyProtection="1">
      <alignment horizontal="left"/>
      <protection locked="0"/>
    </xf>
    <xf numFmtId="0" fontId="42" fillId="40" borderId="0" xfId="31" applyFont="1" applyFill="1" applyAlignment="1" applyProtection="1">
      <alignment horizontal="center" vertical="center" wrapText="1"/>
    </xf>
    <xf numFmtId="0" fontId="38" fillId="36" borderId="0" xfId="0" applyFont="1" applyFill="1" applyAlignment="1">
      <alignment horizontal="left"/>
    </xf>
    <xf numFmtId="0" fontId="38" fillId="36" borderId="20" xfId="0" applyFont="1" applyFill="1" applyBorder="1" applyAlignment="1">
      <alignment horizontal="left"/>
    </xf>
    <xf numFmtId="0" fontId="72" fillId="30" borderId="0" xfId="0" applyFont="1" applyFill="1" applyAlignment="1">
      <alignment horizontal="left"/>
    </xf>
    <xf numFmtId="0" fontId="20" fillId="30" borderId="18" xfId="0" applyFont="1" applyFill="1" applyBorder="1" applyAlignment="1">
      <alignment horizontal="left"/>
    </xf>
    <xf numFmtId="0" fontId="42" fillId="36" borderId="22" xfId="0" applyFont="1" applyFill="1" applyBorder="1" applyAlignment="1">
      <alignment horizontal="left" vertical="center" wrapText="1"/>
    </xf>
    <xf numFmtId="0" fontId="49" fillId="36" borderId="0" xfId="0" applyFont="1" applyFill="1" applyAlignment="1">
      <alignment horizontal="left"/>
    </xf>
    <xf numFmtId="0" fontId="72" fillId="30" borderId="35" xfId="0" applyFont="1" applyFill="1" applyBorder="1" applyAlignment="1">
      <alignment horizontal="left" wrapText="1"/>
    </xf>
    <xf numFmtId="0" fontId="72" fillId="30" borderId="36" xfId="0" applyFont="1" applyFill="1" applyBorder="1" applyAlignment="1">
      <alignment horizontal="left" wrapText="1"/>
    </xf>
    <xf numFmtId="0" fontId="72" fillId="30" borderId="37" xfId="0" applyFont="1" applyFill="1" applyBorder="1" applyAlignment="1">
      <alignment horizontal="left" wrapText="1"/>
    </xf>
    <xf numFmtId="0" fontId="60" fillId="27" borderId="9" xfId="0" applyFont="1" applyFill="1" applyBorder="1" applyAlignment="1" applyProtection="1">
      <alignment horizontal="left"/>
      <protection locked="0"/>
    </xf>
    <xf numFmtId="0" fontId="42" fillId="26" borderId="0" xfId="31" applyFont="1" applyFill="1" applyAlignment="1" applyProtection="1">
      <alignment horizontal="center" vertical="center"/>
    </xf>
    <xf numFmtId="0" fontId="42" fillId="26" borderId="0" xfId="0" applyFont="1" applyFill="1" applyAlignment="1">
      <alignment horizontal="center" vertical="center"/>
    </xf>
    <xf numFmtId="49" fontId="60" fillId="27" borderId="9" xfId="0" applyNumberFormat="1" applyFont="1" applyFill="1" applyBorder="1" applyAlignment="1" applyProtection="1">
      <alignment horizontal="left"/>
      <protection locked="0"/>
    </xf>
    <xf numFmtId="0" fontId="42" fillId="33" borderId="22" xfId="0" applyFont="1" applyFill="1" applyBorder="1" applyAlignment="1">
      <alignment horizontal="left" vertical="center" wrapText="1"/>
    </xf>
    <xf numFmtId="0" fontId="49" fillId="33" borderId="0" xfId="0" applyFont="1" applyFill="1" applyAlignment="1">
      <alignment horizontal="left"/>
    </xf>
    <xf numFmtId="0" fontId="38" fillId="33" borderId="0" xfId="0" applyFont="1" applyFill="1" applyAlignment="1">
      <alignment horizontal="left"/>
    </xf>
    <xf numFmtId="0" fontId="51" fillId="30" borderId="29" xfId="0" applyFont="1" applyFill="1" applyBorder="1" applyAlignment="1">
      <alignment horizontal="left"/>
    </xf>
    <xf numFmtId="0" fontId="42" fillId="34" borderId="22" xfId="0" applyFont="1" applyFill="1" applyBorder="1" applyAlignment="1">
      <alignment horizontal="left" vertical="center" wrapText="1"/>
    </xf>
    <xf numFmtId="0" fontId="49" fillId="34" borderId="0" xfId="0" applyFont="1" applyFill="1" applyAlignment="1">
      <alignment horizontal="left"/>
    </xf>
    <xf numFmtId="0" fontId="38" fillId="34" borderId="0" xfId="0" applyFont="1" applyFill="1" applyAlignment="1">
      <alignment horizontal="left"/>
    </xf>
    <xf numFmtId="0" fontId="62" fillId="31" borderId="0" xfId="60" applyFont="1" applyFill="1"/>
    <xf numFmtId="0" fontId="58" fillId="31" borderId="0" xfId="60" applyFont="1" applyFill="1"/>
    <xf numFmtId="0" fontId="42" fillId="26" borderId="0" xfId="0" applyFont="1" applyFill="1"/>
    <xf numFmtId="0" fontId="57" fillId="27" borderId="0" xfId="0" applyFont="1" applyFill="1" applyAlignment="1">
      <alignment wrapText="1"/>
    </xf>
    <xf numFmtId="0" fontId="57" fillId="0" borderId="0" xfId="0" applyFont="1" applyAlignment="1">
      <alignment wrapText="1"/>
    </xf>
    <xf numFmtId="0" fontId="62" fillId="31" borderId="18" xfId="0" applyFont="1" applyFill="1" applyBorder="1" applyAlignment="1">
      <alignment horizontal="left"/>
    </xf>
    <xf numFmtId="0" fontId="57" fillId="27" borderId="21" xfId="0" applyFont="1" applyFill="1" applyBorder="1" applyAlignment="1">
      <alignment horizontal="left" vertical="center" wrapText="1"/>
    </xf>
    <xf numFmtId="0" fontId="57" fillId="27" borderId="21" xfId="0" applyFont="1" applyFill="1" applyBorder="1" applyAlignment="1">
      <alignment horizontal="left" wrapText="1"/>
    </xf>
    <xf numFmtId="0" fontId="57" fillId="27" borderId="21" xfId="0" applyFont="1" applyFill="1" applyBorder="1" applyAlignment="1">
      <alignment horizontal="left"/>
    </xf>
    <xf numFmtId="0" fontId="57" fillId="27" borderId="21" xfId="0" applyFont="1" applyFill="1" applyBorder="1" applyAlignment="1">
      <alignment horizontal="left" vertical="top" wrapText="1"/>
    </xf>
    <xf numFmtId="0" fontId="57" fillId="0" borderId="20" xfId="0" applyFont="1" applyBorder="1" applyAlignment="1">
      <alignment horizontal="left" vertical="center" wrapText="1"/>
    </xf>
    <xf numFmtId="0" fontId="57" fillId="0" borderId="21" xfId="0" applyFont="1" applyBorder="1" applyAlignment="1">
      <alignment horizontal="left" vertical="center" wrapText="1"/>
    </xf>
    <xf numFmtId="0" fontId="66" fillId="31" borderId="0" xfId="60" applyFont="1" applyFill="1"/>
    <xf numFmtId="0" fontId="67" fillId="31" borderId="0" xfId="60" applyFont="1" applyFill="1"/>
    <xf numFmtId="0" fontId="59" fillId="0" borderId="0" xfId="60" applyFont="1" applyAlignment="1">
      <alignment horizontal="left" wrapText="1"/>
    </xf>
    <xf numFmtId="0" fontId="59" fillId="0" borderId="0" xfId="60" applyFont="1" applyAlignment="1">
      <alignment wrapText="1"/>
    </xf>
    <xf numFmtId="0" fontId="13" fillId="0" borderId="0" xfId="0" applyFont="1" applyAlignment="1">
      <alignment wrapText="1"/>
    </xf>
    <xf numFmtId="0" fontId="69" fillId="27" borderId="0" xfId="0" applyFont="1" applyFill="1" applyAlignment="1">
      <alignment horizontal="left" vertical="top" wrapText="1"/>
    </xf>
    <xf numFmtId="0" fontId="69" fillId="27" borderId="0" xfId="0" applyFont="1" applyFill="1" applyAlignment="1">
      <alignment horizontal="left" vertical="top"/>
    </xf>
    <xf numFmtId="0" fontId="57" fillId="0" borderId="0" xfId="0" applyFont="1"/>
    <xf numFmtId="0" fontId="57" fillId="27" borderId="0" xfId="0" applyFont="1" applyFill="1" applyAlignment="1">
      <alignment horizontal="left" vertical="top" wrapText="1"/>
    </xf>
    <xf numFmtId="0" fontId="57" fillId="0" borderId="0" xfId="0" applyFont="1" applyAlignment="1">
      <alignment vertical="top" wrapText="1"/>
    </xf>
    <xf numFmtId="0" fontId="13" fillId="0" borderId="0" xfId="0" applyFont="1"/>
    <xf numFmtId="0" fontId="62" fillId="0" borderId="26" xfId="60" applyFont="1" applyBorder="1" applyAlignment="1">
      <alignment horizontal="center" vertical="center" wrapText="1"/>
    </xf>
    <xf numFmtId="0" fontId="62" fillId="0" borderId="21" xfId="60" applyFont="1" applyBorder="1" applyAlignment="1">
      <alignment horizontal="center" vertical="center" wrapText="1"/>
    </xf>
    <xf numFmtId="0" fontId="62" fillId="0" borderId="25" xfId="60" applyFont="1" applyBorder="1" applyAlignment="1">
      <alignment horizontal="center" vertical="center" wrapText="1"/>
    </xf>
    <xf numFmtId="0" fontId="97" fillId="27" borderId="0" xfId="0" applyFont="1" applyFill="1" applyAlignment="1">
      <alignment horizontal="left" wrapText="1"/>
    </xf>
    <xf numFmtId="0" fontId="42" fillId="26" borderId="0" xfId="55" applyFont="1" applyFill="1"/>
    <xf numFmtId="0" fontId="62" fillId="0" borderId="26" xfId="58" applyFont="1" applyBorder="1" applyAlignment="1">
      <alignment horizontal="center" vertical="center" wrapText="1"/>
    </xf>
    <xf numFmtId="0" fontId="62" fillId="0" borderId="25" xfId="58" applyFont="1" applyBorder="1" applyAlignment="1">
      <alignment horizontal="center" vertical="center" wrapText="1"/>
    </xf>
    <xf numFmtId="0" fontId="57" fillId="27" borderId="0" xfId="55" applyFont="1" applyFill="1" applyAlignment="1">
      <alignment vertical="top" wrapText="1"/>
    </xf>
    <xf numFmtId="0" fontId="57" fillId="0" borderId="27" xfId="0" applyFont="1" applyBorder="1" applyAlignment="1">
      <alignment vertical="top" wrapText="1"/>
    </xf>
    <xf numFmtId="0" fontId="57" fillId="0" borderId="27" xfId="0" applyFont="1" applyBorder="1" applyAlignment="1">
      <alignment wrapText="1"/>
    </xf>
    <xf numFmtId="0" fontId="57" fillId="27" borderId="27" xfId="31" applyFont="1" applyFill="1" applyBorder="1" applyAlignment="1" applyProtection="1">
      <alignment horizontal="left" vertical="top" wrapText="1"/>
    </xf>
    <xf numFmtId="0" fontId="95" fillId="27" borderId="0" xfId="55" applyFont="1" applyFill="1" applyAlignment="1">
      <alignment horizontal="left" vertical="top" wrapText="1"/>
    </xf>
    <xf numFmtId="0" fontId="96" fillId="27" borderId="0" xfId="31" applyFont="1" applyFill="1" applyAlignment="1" applyProtection="1">
      <alignment horizontal="left" vertical="top" wrapText="1"/>
    </xf>
    <xf numFmtId="0" fontId="57" fillId="27" borderId="0" xfId="55" applyFont="1" applyFill="1" applyAlignment="1">
      <alignment horizontal="left"/>
    </xf>
    <xf numFmtId="0" fontId="62" fillId="27" borderId="0" xfId="55" applyFont="1" applyFill="1" applyAlignment="1">
      <alignment horizontal="center"/>
    </xf>
    <xf numFmtId="0" fontId="57" fillId="27" borderId="0" xfId="55" applyFont="1" applyFill="1" applyAlignment="1">
      <alignment horizontal="right"/>
    </xf>
    <xf numFmtId="0" fontId="57" fillId="27" borderId="18" xfId="55" applyFont="1" applyFill="1" applyBorder="1" applyAlignment="1">
      <alignment horizontal="left"/>
    </xf>
    <xf numFmtId="49" fontId="57" fillId="27" borderId="18" xfId="55" applyNumberFormat="1" applyFont="1" applyFill="1" applyBorder="1" applyAlignment="1">
      <alignment horizontal="left"/>
    </xf>
    <xf numFmtId="0" fontId="58" fillId="27" borderId="0" xfId="55" applyFont="1" applyFill="1" applyAlignment="1">
      <alignment horizontal="right"/>
    </xf>
    <xf numFmtId="0" fontId="62" fillId="27" borderId="18" xfId="55" applyFont="1" applyFill="1" applyBorder="1" applyAlignment="1">
      <alignment horizontal="center"/>
    </xf>
    <xf numFmtId="3" fontId="59" fillId="27" borderId="0" xfId="55" applyNumberFormat="1" applyFont="1" applyFill="1" applyAlignment="1">
      <alignment horizontal="center"/>
    </xf>
    <xf numFmtId="9" fontId="59" fillId="27" borderId="0" xfId="54" applyFont="1" applyFill="1" applyAlignment="1">
      <alignment horizontal="center"/>
    </xf>
    <xf numFmtId="3" fontId="59" fillId="27" borderId="18" xfId="55" applyNumberFormat="1" applyFont="1" applyFill="1" applyBorder="1" applyAlignment="1">
      <alignment horizontal="center"/>
    </xf>
    <xf numFmtId="0" fontId="62" fillId="27" borderId="18" xfId="55" applyFont="1" applyFill="1" applyBorder="1" applyAlignment="1">
      <alignment horizontal="left"/>
    </xf>
    <xf numFmtId="0" fontId="62" fillId="27" borderId="20" xfId="55" applyFont="1" applyFill="1" applyBorder="1" applyAlignment="1">
      <alignment horizontal="center"/>
    </xf>
    <xf numFmtId="10" fontId="59" fillId="27" borderId="0" xfId="54" applyNumberFormat="1" applyFont="1" applyFill="1" applyAlignment="1">
      <alignment horizontal="center"/>
    </xf>
    <xf numFmtId="0" fontId="134" fillId="27" borderId="0" xfId="55" applyFont="1" applyFill="1" applyAlignment="1">
      <alignment horizontal="left"/>
    </xf>
    <xf numFmtId="0" fontId="134" fillId="0" borderId="0" xfId="55" applyFont="1" applyAlignment="1">
      <alignment horizontal="left"/>
    </xf>
    <xf numFmtId="0" fontId="145" fillId="0" borderId="0" xfId="0" applyFont="1" applyAlignment="1">
      <alignment horizontal="left" vertical="top" wrapText="1"/>
    </xf>
    <xf numFmtId="0" fontId="133" fillId="27" borderId="18" xfId="55" applyFont="1" applyFill="1" applyBorder="1" applyAlignment="1">
      <alignment horizontal="left"/>
    </xf>
    <xf numFmtId="0" fontId="135" fillId="27" borderId="18" xfId="55" applyFont="1" applyFill="1" applyBorder="1" applyAlignment="1">
      <alignment horizontal="center"/>
    </xf>
    <xf numFmtId="3" fontId="138" fillId="27" borderId="0" xfId="55" applyNumberFormat="1" applyFont="1" applyFill="1"/>
    <xf numFmtId="3" fontId="138" fillId="27" borderId="43" xfId="55" applyNumberFormat="1" applyFont="1" applyFill="1" applyBorder="1"/>
    <xf numFmtId="3" fontId="138" fillId="27" borderId="29" xfId="55" applyNumberFormat="1" applyFont="1" applyFill="1" applyBorder="1" applyAlignment="1">
      <alignment horizontal="right"/>
    </xf>
    <xf numFmtId="3" fontId="138" fillId="27" borderId="0" xfId="55" applyNumberFormat="1" applyFont="1" applyFill="1" applyAlignment="1">
      <alignment horizontal="right"/>
    </xf>
    <xf numFmtId="3" fontId="138" fillId="27" borderId="43" xfId="55" applyNumberFormat="1" applyFont="1" applyFill="1" applyBorder="1" applyAlignment="1">
      <alignment horizontal="right"/>
    </xf>
    <xf numFmtId="9" fontId="138" fillId="27" borderId="29" xfId="54" applyFont="1" applyFill="1" applyBorder="1" applyAlignment="1">
      <alignment horizontal="center"/>
    </xf>
    <xf numFmtId="9" fontId="138" fillId="27" borderId="0" xfId="54" applyFont="1" applyFill="1" applyBorder="1" applyAlignment="1">
      <alignment horizontal="center"/>
    </xf>
    <xf numFmtId="9" fontId="138" fillId="27" borderId="43" xfId="54" applyFont="1" applyFill="1" applyBorder="1" applyAlignment="1">
      <alignment horizontal="center"/>
    </xf>
    <xf numFmtId="3" fontId="138" fillId="27" borderId="28" xfId="55" applyNumberFormat="1" applyFont="1" applyFill="1" applyBorder="1" applyAlignment="1">
      <alignment horizontal="right"/>
    </xf>
    <xf numFmtId="3" fontId="138" fillId="27" borderId="18" xfId="55" applyNumberFormat="1" applyFont="1" applyFill="1" applyBorder="1" applyAlignment="1">
      <alignment horizontal="right"/>
    </xf>
    <xf numFmtId="3" fontId="138" fillId="27" borderId="44" xfId="55" applyNumberFormat="1" applyFont="1" applyFill="1" applyBorder="1" applyAlignment="1">
      <alignment horizontal="right"/>
    </xf>
    <xf numFmtId="2" fontId="138" fillId="27" borderId="29" xfId="54" applyNumberFormat="1" applyFont="1" applyFill="1" applyBorder="1" applyAlignment="1">
      <alignment horizontal="right"/>
    </xf>
    <xf numFmtId="2" fontId="138" fillId="27" borderId="0" xfId="54" applyNumberFormat="1" applyFont="1" applyFill="1" applyBorder="1" applyAlignment="1">
      <alignment horizontal="right"/>
    </xf>
    <xf numFmtId="2" fontId="138" fillId="27" borderId="43" xfId="54" applyNumberFormat="1" applyFont="1" applyFill="1" applyBorder="1" applyAlignment="1">
      <alignment horizontal="right"/>
    </xf>
    <xf numFmtId="3" fontId="135" fillId="27" borderId="18" xfId="55" applyNumberFormat="1" applyFont="1" applyFill="1" applyBorder="1" applyAlignment="1">
      <alignment horizontal="center"/>
    </xf>
    <xf numFmtId="3" fontId="139" fillId="27" borderId="0" xfId="55" applyNumberFormat="1" applyFont="1" applyFill="1" applyAlignment="1">
      <alignment horizontal="right"/>
    </xf>
    <xf numFmtId="0" fontId="154" fillId="27" borderId="0" xfId="55" applyFont="1" applyFill="1" applyAlignment="1">
      <alignment horizontal="left" vertical="top" wrapText="1"/>
    </xf>
    <xf numFmtId="3" fontId="104" fillId="27" borderId="0" xfId="55" applyNumberFormat="1" applyFont="1" applyFill="1" applyAlignment="1">
      <alignment horizontal="center"/>
    </xf>
    <xf numFmtId="3" fontId="143" fillId="27" borderId="18" xfId="55" applyNumberFormat="1" applyFont="1" applyFill="1" applyBorder="1" applyAlignment="1">
      <alignment horizontal="right"/>
    </xf>
    <xf numFmtId="3" fontId="143" fillId="27" borderId="44" xfId="55" applyNumberFormat="1" applyFont="1" applyFill="1" applyBorder="1" applyAlignment="1">
      <alignment horizontal="right"/>
    </xf>
    <xf numFmtId="3" fontId="143" fillId="27" borderId="28" xfId="55" applyNumberFormat="1" applyFont="1" applyFill="1" applyBorder="1" applyAlignment="1">
      <alignment horizontal="right"/>
    </xf>
    <xf numFmtId="2" fontId="143" fillId="27" borderId="28" xfId="54" applyNumberFormat="1" applyFont="1" applyFill="1" applyBorder="1" applyAlignment="1">
      <alignment horizontal="right"/>
    </xf>
    <xf numFmtId="2" fontId="143" fillId="27" borderId="18" xfId="54" applyNumberFormat="1" applyFont="1" applyFill="1" applyBorder="1" applyAlignment="1">
      <alignment horizontal="right"/>
    </xf>
    <xf numFmtId="2" fontId="143" fillId="27" borderId="44" xfId="54" applyNumberFormat="1" applyFont="1" applyFill="1" applyBorder="1" applyAlignment="1">
      <alignment horizontal="right"/>
    </xf>
    <xf numFmtId="2" fontId="143" fillId="27" borderId="0" xfId="63" applyNumberFormat="1" applyFont="1" applyFill="1" applyBorder="1" applyAlignment="1">
      <alignment horizontal="right"/>
    </xf>
    <xf numFmtId="2" fontId="143" fillId="27" borderId="43" xfId="63" applyNumberFormat="1" applyFont="1" applyFill="1" applyBorder="1" applyAlignment="1">
      <alignment horizontal="right"/>
    </xf>
    <xf numFmtId="3" fontId="143" fillId="27" borderId="29" xfId="55" applyNumberFormat="1" applyFont="1" applyFill="1" applyBorder="1" applyAlignment="1">
      <alignment horizontal="right"/>
    </xf>
    <xf numFmtId="3" fontId="143" fillId="27" borderId="0" xfId="55" applyNumberFormat="1" applyFont="1" applyFill="1" applyAlignment="1">
      <alignment horizontal="right"/>
    </xf>
    <xf numFmtId="3" fontId="143" fillId="27" borderId="43" xfId="55" applyNumberFormat="1" applyFont="1" applyFill="1" applyBorder="1" applyAlignment="1">
      <alignment horizontal="right"/>
    </xf>
    <xf numFmtId="2" fontId="143" fillId="27" borderId="29" xfId="54" applyNumberFormat="1" applyFont="1" applyFill="1" applyBorder="1" applyAlignment="1">
      <alignment horizontal="right"/>
    </xf>
    <xf numFmtId="2" fontId="143" fillId="27" borderId="0" xfId="54" applyNumberFormat="1" applyFont="1" applyFill="1" applyBorder="1" applyAlignment="1">
      <alignment horizontal="right"/>
    </xf>
    <xf numFmtId="2" fontId="143" fillId="27" borderId="43" xfId="54" applyNumberFormat="1" applyFont="1" applyFill="1" applyBorder="1" applyAlignment="1">
      <alignment horizontal="right"/>
    </xf>
    <xf numFmtId="0" fontId="100" fillId="27" borderId="0" xfId="55" applyFont="1" applyFill="1" applyAlignment="1">
      <alignment horizontal="center"/>
    </xf>
    <xf numFmtId="3" fontId="139" fillId="27" borderId="28" xfId="55" applyNumberFormat="1" applyFont="1" applyFill="1" applyBorder="1" applyAlignment="1">
      <alignment horizontal="right"/>
    </xf>
    <xf numFmtId="3" fontId="139" fillId="27" borderId="18" xfId="55" applyNumberFormat="1" applyFont="1" applyFill="1" applyBorder="1" applyAlignment="1">
      <alignment horizontal="right"/>
    </xf>
    <xf numFmtId="3" fontId="140" fillId="27" borderId="21" xfId="55" applyNumberFormat="1" applyFont="1" applyFill="1" applyBorder="1" applyAlignment="1">
      <alignment horizontal="right"/>
    </xf>
    <xf numFmtId="3" fontId="140" fillId="27" borderId="25" xfId="55" applyNumberFormat="1" applyFont="1" applyFill="1" applyBorder="1" applyAlignment="1">
      <alignment horizontal="right"/>
    </xf>
    <xf numFmtId="3" fontId="140" fillId="27" borderId="26" xfId="55" applyNumberFormat="1" applyFont="1" applyFill="1" applyBorder="1" applyAlignment="1">
      <alignment horizontal="right"/>
    </xf>
    <xf numFmtId="2" fontId="139" fillId="27" borderId="26" xfId="54" applyNumberFormat="1" applyFont="1" applyFill="1" applyBorder="1" applyAlignment="1">
      <alignment horizontal="right"/>
    </xf>
    <xf numFmtId="2" fontId="139" fillId="27" borderId="21" xfId="54" applyNumberFormat="1" applyFont="1" applyFill="1" applyBorder="1" applyAlignment="1">
      <alignment horizontal="right"/>
    </xf>
    <xf numFmtId="2" fontId="139" fillId="27" borderId="25" xfId="54" applyNumberFormat="1" applyFont="1" applyFill="1" applyBorder="1" applyAlignment="1">
      <alignment horizontal="right"/>
    </xf>
    <xf numFmtId="0" fontId="128" fillId="27" borderId="0" xfId="55" applyFont="1" applyFill="1" applyAlignment="1">
      <alignment horizontal="left"/>
    </xf>
    <xf numFmtId="0" fontId="129" fillId="27" borderId="0" xfId="55" applyFont="1" applyFill="1" applyAlignment="1">
      <alignment horizontal="left"/>
    </xf>
    <xf numFmtId="0" fontId="133" fillId="27" borderId="18" xfId="55" applyFont="1" applyFill="1" applyBorder="1" applyAlignment="1">
      <alignment horizontal="right" vertical="center"/>
    </xf>
    <xf numFmtId="0" fontId="128" fillId="0" borderId="0" xfId="0" applyFont="1" applyAlignment="1">
      <alignment horizontal="left"/>
    </xf>
    <xf numFmtId="164" fontId="63" fillId="27" borderId="21" xfId="55" applyNumberFormat="1" applyFont="1" applyFill="1" applyBorder="1" applyAlignment="1" applyProtection="1">
      <alignment horizontal="left"/>
      <protection locked="0"/>
    </xf>
    <xf numFmtId="0" fontId="57" fillId="27" borderId="18" xfId="55" applyFont="1" applyFill="1" applyBorder="1" applyAlignment="1" applyProtection="1">
      <alignment horizontal="left"/>
      <protection locked="0"/>
    </xf>
    <xf numFmtId="0" fontId="63" fillId="27" borderId="21" xfId="55" applyFont="1" applyFill="1" applyBorder="1" applyAlignment="1" applyProtection="1">
      <alignment horizontal="left"/>
      <protection locked="0"/>
    </xf>
    <xf numFmtId="164" fontId="63" fillId="27" borderId="18" xfId="55" applyNumberFormat="1" applyFont="1" applyFill="1" applyBorder="1" applyAlignment="1" applyProtection="1">
      <alignment horizontal="left"/>
      <protection locked="0"/>
    </xf>
    <xf numFmtId="164" fontId="63" fillId="27" borderId="21" xfId="55" applyNumberFormat="1" applyFont="1" applyFill="1" applyBorder="1" applyAlignment="1" applyProtection="1">
      <alignment horizontal="left" vertical="center"/>
      <protection locked="0"/>
    </xf>
    <xf numFmtId="0" fontId="57" fillId="27" borderId="21" xfId="55" applyFont="1" applyFill="1" applyBorder="1" applyAlignment="1" applyProtection="1">
      <alignment horizontal="left"/>
      <protection locked="0"/>
    </xf>
  </cellXfs>
  <cellStyles count="66">
    <cellStyle name="20 % - Dekorfärg1" xfId="1" builtinId="30" customBuiltin="1"/>
    <cellStyle name="20 % - Dekorfärg2" xfId="2" builtinId="34" customBuiltin="1"/>
    <cellStyle name="20 % - Dekorfärg3" xfId="3" builtinId="38" customBuiltin="1"/>
    <cellStyle name="20 % - Dekorfärg4" xfId="4" builtinId="42" customBuiltin="1"/>
    <cellStyle name="20 % - Dekorfärg5" xfId="5" builtinId="46" customBuiltin="1"/>
    <cellStyle name="20 % - Dekorfärg6" xfId="6" builtinId="50" customBuiltin="1"/>
    <cellStyle name="40 % - Dekorfärg1" xfId="7" builtinId="31" customBuiltin="1"/>
    <cellStyle name="40 % - Dekorfärg2" xfId="8" builtinId="35" customBuiltin="1"/>
    <cellStyle name="40 % - Dekorfärg3" xfId="9" builtinId="39" customBuiltin="1"/>
    <cellStyle name="40 % - Dekorfärg4" xfId="10" builtinId="43" customBuiltin="1"/>
    <cellStyle name="40 % - Dekorfärg5" xfId="11" builtinId="47" customBuiltin="1"/>
    <cellStyle name="40 % - Dekorfärg6" xfId="12" builtinId="51" customBuiltin="1"/>
    <cellStyle name="60 % - Dekorfärg1" xfId="13" builtinId="32" customBuiltin="1"/>
    <cellStyle name="60 % - Dekorfärg2" xfId="14" builtinId="36" customBuiltin="1"/>
    <cellStyle name="60 % - Dekorfärg3" xfId="15" builtinId="40" customBuiltin="1"/>
    <cellStyle name="60 % - Dekorfärg4" xfId="16" builtinId="44" customBuiltin="1"/>
    <cellStyle name="60 % - Dekorfärg5" xfId="17" builtinId="48" customBuiltin="1"/>
    <cellStyle name="60 % - Dekorfärg6" xfId="18" builtinId="52" customBuiltin="1"/>
    <cellStyle name="Anteckning" xfId="19" builtinId="10" customBuiltin="1"/>
    <cellStyle name="Beräkning" xfId="20" builtinId="22" customBuiltin="1"/>
    <cellStyle name="Bra" xfId="21" builtinId="26" customBuiltin="1"/>
    <cellStyle name="Cell för ifyllnad" xfId="22" xr:uid="{00000000-0005-0000-0000-000015000000}"/>
    <cellStyle name="Dekorfärg1" xfId="24" builtinId="29" customBuiltin="1"/>
    <cellStyle name="Dekorfärg2" xfId="25" builtinId="33" customBuiltin="1"/>
    <cellStyle name="Dekorfärg3" xfId="26" builtinId="37" customBuiltin="1"/>
    <cellStyle name="Dekorfärg4" xfId="27" builtinId="41" customBuiltin="1"/>
    <cellStyle name="Dekorfärg5" xfId="28" builtinId="45" customBuiltin="1"/>
    <cellStyle name="Dekorfärg6" xfId="29" builtinId="49" customBuiltin="1"/>
    <cellStyle name="Dålig" xfId="23" builtinId="27" customBuiltin="1"/>
    <cellStyle name="Förklarande text" xfId="30" builtinId="53" customBuiltin="1"/>
    <cellStyle name="Hyperlänk" xfId="31" builtinId="8"/>
    <cellStyle name="Indata" xfId="32" builtinId="20" customBuiltin="1"/>
    <cellStyle name="Kontrollcell" xfId="33" builtinId="23" customBuiltin="1"/>
    <cellStyle name="Länkad cell" xfId="34" builtinId="24" customBuiltin="1"/>
    <cellStyle name="Neutral" xfId="35" builtinId="28" customBuiltin="1"/>
    <cellStyle name="Normal" xfId="0" builtinId="0"/>
    <cellStyle name="Normal 2" xfId="55" xr:uid="{00000000-0005-0000-0000-000024000000}"/>
    <cellStyle name="Normal 3" xfId="57" xr:uid="{00000000-0005-0000-0000-000025000000}"/>
    <cellStyle name="Normal 3 2" xfId="61" xr:uid="{D74F3D07-FB5A-4879-A259-EA53D347797C}"/>
    <cellStyle name="Normal 4" xfId="58" xr:uid="{00000000-0005-0000-0000-000026000000}"/>
    <cellStyle name="Normal 4 2" xfId="60" xr:uid="{4F340D49-2CF6-4366-93A7-8A7B1E3856EA}"/>
    <cellStyle name="Normal 5" xfId="64" xr:uid="{F76A0707-79A0-43A8-A431-A72788E12BE9}"/>
    <cellStyle name="Normal 6" xfId="65" xr:uid="{924FB08E-11DF-4D3F-B651-5B0281E21F79}"/>
    <cellStyle name="Procent" xfId="54" builtinId="5"/>
    <cellStyle name="Procent 2" xfId="56" xr:uid="{00000000-0005-0000-0000-000028000000}"/>
    <cellStyle name="Rubrik" xfId="36" builtinId="15" customBuiltin="1"/>
    <cellStyle name="Rubrik 1" xfId="37" builtinId="16" customBuiltin="1"/>
    <cellStyle name="Rubrik 2" xfId="38" builtinId="17" customBuiltin="1"/>
    <cellStyle name="Rubrik 3" xfId="39" builtinId="18" customBuiltin="1"/>
    <cellStyle name="Rubrik 4" xfId="40" builtinId="19" customBuiltin="1"/>
    <cellStyle name="Rubrik 5" xfId="59" xr:uid="{00000000-0005-0000-0000-00002E000000}"/>
    <cellStyle name="Rubrik tabell mindre" xfId="41" xr:uid="{00000000-0005-0000-0000-00002F000000}"/>
    <cellStyle name="Rubrik textsida" xfId="42" xr:uid="{00000000-0005-0000-0000-000030000000}"/>
    <cellStyle name="Sum" xfId="43" xr:uid="{00000000-0005-0000-0000-000031000000}"/>
    <cellStyle name="Summa" xfId="44" builtinId="25" customBuiltin="1"/>
    <cellStyle name="Tabell" xfId="45" xr:uid="{00000000-0005-0000-0000-000033000000}"/>
    <cellStyle name="Tabell - markerad rad" xfId="46" xr:uid="{00000000-0005-0000-0000-000034000000}"/>
    <cellStyle name="Tabellrubrik nivå 2" xfId="47" xr:uid="{00000000-0005-0000-0000-000035000000}"/>
    <cellStyle name="Tabellrubrik nivå 3" xfId="48" xr:uid="{00000000-0005-0000-0000-000036000000}"/>
    <cellStyle name="Tabellsumma" xfId="49" xr:uid="{00000000-0005-0000-0000-000037000000}"/>
    <cellStyle name="Tusental" xfId="63" builtinId="3"/>
    <cellStyle name="Underrubrik tabell" xfId="50" xr:uid="{00000000-0005-0000-0000-000038000000}"/>
    <cellStyle name="Underrubrik textsida" xfId="51" xr:uid="{00000000-0005-0000-0000-000039000000}"/>
    <cellStyle name="Utdata" xfId="52" builtinId="21" customBuiltin="1"/>
    <cellStyle name="Valuta" xfId="62" builtinId="4"/>
    <cellStyle name="Varningstext" xfId="53" builtinId="11" customBuiltin="1"/>
  </cellStyles>
  <dxfs count="36">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fill>
        <patternFill patternType="solid">
          <fgColor indexed="64"/>
          <bgColor rgb="FF00B050"/>
        </patternFill>
      </fill>
    </dxf>
    <dxf>
      <fill>
        <patternFill patternType="solid">
          <fgColor indexed="64"/>
          <bgColor rgb="FF00B050"/>
        </patternFill>
      </fill>
    </dxf>
    <dxf>
      <numFmt numFmtId="3" formatCode="#,##0"/>
      <fill>
        <patternFill patternType="solid">
          <fgColor indexed="64"/>
          <bgColor rgb="FF00B050"/>
        </patternFill>
      </fill>
    </dxf>
    <dxf>
      <numFmt numFmtId="0" formatCode="General"/>
      <fill>
        <patternFill patternType="solid">
          <fgColor indexed="64"/>
          <bgColor rgb="FF00B050"/>
        </patternFill>
      </fill>
    </dxf>
    <dxf>
      <numFmt numFmtId="3" formatCode="#,##0"/>
      <fill>
        <patternFill patternType="solid">
          <fgColor indexed="64"/>
          <bgColor rgb="FF00B050"/>
        </patternFill>
      </fill>
    </dxf>
    <dxf>
      <numFmt numFmtId="0" formatCode="General"/>
      <fill>
        <patternFill patternType="solid">
          <fgColor indexed="64"/>
          <bgColor rgb="FF00B050"/>
        </patternFill>
      </fill>
    </dxf>
    <dxf>
      <numFmt numFmtId="3" formatCode="#,##0"/>
      <fill>
        <patternFill patternType="solid">
          <fgColor indexed="64"/>
          <bgColor rgb="FF00B050"/>
        </patternFill>
      </fill>
    </dxf>
    <dxf>
      <fill>
        <patternFill patternType="solid">
          <fgColor indexed="64"/>
          <bgColor rgb="FF00B050"/>
        </patternFill>
      </fill>
    </dxf>
    <dxf>
      <fill>
        <patternFill patternType="solid">
          <fgColor indexed="64"/>
          <bgColor theme="5"/>
        </patternFill>
      </fill>
    </dxf>
    <dxf>
      <fill>
        <patternFill patternType="solid">
          <fgColor indexed="64"/>
          <bgColor theme="5"/>
        </patternFill>
      </fill>
    </dxf>
    <dxf>
      <font>
        <b val="0"/>
        <i val="0"/>
        <strike val="0"/>
        <condense val="0"/>
        <extend val="0"/>
        <outline val="0"/>
        <shadow val="0"/>
        <u val="none"/>
        <vertAlign val="baseline"/>
        <sz val="10"/>
        <color auto="1"/>
        <name val="Arial"/>
        <scheme val="none"/>
      </font>
      <numFmt numFmtId="168" formatCode="_-* #,##0_-;\-* #,##0_-;_-* &quot;-&quot;??_-;_-@_-"/>
      <fill>
        <patternFill patternType="solid">
          <fgColor indexed="64"/>
          <bgColor theme="5"/>
        </patternFill>
      </fill>
    </dxf>
    <dxf>
      <fill>
        <patternFill patternType="solid">
          <fgColor indexed="64"/>
          <bgColor theme="5"/>
        </patternFill>
      </fill>
    </dxf>
    <dxf>
      <font>
        <b val="0"/>
        <i val="0"/>
        <strike val="0"/>
        <condense val="0"/>
        <extend val="0"/>
        <outline val="0"/>
        <shadow val="0"/>
        <u val="none"/>
        <vertAlign val="baseline"/>
        <sz val="10"/>
        <color auto="1"/>
        <name val="Arial"/>
        <scheme val="none"/>
      </font>
      <numFmt numFmtId="168" formatCode="_-* #,##0_-;\-* #,##0_-;_-* &quot;-&quot;??_-;_-@_-"/>
      <fill>
        <patternFill patternType="solid">
          <fgColor indexed="64"/>
          <bgColor theme="5"/>
        </patternFill>
      </fill>
    </dxf>
    <dxf>
      <fill>
        <patternFill patternType="solid">
          <fgColor indexed="64"/>
          <bgColor theme="5"/>
        </patternFill>
      </fill>
    </dxf>
    <dxf>
      <font>
        <b val="0"/>
        <i val="0"/>
        <strike val="0"/>
        <condense val="0"/>
        <extend val="0"/>
        <outline val="0"/>
        <shadow val="0"/>
        <u val="none"/>
        <vertAlign val="baseline"/>
        <sz val="10"/>
        <color auto="1"/>
        <name val="Arial"/>
        <scheme val="none"/>
      </font>
      <numFmt numFmtId="168" formatCode="_-* #,##0_-;\-* #,##0_-;_-* &quot;-&quot;??_-;_-@_-"/>
      <fill>
        <patternFill patternType="solid">
          <fgColor indexed="64"/>
          <bgColor theme="5"/>
        </patternFill>
      </fill>
    </dxf>
    <dxf>
      <fill>
        <patternFill patternType="solid">
          <fgColor indexed="64"/>
          <bgColor theme="5"/>
        </patternFill>
      </fill>
    </dxf>
    <dxf>
      <numFmt numFmtId="0" formatCode="General"/>
    </dxf>
    <dxf>
      <alignment horizontal="left" vertical="bottom" textRotation="0" wrapText="0" indent="0" justifyLastLine="0" shrinkToFit="0" readingOrder="0"/>
    </dxf>
    <dxf>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00B0F0"/>
        </patternFill>
      </fill>
    </dxf>
    <dxf>
      <fill>
        <patternFill patternType="solid">
          <fgColor indexed="64"/>
          <bgColor rgb="FF00B0F0"/>
        </patternFill>
      </fill>
    </dxf>
    <dxf>
      <fill>
        <patternFill patternType="solid">
          <fgColor indexed="64"/>
          <bgColor rgb="FF00B0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AAA095"/>
      <rgbColor rgb="00FFFFFF"/>
      <rgbColor rgb="00FF0000"/>
      <rgbColor rgb="0000FF00"/>
      <rgbColor rgb="00000000"/>
      <rgbColor rgb="00FFFF00"/>
      <rgbColor rgb="00FF00FF"/>
      <rgbColor rgb="0000FFFF"/>
      <rgbColor rgb="00000000"/>
      <rgbColor rgb="00000000"/>
      <rgbColor rgb="00FFDB0A"/>
      <rgbColor rgb="00000000"/>
      <rgbColor rgb="00800080"/>
      <rgbColor rgb="00000000"/>
      <rgbColor rgb="00E5E5E5"/>
      <rgbColor rgb="00000000"/>
      <rgbColor rgb="00AAA095"/>
      <rgbColor rgb="00FFE91B"/>
      <rgbColor rgb="00EC736A"/>
      <rgbColor rgb="0067A2C0"/>
      <rgbColor rgb="0082766A"/>
      <rgbColor rgb="00FFDB0A"/>
      <rgbColor rgb="00DF473F"/>
      <rgbColor rgb="003C799F"/>
      <rgbColor rgb="00AAA095"/>
      <rgbColor rgb="00FFE91B"/>
      <rgbColor rgb="00EC736A"/>
      <rgbColor rgb="0067A2C0"/>
      <rgbColor rgb="0082766A"/>
      <rgbColor rgb="00FFDB0A"/>
      <rgbColor rgb="00DF473F"/>
      <rgbColor rgb="003C799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000000"/>
      <rgbColor rgb="00000000"/>
      <rgbColor rgb="00969696"/>
      <rgbColor rgb="0082766A"/>
      <rgbColor rgb="00339966"/>
      <rgbColor rgb="0067A2C0"/>
      <rgbColor rgb="00EC736A"/>
      <rgbColor rgb="00FFE91B"/>
      <rgbColor rgb="00993366"/>
      <rgbColor rgb="00DF473F"/>
      <rgbColor rgb="003C799F"/>
    </indexedColors>
    <mruColors>
      <color rgb="FF89B241"/>
      <color rgb="FFC2D3D6"/>
      <color rgb="FFD9C2BE"/>
      <color rgb="FF00656C"/>
      <color rgb="FFC6DBCB"/>
      <color rgb="FF007E48"/>
      <color rgb="FFEFEDED"/>
      <color rgb="FF97999A"/>
      <color rgb="FF9B182F"/>
      <color rgb="FF002D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34" Type="http://schemas.microsoft.com/office/2023/09/relationships/Python" Target="pyth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1.xml"/><Relationship Id="rId8" Type="http://schemas.openxmlformats.org/officeDocument/2006/relationships/worksheet" Target="worksheets/sheet8.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kumimoji="0" lang="sv-SE" sz="1800" b="1" i="0" u="none" strike="noStrike" kern="1200" cap="none" spc="0" normalizeH="0" baseline="0" noProof="0">
                <a:ln>
                  <a:noFill/>
                </a:ln>
                <a:solidFill>
                  <a:sysClr val="windowText" lastClr="000000"/>
                </a:solidFill>
                <a:effectLst/>
                <a:uLnTx/>
                <a:uFillTx/>
                <a:latin typeface="Calibri"/>
              </a:rPr>
              <a:t>Totala LCC-kostnader</a:t>
            </a:r>
          </a:p>
        </c:rich>
      </c:tx>
      <c:overlay val="0"/>
    </c:title>
    <c:autoTitleDeleted val="0"/>
    <c:plotArea>
      <c:layout/>
      <c:barChart>
        <c:barDir val="col"/>
        <c:grouping val="clustered"/>
        <c:varyColors val="0"/>
        <c:ser>
          <c:idx val="0"/>
          <c:order val="0"/>
          <c:tx>
            <c:strRef>
              <c:f>'6. Resultat'!$B$11</c:f>
              <c:strCache>
                <c:ptCount val="1"/>
                <c:pt idx="0">
                  <c:v>Investeringskostnader</c:v>
                </c:pt>
              </c:strCache>
            </c:strRef>
          </c:tx>
          <c:invertIfNegative val="0"/>
          <c:cat>
            <c:strRef>
              <c:extLst>
                <c:ext xmlns:c15="http://schemas.microsoft.com/office/drawing/2012/chart" uri="{02D57815-91ED-43cb-92C2-25804820EDAC}">
                  <c15:fullRef>
                    <c15:sqref>('6. Resultat'!$G$10,'6. Resultat'!$J$10,'6. Resultat'!$M$10,'6. Resultat'!$P$10,'6. Resultat'!$S$10)</c15:sqref>
                  </c15:fullRef>
                </c:ext>
              </c:extLst>
              <c:f>('6. Resultat'!$G$10,'6. Resultat'!$J$10,'6. Resultat'!$S$10)</c:f>
              <c:strCache>
                <c:ptCount val="2"/>
                <c:pt idx="0">
                  <c:v>Befintlig Installation</c:v>
                </c:pt>
                <c:pt idx="1">
                  <c:v>Ny installation Aura Light</c:v>
                </c:pt>
              </c:strCache>
            </c:strRef>
          </c:cat>
          <c:val>
            <c:numRef>
              <c:extLst>
                <c:ext xmlns:c15="http://schemas.microsoft.com/office/drawing/2012/chart" uri="{02D57815-91ED-43cb-92C2-25804820EDAC}">
                  <c15:fullRef>
                    <c15:sqref>('6. Resultat'!$G$11,'6. Resultat'!$J$11,'6. Resultat'!$M$11,'6. Resultat'!$P$11)</c15:sqref>
                  </c15:fullRef>
                </c:ext>
              </c:extLst>
              <c:f>('6. Resultat'!$G$11,'6. Resultat'!$J$11)</c:f>
              <c:numCache>
                <c:formatCode>#,##0</c:formatCode>
                <c:ptCount val="2"/>
                <c:pt idx="0">
                  <c:v>0</c:v>
                </c:pt>
                <c:pt idx="1">
                  <c:v>0</c:v>
                </c:pt>
              </c:numCache>
            </c:numRef>
          </c:val>
          <c:extLst>
            <c:ext xmlns:c16="http://schemas.microsoft.com/office/drawing/2014/chart" uri="{C3380CC4-5D6E-409C-BE32-E72D297353CC}">
              <c16:uniqueId val="{00000000-3E15-40FA-B68B-842FBCA60F48}"/>
            </c:ext>
          </c:extLst>
        </c:ser>
        <c:ser>
          <c:idx val="1"/>
          <c:order val="1"/>
          <c:tx>
            <c:strRef>
              <c:f>'6. Resultat'!$B$12</c:f>
              <c:strCache>
                <c:ptCount val="1"/>
                <c:pt idx="0">
                  <c:v>Energikostnader</c:v>
                </c:pt>
              </c:strCache>
            </c:strRef>
          </c:tx>
          <c:invertIfNegative val="0"/>
          <c:cat>
            <c:strRef>
              <c:extLst>
                <c:ext xmlns:c15="http://schemas.microsoft.com/office/drawing/2012/chart" uri="{02D57815-91ED-43cb-92C2-25804820EDAC}">
                  <c15:fullRef>
                    <c15:sqref>('6. Resultat'!$G$10,'6. Resultat'!$J$10,'6. Resultat'!$M$10,'6. Resultat'!$P$10,'6. Resultat'!$S$10)</c15:sqref>
                  </c15:fullRef>
                </c:ext>
              </c:extLst>
              <c:f>('6. Resultat'!$G$10,'6. Resultat'!$J$10,'6. Resultat'!$S$10)</c:f>
              <c:strCache>
                <c:ptCount val="2"/>
                <c:pt idx="0">
                  <c:v>Befintlig Installation</c:v>
                </c:pt>
                <c:pt idx="1">
                  <c:v>Ny installation Aura Light</c:v>
                </c:pt>
              </c:strCache>
            </c:strRef>
          </c:cat>
          <c:val>
            <c:numRef>
              <c:extLst>
                <c:ext xmlns:c15="http://schemas.microsoft.com/office/drawing/2012/chart" uri="{02D57815-91ED-43cb-92C2-25804820EDAC}">
                  <c15:fullRef>
                    <c15:sqref>('6. Resultat'!$G$12,'6. Resultat'!$J$12,'6. Resultat'!$M$12,'6. Resultat'!$P$12)</c15:sqref>
                  </c15:fullRef>
                </c:ext>
              </c:extLst>
              <c:f>('6. Resultat'!$G$12,'6. Resultat'!$J$12)</c:f>
              <c:numCache>
                <c:formatCode>#,##0</c:formatCode>
                <c:ptCount val="2"/>
                <c:pt idx="0">
                  <c:v>0</c:v>
                </c:pt>
                <c:pt idx="1">
                  <c:v>0</c:v>
                </c:pt>
              </c:numCache>
            </c:numRef>
          </c:val>
          <c:extLst>
            <c:ext xmlns:c16="http://schemas.microsoft.com/office/drawing/2014/chart" uri="{C3380CC4-5D6E-409C-BE32-E72D297353CC}">
              <c16:uniqueId val="{00000001-3E15-40FA-B68B-842FBCA60F48}"/>
            </c:ext>
          </c:extLst>
        </c:ser>
        <c:ser>
          <c:idx val="2"/>
          <c:order val="2"/>
          <c:tx>
            <c:strRef>
              <c:f>'6. Resultat'!$B$13</c:f>
              <c:strCache>
                <c:ptCount val="1"/>
                <c:pt idx="0">
                  <c:v>Underhållskostnader</c:v>
                </c:pt>
              </c:strCache>
            </c:strRef>
          </c:tx>
          <c:invertIfNegative val="0"/>
          <c:cat>
            <c:strRef>
              <c:extLst>
                <c:ext xmlns:c15="http://schemas.microsoft.com/office/drawing/2012/chart" uri="{02D57815-91ED-43cb-92C2-25804820EDAC}">
                  <c15:fullRef>
                    <c15:sqref>('6. Resultat'!$G$10,'6. Resultat'!$J$10,'6. Resultat'!$M$10,'6. Resultat'!$P$10,'6. Resultat'!$S$10)</c15:sqref>
                  </c15:fullRef>
                </c:ext>
              </c:extLst>
              <c:f>('6. Resultat'!$G$10,'6. Resultat'!$J$10,'6. Resultat'!$S$10)</c:f>
              <c:strCache>
                <c:ptCount val="2"/>
                <c:pt idx="0">
                  <c:v>Befintlig Installation</c:v>
                </c:pt>
                <c:pt idx="1">
                  <c:v>Ny installation Aura Light</c:v>
                </c:pt>
              </c:strCache>
            </c:strRef>
          </c:cat>
          <c:val>
            <c:numRef>
              <c:extLst>
                <c:ext xmlns:c15="http://schemas.microsoft.com/office/drawing/2012/chart" uri="{02D57815-91ED-43cb-92C2-25804820EDAC}">
                  <c15:fullRef>
                    <c15:sqref>('6. Resultat'!$G$13,'6. Resultat'!$J$13,'6. Resultat'!$M$13,'6. Resultat'!$P$13)</c15:sqref>
                  </c15:fullRef>
                </c:ext>
              </c:extLst>
              <c:f>('6. Resultat'!$G$13,'6. Resultat'!$J$13)</c:f>
              <c:numCache>
                <c:formatCode>#,##0</c:formatCode>
                <c:ptCount val="2"/>
                <c:pt idx="0">
                  <c:v>0</c:v>
                </c:pt>
                <c:pt idx="1">
                  <c:v>0</c:v>
                </c:pt>
              </c:numCache>
            </c:numRef>
          </c:val>
          <c:extLst>
            <c:ext xmlns:c16="http://schemas.microsoft.com/office/drawing/2014/chart" uri="{C3380CC4-5D6E-409C-BE32-E72D297353CC}">
              <c16:uniqueId val="{00000002-3E15-40FA-B68B-842FBCA60F48}"/>
            </c:ext>
          </c:extLst>
        </c:ser>
        <c:dLbls>
          <c:showLegendKey val="0"/>
          <c:showVal val="0"/>
          <c:showCatName val="0"/>
          <c:showSerName val="0"/>
          <c:showPercent val="0"/>
          <c:showBubbleSize val="0"/>
        </c:dLbls>
        <c:gapWidth val="150"/>
        <c:axId val="721640479"/>
        <c:axId val="721642399"/>
      </c:barChart>
      <c:catAx>
        <c:axId val="721640479"/>
        <c:scaling>
          <c:orientation val="minMax"/>
        </c:scaling>
        <c:delete val="0"/>
        <c:axPos val="b"/>
        <c:numFmt formatCode="General" sourceLinked="1"/>
        <c:majorTickMark val="out"/>
        <c:minorTickMark val="none"/>
        <c:tickLblPos val="nextTo"/>
        <c:crossAx val="721642399"/>
        <c:crosses val="autoZero"/>
        <c:auto val="1"/>
        <c:lblAlgn val="ctr"/>
        <c:lblOffset val="100"/>
        <c:noMultiLvlLbl val="0"/>
      </c:catAx>
      <c:valAx>
        <c:axId val="721642399"/>
        <c:scaling>
          <c:orientation val="minMax"/>
        </c:scaling>
        <c:delete val="0"/>
        <c:axPos val="l"/>
        <c:majorGridlines/>
        <c:numFmt formatCode="#,##0" sourceLinked="1"/>
        <c:majorTickMark val="out"/>
        <c:minorTickMark val="none"/>
        <c:tickLblPos val="nextTo"/>
        <c:crossAx val="721640479"/>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sv-SE"/>
              <a:t>Energianvändning &amp; klimatpåverkan</a:t>
            </a:r>
          </a:p>
        </c:rich>
      </c:tx>
      <c:overlay val="0"/>
    </c:title>
    <c:autoTitleDeleted val="0"/>
    <c:plotArea>
      <c:layout/>
      <c:barChart>
        <c:barDir val="col"/>
        <c:grouping val="clustered"/>
        <c:varyColors val="0"/>
        <c:ser>
          <c:idx val="0"/>
          <c:order val="0"/>
          <c:tx>
            <c:strRef>
              <c:f>'6. Resultat'!$B$18</c:f>
              <c:strCache>
                <c:ptCount val="1"/>
                <c:pt idx="0">
                  <c:v>Energianvändning </c:v>
                </c:pt>
              </c:strCache>
            </c:strRef>
          </c:tx>
          <c:spPr>
            <a:solidFill>
              <a:srgbClr val="00636A"/>
            </a:solidFill>
          </c:spPr>
          <c:invertIfNegative val="0"/>
          <c:cat>
            <c:strRef>
              <c:extLst>
                <c:ext xmlns:c15="http://schemas.microsoft.com/office/drawing/2012/chart" uri="{02D57815-91ED-43cb-92C2-25804820EDAC}">
                  <c15:fullRef>
                    <c15:sqref>('6. Resultat'!$G$10,'6. Resultat'!$J$10,'6. Resultat'!$M$10,'6. Resultat'!$P$10,'6. Resultat'!$S$10)</c15:sqref>
                  </c15:fullRef>
                </c:ext>
              </c:extLst>
              <c:f>('6. Resultat'!$G$10,'6. Resultat'!$J$10,'6. Resultat'!$S$10)</c:f>
              <c:strCache>
                <c:ptCount val="2"/>
                <c:pt idx="0">
                  <c:v>Befintlig Installation</c:v>
                </c:pt>
                <c:pt idx="1">
                  <c:v>Ny installation Aura Light</c:v>
                </c:pt>
              </c:strCache>
            </c:strRef>
          </c:cat>
          <c:val>
            <c:numRef>
              <c:extLst>
                <c:ext xmlns:c15="http://schemas.microsoft.com/office/drawing/2012/chart" uri="{02D57815-91ED-43cb-92C2-25804820EDAC}">
                  <c15:fullRef>
                    <c15:sqref>('6. Resultat'!$G$18,'6. Resultat'!$J$18,'6. Resultat'!$M$18,'6. Resultat'!$P$18)</c15:sqref>
                  </c15:fullRef>
                </c:ext>
              </c:extLst>
              <c:f>('6. Resultat'!$G$18,'6. Resultat'!$J$18)</c:f>
              <c:numCache>
                <c:formatCode>#,##0</c:formatCode>
                <c:ptCount val="2"/>
                <c:pt idx="0">
                  <c:v>0</c:v>
                </c:pt>
                <c:pt idx="1">
                  <c:v>0</c:v>
                </c:pt>
              </c:numCache>
            </c:numRef>
          </c:val>
          <c:extLst>
            <c:ext xmlns:c16="http://schemas.microsoft.com/office/drawing/2014/chart" uri="{C3380CC4-5D6E-409C-BE32-E72D297353CC}">
              <c16:uniqueId val="{00000000-BAB4-4E7F-8E00-5E7523A5D781}"/>
            </c:ext>
          </c:extLst>
        </c:ser>
        <c:ser>
          <c:idx val="1"/>
          <c:order val="1"/>
          <c:tx>
            <c:v>dummty</c:v>
          </c:tx>
          <c:invertIfNegative val="0"/>
          <c:cat>
            <c:strRef>
              <c:extLst>
                <c:ext xmlns:c15="http://schemas.microsoft.com/office/drawing/2012/chart" uri="{02D57815-91ED-43cb-92C2-25804820EDAC}">
                  <c15:fullRef>
                    <c15:sqref>('6. Resultat'!$G$10,'6. Resultat'!$J$10,'6. Resultat'!$M$10,'6. Resultat'!$P$10,'6. Resultat'!$S$10)</c15:sqref>
                  </c15:fullRef>
                </c:ext>
              </c:extLst>
              <c:f>('6. Resultat'!$G$10,'6. Resultat'!$J$10,'6. Resultat'!$S$10)</c:f>
              <c:strCache>
                <c:ptCount val="2"/>
                <c:pt idx="0">
                  <c:v>Befintlig Installation</c:v>
                </c:pt>
                <c:pt idx="1">
                  <c:v>Ny installation Aura Light</c:v>
                </c:pt>
              </c:strCache>
            </c:strRef>
          </c:cat>
          <c:val>
            <c:numRef>
              <c:extLst>
                <c:ext xmlns:c15="http://schemas.microsoft.com/office/drawing/2012/chart" uri="{02D57815-91ED-43cb-92C2-25804820EDAC}">
                  <c15:fullRef>
                    <c15:sqref>('6. Resultat'!$G$20,'6. Resultat'!$H$20,'6. Resultat'!$I$20,'6. Resultat'!$J$20)</c15:sqref>
                  </c15:fullRef>
                </c:ext>
              </c:extLst>
              <c:f>('6. Resultat'!$G$20,'6. Resultat'!$H$20)</c:f>
              <c:numCache>
                <c:formatCode>General</c:formatCode>
                <c:ptCount val="2"/>
              </c:numCache>
            </c:numRef>
          </c:val>
          <c:extLst>
            <c:ext xmlns:c16="http://schemas.microsoft.com/office/drawing/2014/chart" uri="{C3380CC4-5D6E-409C-BE32-E72D297353CC}">
              <c16:uniqueId val="{00000001-BAB4-4E7F-8E00-5E7523A5D781}"/>
            </c:ext>
          </c:extLst>
        </c:ser>
        <c:dLbls>
          <c:showLegendKey val="0"/>
          <c:showVal val="0"/>
          <c:showCatName val="0"/>
          <c:showSerName val="0"/>
          <c:showPercent val="0"/>
          <c:showBubbleSize val="0"/>
        </c:dLbls>
        <c:gapWidth val="150"/>
        <c:axId val="333856416"/>
        <c:axId val="333858768"/>
      </c:barChart>
      <c:barChart>
        <c:barDir val="col"/>
        <c:grouping val="clustered"/>
        <c:varyColors val="0"/>
        <c:ser>
          <c:idx val="2"/>
          <c:order val="2"/>
          <c:tx>
            <c:v>dummty</c:v>
          </c:tx>
          <c:invertIfNegative val="0"/>
          <c:cat>
            <c:strLit>
              <c:ptCount val="2"/>
              <c:pt idx="0">
                <c:v>1</c:v>
              </c:pt>
              <c:pt idx="1">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('6. Resultat'!$G$46,'6. Resultat'!$H$46,'6. Resultat'!$I$46,'6. Resultat'!$J$46)</c15:sqref>
                  </c15:fullRef>
                </c:ext>
              </c:extLst>
              <c:f>('6. Resultat'!$G$46,'6. Resultat'!$H$46)</c:f>
              <c:numCache>
                <c:formatCode>General</c:formatCode>
                <c:ptCount val="2"/>
              </c:numCache>
            </c:numRef>
          </c:val>
          <c:extLst>
            <c:ext xmlns:c16="http://schemas.microsoft.com/office/drawing/2014/chart" uri="{C3380CC4-5D6E-409C-BE32-E72D297353CC}">
              <c16:uniqueId val="{00000002-BAB4-4E7F-8E00-5E7523A5D781}"/>
            </c:ext>
          </c:extLst>
        </c:ser>
        <c:ser>
          <c:idx val="3"/>
          <c:order val="3"/>
          <c:tx>
            <c:strRef>
              <c:f>'6. Resultat'!$B$19</c:f>
              <c:strCache>
                <c:ptCount val="1"/>
                <c:pt idx="0">
                  <c:v>Klimatpåverkan</c:v>
                </c:pt>
              </c:strCache>
            </c:strRef>
          </c:tx>
          <c:spPr>
            <a:solidFill>
              <a:srgbClr val="E05B27"/>
            </a:solidFill>
          </c:spPr>
          <c:invertIfNegative val="0"/>
          <c:cat>
            <c:strLit>
              <c:ptCount val="2"/>
              <c:pt idx="0">
                <c:v>1</c:v>
              </c:pt>
              <c:pt idx="1">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('6. Resultat'!$G$19,'6. Resultat'!$J$19,'6. Resultat'!$M$19,'6. Resultat'!$P$19)</c15:sqref>
                  </c15:fullRef>
                </c:ext>
              </c:extLst>
              <c:f>('6. Resultat'!$G$19,'6. Resultat'!$J$19)</c:f>
              <c:numCache>
                <c:formatCode>#,##0</c:formatCode>
                <c:ptCount val="2"/>
                <c:pt idx="0">
                  <c:v>0</c:v>
                </c:pt>
                <c:pt idx="1">
                  <c:v>0</c:v>
                </c:pt>
              </c:numCache>
            </c:numRef>
          </c:val>
          <c:extLst>
            <c:ext xmlns:c16="http://schemas.microsoft.com/office/drawing/2014/chart" uri="{C3380CC4-5D6E-409C-BE32-E72D297353CC}">
              <c16:uniqueId val="{00000003-BAB4-4E7F-8E00-5E7523A5D781}"/>
            </c:ext>
          </c:extLst>
        </c:ser>
        <c:dLbls>
          <c:showLegendKey val="0"/>
          <c:showVal val="0"/>
          <c:showCatName val="0"/>
          <c:showSerName val="0"/>
          <c:showPercent val="0"/>
          <c:showBubbleSize val="0"/>
        </c:dLbls>
        <c:gapWidth val="150"/>
        <c:axId val="333856808"/>
        <c:axId val="333852496"/>
      </c:barChart>
      <c:catAx>
        <c:axId val="333856416"/>
        <c:scaling>
          <c:orientation val="minMax"/>
        </c:scaling>
        <c:delete val="0"/>
        <c:axPos val="b"/>
        <c:numFmt formatCode="General" sourceLinked="0"/>
        <c:majorTickMark val="out"/>
        <c:minorTickMark val="none"/>
        <c:tickLblPos val="nextTo"/>
        <c:crossAx val="333858768"/>
        <c:crosses val="autoZero"/>
        <c:auto val="1"/>
        <c:lblAlgn val="ctr"/>
        <c:lblOffset val="100"/>
        <c:noMultiLvlLbl val="0"/>
      </c:catAx>
      <c:valAx>
        <c:axId val="333858768"/>
        <c:scaling>
          <c:orientation val="minMax"/>
          <c:min val="0"/>
        </c:scaling>
        <c:delete val="0"/>
        <c:axPos val="l"/>
        <c:majorGridlines/>
        <c:title>
          <c:tx>
            <c:rich>
              <a:bodyPr rot="-5400000" vert="horz"/>
              <a:lstStyle/>
              <a:p>
                <a:pPr>
                  <a:defRPr/>
                </a:pPr>
                <a:r>
                  <a:rPr lang="sv-SE"/>
                  <a:t>kWh/år</a:t>
                </a:r>
              </a:p>
            </c:rich>
          </c:tx>
          <c:overlay val="0"/>
        </c:title>
        <c:numFmt formatCode="#,##0" sourceLinked="1"/>
        <c:majorTickMark val="out"/>
        <c:minorTickMark val="none"/>
        <c:tickLblPos val="nextTo"/>
        <c:crossAx val="333856416"/>
        <c:crosses val="autoZero"/>
        <c:crossBetween val="between"/>
      </c:valAx>
      <c:valAx>
        <c:axId val="333852496"/>
        <c:scaling>
          <c:orientation val="minMax"/>
          <c:min val="0"/>
        </c:scaling>
        <c:delete val="0"/>
        <c:axPos val="r"/>
        <c:title>
          <c:tx>
            <c:rich>
              <a:bodyPr rot="-5400000" vert="horz"/>
              <a:lstStyle/>
              <a:p>
                <a:pPr>
                  <a:defRPr/>
                </a:pPr>
                <a:r>
                  <a:rPr lang="sv-SE"/>
                  <a:t>kgC02/år</a:t>
                </a:r>
              </a:p>
            </c:rich>
          </c:tx>
          <c:overlay val="0"/>
        </c:title>
        <c:numFmt formatCode="General" sourceLinked="1"/>
        <c:majorTickMark val="out"/>
        <c:minorTickMark val="none"/>
        <c:tickLblPos val="nextTo"/>
        <c:crossAx val="333856808"/>
        <c:crosses val="max"/>
        <c:crossBetween val="between"/>
      </c:valAx>
      <c:catAx>
        <c:axId val="333856808"/>
        <c:scaling>
          <c:orientation val="minMax"/>
        </c:scaling>
        <c:delete val="1"/>
        <c:axPos val="b"/>
        <c:majorTickMark val="out"/>
        <c:minorTickMark val="none"/>
        <c:tickLblPos val="nextTo"/>
        <c:crossAx val="333852496"/>
        <c:crosses val="autoZero"/>
        <c:auto val="1"/>
        <c:lblAlgn val="ctr"/>
        <c:lblOffset val="100"/>
        <c:noMultiLvlLbl val="0"/>
      </c:catAx>
    </c:plotArea>
    <c:legend>
      <c:legendPos val="b"/>
      <c:legendEntry>
        <c:idx val="1"/>
        <c:delete val="1"/>
      </c:legendEntry>
      <c:legendEntry>
        <c:idx val="2"/>
        <c:delete val="1"/>
      </c:legendEntry>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Variabler!$B$8</c:f>
          <c:strCache>
            <c:ptCount val="1"/>
            <c:pt idx="0">
              <c:v>Återbetalningstid</c:v>
            </c:pt>
          </c:strCache>
        </c:strRef>
      </c:tx>
      <c:overlay val="0"/>
      <c:spPr>
        <a:noFill/>
        <a:ln>
          <a:noFill/>
        </a:ln>
        <a:effectLst/>
      </c:spPr>
      <c:txPr>
        <a:bodyPr rot="0" spcFirstLastPara="1" vertOverflow="ellipsis" vert="horz" wrap="square" anchor="ctr" anchorCtr="1"/>
        <a:lstStyle/>
        <a:p>
          <a:pPr>
            <a:defRPr sz="1800" b="0" i="0" u="none" strike="noStrike" kern="1200" cap="none" spc="20" baseline="0">
              <a:solidFill>
                <a:sysClr val="windowText" lastClr="000000"/>
              </a:solidFill>
              <a:latin typeface="+mn-lt"/>
              <a:ea typeface="+mn-ea"/>
              <a:cs typeface="+mn-cs"/>
            </a:defRPr>
          </a:pPr>
          <a:endParaRPr lang="sv-SE"/>
        </a:p>
      </c:txPr>
    </c:title>
    <c:autoTitleDeleted val="0"/>
    <c:plotArea>
      <c:layout/>
      <c:lineChart>
        <c:grouping val="standard"/>
        <c:varyColors val="0"/>
        <c:ser>
          <c:idx val="0"/>
          <c:order val="0"/>
          <c:tx>
            <c:strRef>
              <c:f>Uträkningar!$G$27</c:f>
              <c:strCache>
                <c:ptCount val="1"/>
                <c:pt idx="0">
                  <c:v>Investeringskostnad</c:v>
                </c:pt>
              </c:strCache>
            </c:strRef>
          </c:tx>
          <c:spPr>
            <a:ln w="25400" cap="rnd" cmpd="sng" algn="ctr">
              <a:solidFill>
                <a:srgbClr val="D9C2BE"/>
              </a:solidFill>
              <a:prstDash val="dash"/>
              <a:round/>
            </a:ln>
            <a:effectLst/>
          </c:spPr>
          <c:marker>
            <c:symbol val="none"/>
          </c:marker>
          <c:cat>
            <c:strRef>
              <c:f>Uträkningar!$H$25:$Q$25</c:f>
              <c:strCache>
                <c:ptCount val="10"/>
                <c:pt idx="0">
                  <c:v>År 1</c:v>
                </c:pt>
                <c:pt idx="1">
                  <c:v>År 2</c:v>
                </c:pt>
                <c:pt idx="2">
                  <c:v>År 3</c:v>
                </c:pt>
                <c:pt idx="3">
                  <c:v>År 4</c:v>
                </c:pt>
                <c:pt idx="4">
                  <c:v>År 5</c:v>
                </c:pt>
                <c:pt idx="5">
                  <c:v>År 6</c:v>
                </c:pt>
                <c:pt idx="6">
                  <c:v>År 7</c:v>
                </c:pt>
                <c:pt idx="7">
                  <c:v>År 8</c:v>
                </c:pt>
                <c:pt idx="8">
                  <c:v>År 9</c:v>
                </c:pt>
                <c:pt idx="9">
                  <c:v>År 10</c:v>
                </c:pt>
              </c:strCache>
            </c:strRef>
          </c:cat>
          <c:val>
            <c:numRef>
              <c:f>Uträkningar!$H$27:$Q$27</c:f>
              <c:numCache>
                <c:formatCode>#,##0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0-0CCA-43B4-A286-9D93A5CF0DEC}"/>
            </c:ext>
          </c:extLst>
        </c:ser>
        <c:ser>
          <c:idx val="1"/>
          <c:order val="1"/>
          <c:tx>
            <c:strRef>
              <c:f>Uträkningar!$G$28</c:f>
              <c:strCache>
                <c:ptCount val="1"/>
                <c:pt idx="0">
                  <c:v>Energibesparing</c:v>
                </c:pt>
              </c:strCache>
            </c:strRef>
          </c:tx>
          <c:spPr>
            <a:ln w="22225" cap="rnd" cmpd="sng" algn="ctr">
              <a:solidFill>
                <a:srgbClr val="89B241"/>
              </a:solidFill>
              <a:round/>
            </a:ln>
            <a:effectLst/>
          </c:spPr>
          <c:marker>
            <c:symbol val="none"/>
          </c:marker>
          <c:dLbls>
            <c:numFmt formatCode="#,##0" sourceLinked="0"/>
            <c:spPr>
              <a:noFill/>
              <a:ln>
                <a:noFill/>
              </a:ln>
              <a:effectLst/>
            </c:spPr>
            <c:txPr>
              <a:bodyPr rot="0" spcFirstLastPara="1" vertOverflow="ellipsis" vert="horz" wrap="square" lIns="38100" tIns="72000" rIns="38100" bIns="19050" anchor="ctr" anchorCtr="1">
                <a:spAutoFit/>
              </a:bodyPr>
              <a:lstStyle/>
              <a:p>
                <a:pPr>
                  <a:defRPr sz="180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sv-SE"/>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strRef>
              <c:f>Uträkningar!$H$25:$Q$25</c:f>
              <c:strCache>
                <c:ptCount val="10"/>
                <c:pt idx="0">
                  <c:v>År 1</c:v>
                </c:pt>
                <c:pt idx="1">
                  <c:v>År 2</c:v>
                </c:pt>
                <c:pt idx="2">
                  <c:v>År 3</c:v>
                </c:pt>
                <c:pt idx="3">
                  <c:v>År 4</c:v>
                </c:pt>
                <c:pt idx="4">
                  <c:v>År 5</c:v>
                </c:pt>
                <c:pt idx="5">
                  <c:v>År 6</c:v>
                </c:pt>
                <c:pt idx="6">
                  <c:v>År 7</c:v>
                </c:pt>
                <c:pt idx="7">
                  <c:v>År 8</c:v>
                </c:pt>
                <c:pt idx="8">
                  <c:v>År 9</c:v>
                </c:pt>
                <c:pt idx="9">
                  <c:v>År 10</c:v>
                </c:pt>
              </c:strCache>
            </c:strRef>
          </c:cat>
          <c:val>
            <c:numRef>
              <c:f>Uträkningar!$H$28:$Q$28</c:f>
              <c:numCache>
                <c:formatCode>#,##0</c:formatCode>
                <c:ptCount val="10"/>
                <c:pt idx="0" formatCode="_(&quot;kr&quot;* #,##0.00_);_(&quot;kr&quot;* \(#,##0.00\);_(&quot;kr&quot;* &quot;-&quot;??_);_(@_)">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0CCA-43B4-A286-9D93A5CF0DE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prstDash val="sysDot"/>
              <a:round/>
            </a:ln>
            <a:effectLst/>
          </c:spPr>
        </c:dropLines>
        <c:smooth val="0"/>
        <c:axId val="1722151216"/>
        <c:axId val="1722151696"/>
      </c:lineChart>
      <c:catAx>
        <c:axId val="17221512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spc="2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sv-SE"/>
          </a:p>
        </c:txPr>
        <c:crossAx val="1722151696"/>
        <c:crosses val="autoZero"/>
        <c:auto val="1"/>
        <c:lblAlgn val="ctr"/>
        <c:lblOffset val="100"/>
        <c:noMultiLvlLbl val="0"/>
      </c:catAx>
      <c:valAx>
        <c:axId val="17221516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spc="2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sv-SE"/>
          </a:p>
        </c:txPr>
        <c:crossAx val="172215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dk1">
                  <a:lumMod val="65000"/>
                  <a:lumOff val="35000"/>
                </a:schemeClr>
              </a:solidFill>
              <a:latin typeface="KievitPro-Regular" panose="020B0504030101020102" pitchFamily="34" charset="0"/>
              <a:ea typeface="+mn-ea"/>
              <a:cs typeface="+mn-cs"/>
            </a:defRPr>
          </a:pPr>
          <a:endParaRPr lang="sv-SE"/>
        </a:p>
      </c:txPr>
    </c:legend>
    <c:plotVisOnly val="1"/>
    <c:dispBlanksAs val="gap"/>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5"/>
    </mc:Choice>
    <mc:Fallback>
      <c:style val="5"/>
    </mc:Fallback>
  </mc:AlternateContent>
  <c:chart>
    <c:title>
      <c:tx>
        <c:strRef>
          <c:f>Variabler!$B$7</c:f>
          <c:strCache>
            <c:ptCount val="1"/>
            <c:pt idx="0">
              <c:v>Årlig besparing per rumstyp </c:v>
            </c:pt>
          </c:strCache>
        </c:strRef>
      </c:tx>
      <c:overlay val="0"/>
      <c:spPr>
        <a:noFill/>
        <a:ln>
          <a:noFill/>
        </a:ln>
        <a:effectLst/>
      </c:spPr>
      <c:txPr>
        <a:bodyPr rot="0" spcFirstLastPara="1" vertOverflow="ellipsis" vert="horz" wrap="square" anchor="ctr" anchorCtr="1"/>
        <a:lstStyle/>
        <a:p>
          <a:pPr>
            <a:defRPr sz="1800" b="0" i="0" u="none" strike="noStrike" kern="1200" cap="none" spc="120" normalizeH="0" baseline="0">
              <a:solidFill>
                <a:sysClr val="windowText" lastClr="000000"/>
              </a:solidFill>
              <a:latin typeface="KievitPro-Regular" panose="020B0504030101020102" pitchFamily="34" charset="0"/>
              <a:ea typeface="+mn-ea"/>
              <a:cs typeface="+mn-cs"/>
            </a:defRPr>
          </a:pPr>
          <a:endParaRPr lang="en-US"/>
        </a:p>
      </c:txPr>
    </c:title>
    <c:autoTitleDeleted val="0"/>
    <c:plotArea>
      <c:layout>
        <c:manualLayout>
          <c:layoutTarget val="inner"/>
          <c:xMode val="edge"/>
          <c:yMode val="edge"/>
          <c:x val="8.9535963366267658E-3"/>
          <c:y val="0.22501351661460137"/>
          <c:w val="0.98209280732674642"/>
          <c:h val="0.70968457443445132"/>
        </c:manualLayout>
      </c:layout>
      <c:barChart>
        <c:barDir val="bar"/>
        <c:grouping val="clustered"/>
        <c:varyColors val="0"/>
        <c:ser>
          <c:idx val="1"/>
          <c:order val="0"/>
          <c:tx>
            <c:strRef>
              <c:f>Uträkningar!$D$30</c:f>
              <c:strCache>
                <c:ptCount val="1"/>
                <c:pt idx="0">
                  <c:v>Klimatpåverkan (kg CO₂)</c:v>
                </c:pt>
              </c:strCache>
            </c:strRef>
          </c:tx>
          <c:spPr>
            <a:solidFill>
              <a:schemeClr val="accent3"/>
            </a:solidFill>
            <a:ln>
              <a:noFill/>
            </a:ln>
            <a:effectLst/>
          </c:spPr>
          <c:invertIfNegative val="0"/>
          <c:dLbls>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sv-S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Uträkningar!$B$16:$B$25</c:f>
            </c:multiLvlStrRef>
          </c:cat>
          <c:val>
            <c:numRef>
              <c:f>Uträkningar!$D$31</c:f>
              <c:numCache>
                <c:formatCode>_-* #\ ##0_-;\-* #\ ##0_-;_-* "-"??_-;_-@_-</c:formatCode>
                <c:ptCount val="1"/>
                <c:pt idx="0">
                  <c:v>0</c:v>
                </c:pt>
              </c:numCache>
            </c:numRef>
          </c:val>
          <c:extLst>
            <c:ext xmlns:c16="http://schemas.microsoft.com/office/drawing/2014/chart" uri="{C3380CC4-5D6E-409C-BE32-E72D297353CC}">
              <c16:uniqueId val="{00000003-DBAE-394C-9BA6-BAF41A53C47E}"/>
            </c:ext>
          </c:extLst>
        </c:ser>
        <c:ser>
          <c:idx val="0"/>
          <c:order val="1"/>
          <c:tx>
            <c:strRef>
              <c:f>Uträkningar!$C$30</c:f>
              <c:strCache>
                <c:ptCount val="1"/>
                <c:pt idx="0">
                  <c:v>Energiåtgång (kWh)</c:v>
                </c:pt>
              </c:strCache>
            </c:strRef>
          </c:tx>
          <c:spPr>
            <a:solidFill>
              <a:schemeClr val="accent3">
                <a:shade val="65000"/>
              </a:schemeClr>
            </a:solidFill>
            <a:ln>
              <a:noFill/>
            </a:ln>
            <a:effectLst/>
          </c:spPr>
          <c:invertIfNegative val="0"/>
          <c:dPt>
            <c:idx val="0"/>
            <c:invertIfNegative val="0"/>
            <c:bubble3D val="0"/>
            <c:spPr>
              <a:solidFill>
                <a:schemeClr val="accent3">
                  <a:shade val="65000"/>
                </a:schemeClr>
              </a:solidFill>
              <a:ln>
                <a:noFill/>
              </a:ln>
              <a:effectLst/>
            </c:spPr>
            <c:extLst>
              <c:ext xmlns:c16="http://schemas.microsoft.com/office/drawing/2014/chart" uri="{C3380CC4-5D6E-409C-BE32-E72D297353CC}">
                <c16:uniqueId val="{00000001-DBAE-394C-9BA6-BAF41A53C47E}"/>
              </c:ext>
            </c:extLst>
          </c:dPt>
          <c:dLbls>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sv-S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AE-394C-9BA6-BAF41A53C47E}"/>
                </c:ext>
              </c:extLst>
            </c:dLbl>
            <c:numFmt formatCode="#,##0.00" sourceLinked="0"/>
            <c:spPr>
              <a:noFill/>
              <a:ln>
                <a:noFill/>
              </a:ln>
              <a:effectLst/>
            </c:spPr>
            <c:txPr>
              <a:bodyPr rot="0" spcFirstLastPara="1" vertOverflow="clip" horzOverflow="clip" vert="horz" wrap="none" lIns="38100" tIns="0" rIns="38100" bIns="19050" anchor="ctr" anchorCtr="1">
                <a:spAutoFit/>
              </a:bodyPr>
              <a:lstStyle/>
              <a:p>
                <a:pPr>
                  <a:defRPr sz="160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sv-SE"/>
              </a:p>
            </c:txPr>
            <c:dLblPos val="outEnd"/>
            <c:showLegendKey val="0"/>
            <c:showVal val="1"/>
            <c:showCatName val="0"/>
            <c:showSerName val="0"/>
            <c:showPercent val="0"/>
            <c:showBubbleSize val="0"/>
            <c:separator>, </c:separator>
            <c:showLeaderLines val="0"/>
            <c:extLst xmlns:c15="http://schemas.microsoft.com/office/drawing/2012/char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tx1">
                          <a:lumMod val="35000"/>
                          <a:lumOff val="65000"/>
                        </a:schemeClr>
                      </a:solidFill>
                    </a:ln>
                    <a:effectLst/>
                  </c:spPr>
                </c15:leaderLines>
              </c:ext>
            </c:extLst>
          </c:dLbls>
          <c:cat>
            <c:multiLvlStrRef>
              <c:f>Uträkningar!$B$16:$B$25</c:f>
            </c:multiLvlStrRef>
          </c:cat>
          <c:val>
            <c:numRef>
              <c:f>Uträkningar!$C$31</c:f>
              <c:numCache>
                <c:formatCode>_-* #\ ##0_-;\-* #\ ##0_-;_-* "-"??_-;_-@_-</c:formatCode>
                <c:ptCount val="1"/>
                <c:pt idx="0">
                  <c:v>0</c:v>
                </c:pt>
              </c:numCache>
            </c:numRef>
          </c:val>
          <c:extLst xmlns:c15="http://schemas.microsoft.com/office/drawing/2012/chart">
            <c:ext xmlns:c16="http://schemas.microsoft.com/office/drawing/2014/chart" uri="{C3380CC4-5D6E-409C-BE32-E72D297353CC}">
              <c16:uniqueId val="{00000002-DBAE-394C-9BA6-BAF41A53C47E}"/>
            </c:ext>
          </c:extLst>
        </c:ser>
        <c:ser>
          <c:idx val="2"/>
          <c:order val="2"/>
          <c:tx>
            <c:strRef>
              <c:f>Uträkningar!$E$30</c:f>
              <c:strCache>
                <c:ptCount val="1"/>
                <c:pt idx="0">
                  <c:v>Energikostnad (SEK)</c:v>
                </c:pt>
              </c:strCache>
            </c:strRef>
          </c:tx>
          <c:spPr>
            <a:solidFill>
              <a:schemeClr val="accent3">
                <a:tint val="65000"/>
              </a:schemeClr>
            </a:solidFill>
            <a:ln>
              <a:noFill/>
            </a:ln>
            <a:effectLst/>
          </c:spPr>
          <c:invertIfNegative val="0"/>
          <c:dLbls>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sv-S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Uträkningar!$B$16:$B$25</c:f>
            </c:multiLvlStrRef>
          </c:cat>
          <c:val>
            <c:numRef>
              <c:f>Uträkningar!$E$31</c:f>
              <c:numCache>
                <c:formatCode>_-* #\ ##0_-;\-* #\ ##0_-;_-* "-"??_-;_-@_-</c:formatCode>
                <c:ptCount val="1"/>
                <c:pt idx="0">
                  <c:v>0</c:v>
                </c:pt>
              </c:numCache>
            </c:numRef>
          </c:val>
          <c:extLst>
            <c:ext xmlns:c16="http://schemas.microsoft.com/office/drawing/2014/chart" uri="{C3380CC4-5D6E-409C-BE32-E72D297353CC}">
              <c16:uniqueId val="{00000004-DBAE-394C-9BA6-BAF41A53C47E}"/>
            </c:ext>
          </c:extLst>
        </c:ser>
        <c:dLbls>
          <c:dLblPos val="outEnd"/>
          <c:showLegendKey val="0"/>
          <c:showVal val="1"/>
          <c:showCatName val="0"/>
          <c:showSerName val="0"/>
          <c:showPercent val="0"/>
          <c:showBubbleSize val="0"/>
        </c:dLbls>
        <c:gapWidth val="444"/>
        <c:axId val="306800880"/>
        <c:axId val="326716848"/>
        <c:extLst/>
      </c:barChart>
      <c:catAx>
        <c:axId val="3068008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600" b="0" i="0" u="none" strike="noStrike" kern="1200" cap="none" spc="100" normalizeH="0" baseline="0">
                <a:solidFill>
                  <a:schemeClr val="tx1"/>
                </a:solidFill>
                <a:latin typeface="KievitPro-Light" panose="020B0504020101020102" pitchFamily="34" charset="0"/>
                <a:ea typeface="+mn-ea"/>
                <a:cs typeface="+mn-cs"/>
              </a:defRPr>
            </a:pPr>
            <a:endParaRPr lang="en-US"/>
          </a:p>
        </c:txPr>
        <c:crossAx val="326716848"/>
        <c:crosses val="autoZero"/>
        <c:auto val="1"/>
        <c:lblAlgn val="ctr"/>
        <c:lblOffset val="100"/>
        <c:noMultiLvlLbl val="0"/>
      </c:catAx>
      <c:valAx>
        <c:axId val="326716848"/>
        <c:scaling>
          <c:orientation val="minMax"/>
        </c:scaling>
        <c:delete val="1"/>
        <c:axPos val="b"/>
        <c:numFmt formatCode="_-* #\ ##0_-;\-* #\ ##0_-;_-* &quot;-&quot;??_-;_-@_-" sourceLinked="1"/>
        <c:majorTickMark val="none"/>
        <c:minorTickMark val="none"/>
        <c:tickLblPos val="nextTo"/>
        <c:crossAx val="3068008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rtl="0">
            <a:defRPr sz="1600" b="0" i="0" u="none" strike="noStrike" kern="1200" baseline="0">
              <a:solidFill>
                <a:schemeClr val="tx1"/>
              </a:solidFill>
              <a:latin typeface="KievitPro-Regular" panose="020B0504030101020102"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Sammanfattning!$D$25</c:f>
          <c:strCache>
            <c:ptCount val="1"/>
            <c:pt idx="0">
              <c:v>Total Kostnad</c:v>
            </c:pt>
          </c:strCache>
        </c:strRef>
      </c:tx>
      <c:overlay val="0"/>
      <c:spPr>
        <a:noFill/>
        <a:ln>
          <a:noFill/>
        </a:ln>
        <a:effectLst/>
      </c:spPr>
      <c:txPr>
        <a:bodyPr rot="0" spcFirstLastPara="1" vertOverflow="ellipsis" vert="horz" wrap="square" anchor="ctr" anchorCtr="1"/>
        <a:lstStyle/>
        <a:p>
          <a:pPr>
            <a:defRPr sz="1800" b="1" i="0" u="none" strike="noStrike" kern="1200" cap="none" baseline="0">
              <a:solidFill>
                <a:sysClr val="windowText" lastClr="000000"/>
              </a:solidFill>
              <a:latin typeface="KievitPro-Regular" panose="020B0504030101020102" pitchFamily="34" charset="0"/>
              <a:ea typeface="+mn-ea"/>
              <a:cs typeface="+mn-cs"/>
            </a:defRPr>
          </a:pPr>
          <a:endParaRPr lang="sv-SE"/>
        </a:p>
      </c:txPr>
    </c:title>
    <c:autoTitleDeleted val="0"/>
    <c:plotArea>
      <c:layout/>
      <c:barChart>
        <c:barDir val="col"/>
        <c:grouping val="clustered"/>
        <c:varyColors val="0"/>
        <c:ser>
          <c:idx val="1"/>
          <c:order val="1"/>
          <c:tx>
            <c:strRef>
              <c:f>Sammanfattning!$D$23</c:f>
              <c:strCache>
                <c:ptCount val="1"/>
                <c:pt idx="0">
                  <c:v>Energikostnader</c:v>
                </c:pt>
              </c:strCache>
            </c:strRef>
          </c:tx>
          <c:spPr>
            <a:solidFill>
              <a:srgbClr val="D9C2BE"/>
            </a:solidFill>
            <a:ln>
              <a:noFill/>
            </a:ln>
            <a:effectLst/>
          </c:spPr>
          <c:invertIfNegative val="0"/>
          <c:dLbls>
            <c:delete val="1"/>
          </c:dLbls>
          <c:cat>
            <c:strRef>
              <c:extLst>
                <c:ext xmlns:c15="http://schemas.microsoft.com/office/drawing/2012/chart" uri="{02D57815-91ED-43cb-92C2-25804820EDAC}">
                  <c15:fullRef>
                    <c15:sqref>(Sammanfattning!$I$21,Sammanfattning!$L$21,Sammanfattning!$O$21,Sammanfattning!$R$21,Sammanfattning!$U$21)</c15:sqref>
                  </c15:fullRef>
                </c:ext>
              </c:extLst>
              <c:f>(Sammanfattning!$I$21,Sammanfattning!$L$21,Sammanfattning!$U$21)</c:f>
              <c:strCache>
                <c:ptCount val="2"/>
                <c:pt idx="0">
                  <c:v>Befintlig Installation</c:v>
                </c:pt>
                <c:pt idx="1">
                  <c:v>Vårt förslag</c:v>
                </c:pt>
              </c:strCache>
            </c:strRef>
          </c:cat>
          <c:val>
            <c:numRef>
              <c:extLst>
                <c:ext xmlns:c15="http://schemas.microsoft.com/office/drawing/2012/chart" uri="{02D57815-91ED-43cb-92C2-25804820EDAC}">
                  <c15:fullRef>
                    <c15:sqref>(Sammanfattning!$I$23,Sammanfattning!$L$23,Sammanfattning!$O$23,Sammanfattning!$R$23)</c15:sqref>
                  </c15:fullRef>
                </c:ext>
              </c:extLst>
              <c:f>(Sammanfattning!$I$23,Sammanfattning!$L$23)</c:f>
              <c:numCache>
                <c:formatCode>#,##0</c:formatCode>
                <c:ptCount val="2"/>
                <c:pt idx="0">
                  <c:v>0</c:v>
                </c:pt>
                <c:pt idx="1">
                  <c:v>0</c:v>
                </c:pt>
              </c:numCache>
            </c:numRef>
          </c:val>
          <c:extLst>
            <c:ext xmlns:c16="http://schemas.microsoft.com/office/drawing/2014/chart" uri="{C3380CC4-5D6E-409C-BE32-E72D297353CC}">
              <c16:uniqueId val="{00000001-EAE9-A349-8D86-AB9239222D9D}"/>
            </c:ext>
          </c:extLst>
        </c:ser>
        <c:ser>
          <c:idx val="2"/>
          <c:order val="2"/>
          <c:tx>
            <c:strRef>
              <c:f>Sammanfattning!$D$24</c:f>
              <c:strCache>
                <c:ptCount val="1"/>
                <c:pt idx="0">
                  <c:v>Underhållskostnader</c:v>
                </c:pt>
              </c:strCache>
            </c:strRef>
          </c:tx>
          <c:spPr>
            <a:solidFill>
              <a:srgbClr val="C2D3D6"/>
            </a:solidFill>
            <a:ln>
              <a:noFill/>
            </a:ln>
            <a:effectLst/>
          </c:spPr>
          <c:invertIfNegative val="0"/>
          <c:dLbls>
            <c:delete val="1"/>
          </c:dLbls>
          <c:cat>
            <c:strRef>
              <c:extLst>
                <c:ext xmlns:c15="http://schemas.microsoft.com/office/drawing/2012/chart" uri="{02D57815-91ED-43cb-92C2-25804820EDAC}">
                  <c15:fullRef>
                    <c15:sqref>(Sammanfattning!$I$21,Sammanfattning!$L$21,Sammanfattning!$O$21,Sammanfattning!$R$21,Sammanfattning!$U$21)</c15:sqref>
                  </c15:fullRef>
                </c:ext>
              </c:extLst>
              <c:f>(Sammanfattning!$I$21,Sammanfattning!$L$21,Sammanfattning!$U$21)</c:f>
              <c:strCache>
                <c:ptCount val="2"/>
                <c:pt idx="0">
                  <c:v>Befintlig Installation</c:v>
                </c:pt>
                <c:pt idx="1">
                  <c:v>Vårt förslag</c:v>
                </c:pt>
              </c:strCache>
            </c:strRef>
          </c:cat>
          <c:val>
            <c:numRef>
              <c:extLst>
                <c:ext xmlns:c15="http://schemas.microsoft.com/office/drawing/2012/chart" uri="{02D57815-91ED-43cb-92C2-25804820EDAC}">
                  <c15:fullRef>
                    <c15:sqref>(Sammanfattning!$I$24,Sammanfattning!$L$24,Sammanfattning!$O$24,Sammanfattning!$R$24)</c15:sqref>
                  </c15:fullRef>
                </c:ext>
              </c:extLst>
              <c:f>(Sammanfattning!$I$24,Sammanfattning!$L$24)</c:f>
              <c:numCache>
                <c:formatCode>#,##0</c:formatCode>
                <c:ptCount val="2"/>
                <c:pt idx="0">
                  <c:v>0</c:v>
                </c:pt>
              </c:numCache>
            </c:numRef>
          </c:val>
          <c:extLst>
            <c:ext xmlns:c16="http://schemas.microsoft.com/office/drawing/2014/chart" uri="{C3380CC4-5D6E-409C-BE32-E72D297353CC}">
              <c16:uniqueId val="{00000002-EAE9-A349-8D86-AB9239222D9D}"/>
            </c:ext>
          </c:extLst>
        </c:ser>
        <c:dLbls>
          <c:showLegendKey val="0"/>
          <c:showVal val="1"/>
          <c:showCatName val="0"/>
          <c:showSerName val="0"/>
          <c:showPercent val="0"/>
          <c:showBubbleSize val="0"/>
        </c:dLbls>
        <c:gapWidth val="100"/>
        <c:overlap val="-24"/>
        <c:axId val="721640479"/>
        <c:axId val="721642399"/>
        <c:extLst>
          <c:ext xmlns:c15="http://schemas.microsoft.com/office/drawing/2012/chart" uri="{02D57815-91ED-43cb-92C2-25804820EDAC}">
            <c15:filteredBarSeries>
              <c15:ser>
                <c:idx val="0"/>
                <c:order val="0"/>
                <c:tx>
                  <c:strRef>
                    <c:extLst>
                      <c:ext uri="{02D57815-91ED-43cb-92C2-25804820EDAC}">
                        <c15:formulaRef>
                          <c15:sqref>Sammanfattning!$D$22</c15:sqref>
                        </c15:formulaRef>
                      </c:ext>
                    </c:extLst>
                    <c:strCache>
                      <c:ptCount val="1"/>
                      <c:pt idx="0">
                        <c:v>Investeringskostnader </c:v>
                      </c:pt>
                    </c:strCache>
                  </c:strRef>
                </c:tx>
                <c:spPr>
                  <a:solidFill>
                    <a:srgbClr val="C6DBCB"/>
                  </a:solidFill>
                  <a:ln>
                    <a:noFill/>
                  </a:ln>
                  <a:effectLst/>
                </c:spPr>
                <c:invertIfNegative val="0"/>
                <c:dLbls>
                  <c:delete val="1"/>
                </c:dLbls>
                <c:cat>
                  <c:strRef>
                    <c:extLst>
                      <c:ext uri="{02D57815-91ED-43cb-92C2-25804820EDAC}">
                        <c15:fullRef>
                          <c15:sqref>(Sammanfattning!$I$21,Sammanfattning!$L$21,Sammanfattning!$O$21,Sammanfattning!$R$21,Sammanfattning!$U$21)</c15:sqref>
                        </c15:fullRef>
                        <c15:formulaRef>
                          <c15:sqref>(Sammanfattning!$I$21,Sammanfattning!$L$21,Sammanfattning!$U$21)</c15:sqref>
                        </c15:formulaRef>
                      </c:ext>
                    </c:extLst>
                    <c:strCache>
                      <c:ptCount val="2"/>
                      <c:pt idx="0">
                        <c:v>Befintlig Installation</c:v>
                      </c:pt>
                      <c:pt idx="1">
                        <c:v>Vårt förslag</c:v>
                      </c:pt>
                    </c:strCache>
                  </c:strRef>
                </c:cat>
                <c:val>
                  <c:numRef>
                    <c:extLst>
                      <c:ext uri="{02D57815-91ED-43cb-92C2-25804820EDAC}">
                        <c15:fullRef>
                          <c15:sqref>(Sammanfattning!$I$22,Sammanfattning!$L$22,Sammanfattning!$O$22,Sammanfattning!$R$22)</c15:sqref>
                        </c15:fullRef>
                        <c15:formulaRef>
                          <c15:sqref>(Sammanfattning!$I$22,Sammanfattning!$L$22)</c15:sqref>
                        </c15:formulaRef>
                      </c:ext>
                    </c:extLst>
                    <c:numCache>
                      <c:formatCode>#,##0</c:formatCode>
                      <c:ptCount val="2"/>
                      <c:pt idx="0">
                        <c:v>0</c:v>
                      </c:pt>
                      <c:pt idx="1">
                        <c:v>0</c:v>
                      </c:pt>
                    </c:numCache>
                  </c:numRef>
                </c:val>
                <c:extLst>
                  <c:ext xmlns:c16="http://schemas.microsoft.com/office/drawing/2014/chart" uri="{C3380CC4-5D6E-409C-BE32-E72D297353CC}">
                    <c16:uniqueId val="{00000000-EAE9-A349-8D86-AB9239222D9D}"/>
                  </c:ext>
                </c:extLst>
              </c15:ser>
            </c15:filteredBarSeries>
          </c:ext>
        </c:extLst>
      </c:barChart>
      <c:catAx>
        <c:axId val="7216404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KievitPro-Regular" panose="020B0504030101020102" pitchFamily="34" charset="0"/>
                <a:ea typeface="+mn-ea"/>
                <a:cs typeface="+mn-cs"/>
              </a:defRPr>
            </a:pPr>
            <a:endParaRPr lang="sv-SE"/>
          </a:p>
        </c:txPr>
        <c:crossAx val="721642399"/>
        <c:crosses val="autoZero"/>
        <c:auto val="1"/>
        <c:lblAlgn val="ctr"/>
        <c:lblOffset val="100"/>
        <c:noMultiLvlLbl val="0"/>
      </c:catAx>
      <c:valAx>
        <c:axId val="721642399"/>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sv-SE"/>
          </a:p>
        </c:txPr>
        <c:crossAx val="721640479"/>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600" b="0" i="0" u="none" strike="noStrike" kern="1200" baseline="0">
                <a:solidFill>
                  <a:schemeClr val="tx1"/>
                </a:solidFill>
                <a:latin typeface="KievitPro-Regular" panose="020B0504030101020102" pitchFamily="34" charset="0"/>
                <a:ea typeface="+mn-ea"/>
                <a:cs typeface="+mn-cs"/>
              </a:defRPr>
            </a:pPr>
            <a:endParaRPr lang="sv-SE"/>
          </a:p>
        </c:txPr>
      </c:legendEntry>
      <c:legendEntry>
        <c:idx val="1"/>
        <c:txPr>
          <a:bodyPr rot="0" spcFirstLastPara="1" vertOverflow="ellipsis" vert="horz" wrap="square" anchor="ctr" anchorCtr="1"/>
          <a:lstStyle/>
          <a:p>
            <a:pPr>
              <a:defRPr sz="1600" b="0" i="0" u="none" strike="noStrike" kern="1200" baseline="0">
                <a:solidFill>
                  <a:schemeClr val="tx1"/>
                </a:solidFill>
                <a:latin typeface="KievitPro-Regular" panose="020B0504030101020102" pitchFamily="34" charset="0"/>
                <a:ea typeface="+mn-ea"/>
                <a:cs typeface="+mn-cs"/>
              </a:defRPr>
            </a:pPr>
            <a:endParaRPr lang="sv-SE"/>
          </a:p>
        </c:txPr>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KievitPro-Regular" panose="020B0504030101020102" pitchFamily="34" charset="0"/>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5"/>
    </mc:Choice>
    <mc:Fallback>
      <c:style val="5"/>
    </mc:Fallback>
  </mc:AlternateContent>
  <c:chart>
    <c:title>
      <c:tx>
        <c:strRef>
          <c:f>Sammanfattning!$D$27</c:f>
          <c:strCache>
            <c:ptCount val="1"/>
            <c:pt idx="0">
              <c:v>Energianvändning &amp; klimatpåverkan </c:v>
            </c:pt>
          </c:strCache>
        </c:strRef>
      </c:tx>
      <c:layout>
        <c:manualLayout>
          <c:xMode val="edge"/>
          <c:yMode val="edge"/>
          <c:x val="0.24364454685581305"/>
          <c:y val="5.2005862558790854E-2"/>
        </c:manualLayout>
      </c:layout>
      <c:overlay val="0"/>
      <c:spPr>
        <a:noFill/>
        <a:ln>
          <a:noFill/>
        </a:ln>
        <a:effectLst/>
      </c:spPr>
      <c:txPr>
        <a:bodyPr rot="0" spcFirstLastPara="1" vertOverflow="ellipsis" vert="horz" wrap="square" anchor="ctr" anchorCtr="1"/>
        <a:lstStyle/>
        <a:p>
          <a:pPr>
            <a:defRPr sz="1800" b="0" i="0" u="none" strike="noStrike" kern="1200" cap="none" baseline="0">
              <a:solidFill>
                <a:sysClr val="windowText" lastClr="000000"/>
              </a:solidFill>
              <a:latin typeface="KievitPro-Regular" panose="020B0504030101020102" pitchFamily="34" charset="0"/>
              <a:ea typeface="+mn-ea"/>
              <a:cs typeface="+mn-cs"/>
            </a:defRPr>
          </a:pPr>
          <a:endParaRPr lang="sv-SE"/>
        </a:p>
      </c:txPr>
    </c:title>
    <c:autoTitleDeleted val="0"/>
    <c:plotArea>
      <c:layout/>
      <c:barChart>
        <c:barDir val="col"/>
        <c:grouping val="clustered"/>
        <c:varyColors val="0"/>
        <c:ser>
          <c:idx val="0"/>
          <c:order val="0"/>
          <c:tx>
            <c:strRef>
              <c:f>Sammanfattning!$D$28</c:f>
              <c:strCache>
                <c:ptCount val="1"/>
                <c:pt idx="0">
                  <c:v>Energianvändning (kWh/år)</c:v>
                </c:pt>
              </c:strCache>
            </c:strRef>
          </c:tx>
          <c:spPr>
            <a:solidFill>
              <a:srgbClr val="D9C2BE"/>
            </a:solidFill>
            <a:ln>
              <a:noFill/>
            </a:ln>
            <a:effectLst>
              <a:outerShdw blurRad="40000" dist="23000" dir="5400000" rotWithShape="0">
                <a:srgbClr val="000000">
                  <a:alpha val="35000"/>
                </a:srgbClr>
              </a:outerShdw>
            </a:effectLst>
          </c:spPr>
          <c:invertIfNegative val="0"/>
          <c:cat>
            <c:strRef>
              <c:extLst>
                <c:ext xmlns:c15="http://schemas.microsoft.com/office/drawing/2012/chart" uri="{02D57815-91ED-43cb-92C2-25804820EDAC}">
                  <c15:fullRef>
                    <c15:sqref>(Sammanfattning!$I$21,Sammanfattning!$L$21,Sammanfattning!$O$21,Sammanfattning!$R$21,Sammanfattning!$U$21)</c15:sqref>
                  </c15:fullRef>
                </c:ext>
              </c:extLst>
              <c:f>(Sammanfattning!$I$21,Sammanfattning!$L$21,Sammanfattning!$U$21)</c:f>
              <c:strCache>
                <c:ptCount val="2"/>
                <c:pt idx="0">
                  <c:v>Befintlig Installation</c:v>
                </c:pt>
                <c:pt idx="1">
                  <c:v>Vårt förslag</c:v>
                </c:pt>
                <c:pt idx="2">
                  <c:v>Jämförelse %</c:v>
                </c:pt>
                <c:pt idx="3">
                  <c:v>Besparing</c:v>
                </c:pt>
              </c:strCache>
            </c:strRef>
          </c:cat>
          <c:val>
            <c:numRef>
              <c:extLst>
                <c:ext xmlns:c15="http://schemas.microsoft.com/office/drawing/2012/chart" uri="{02D57815-91ED-43cb-92C2-25804820EDAC}">
                  <c15:fullRef>
                    <c15:sqref>(Uträkningar!$D$12,Uträkningar!$H$12)</c15:sqref>
                  </c15:fullRef>
                </c:ext>
              </c:extLst>
              <c:f>(Uträkningar!$D$12,Uträkningar!$H$12)</c:f>
              <c:numCache>
                <c:formatCode>#,##0</c:formatCode>
                <c:ptCount val="2"/>
                <c:pt idx="0" formatCode="_-* #\ ##0_-;\-* #\ ##0_-;_-* &quot;-&quot;??_-;_-@_-">
                  <c:v>0</c:v>
                </c:pt>
                <c:pt idx="1">
                  <c:v>0</c:v>
                </c:pt>
              </c:numCache>
            </c:numRef>
          </c:val>
          <c:extLst>
            <c:ext xmlns:c16="http://schemas.microsoft.com/office/drawing/2014/chart" uri="{C3380CC4-5D6E-409C-BE32-E72D297353CC}">
              <c16:uniqueId val="{00000002-93F7-7B45-8DC1-84B8E6B92E89}"/>
            </c:ext>
          </c:extLst>
        </c:ser>
        <c:ser>
          <c:idx val="1"/>
          <c:order val="1"/>
          <c:tx>
            <c:v>dummty</c:v>
          </c:tx>
          <c:spPr>
            <a:gradFill rotWithShape="1">
              <a:gsLst>
                <a:gs pos="0">
                  <a:schemeClr val="accent3">
                    <a:tint val="86000"/>
                    <a:shade val="51000"/>
                    <a:satMod val="130000"/>
                  </a:schemeClr>
                </a:gs>
                <a:gs pos="80000">
                  <a:schemeClr val="accent3">
                    <a:tint val="86000"/>
                    <a:shade val="93000"/>
                    <a:satMod val="130000"/>
                  </a:schemeClr>
                </a:gs>
                <a:gs pos="100000">
                  <a:schemeClr val="accent3">
                    <a:tint val="8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extLst>
                <c:ext xmlns:c15="http://schemas.microsoft.com/office/drawing/2012/chart" uri="{02D57815-91ED-43cb-92C2-25804820EDAC}">
                  <c15:fullRef>
                    <c15:sqref>(Sammanfattning!$I$21,Sammanfattning!$L$21,Sammanfattning!$O$21,Sammanfattning!$R$21,Sammanfattning!$U$21)</c15:sqref>
                  </c15:fullRef>
                </c:ext>
              </c:extLst>
              <c:f>(Sammanfattning!$I$21,Sammanfattning!$L$21,Sammanfattning!$U$21)</c:f>
              <c:strCache>
                <c:ptCount val="2"/>
                <c:pt idx="0">
                  <c:v>Befintlig Installation</c:v>
                </c:pt>
                <c:pt idx="1">
                  <c:v>Vårt förslag</c:v>
                </c:pt>
              </c:strCache>
            </c:strRef>
          </c:cat>
          <c:val>
            <c:numRef>
              <c:extLst>
                <c:ext xmlns:c15="http://schemas.microsoft.com/office/drawing/2012/chart" uri="{02D57815-91ED-43cb-92C2-25804820EDAC}">
                  <c15:fullRef>
                    <c15:sqref>(Sammanfattning!$I$30,Sammanfattning!$J$30,Sammanfattning!$K$30,Sammanfattning!$L$30)</c15:sqref>
                  </c15:fullRef>
                </c:ext>
              </c:extLst>
              <c:f>(Sammanfattning!$I$30,Sammanfattning!$J$30)</c:f>
              <c:numCache>
                <c:formatCode>General</c:formatCode>
                <c:ptCount val="2"/>
              </c:numCache>
            </c:numRef>
          </c:val>
          <c:extLst>
            <c:ext xmlns:c16="http://schemas.microsoft.com/office/drawing/2014/chart" uri="{C3380CC4-5D6E-409C-BE32-E72D297353CC}">
              <c16:uniqueId val="{00000003-93F7-7B45-8DC1-84B8E6B92E89}"/>
            </c:ext>
          </c:extLst>
        </c:ser>
        <c:dLbls>
          <c:showLegendKey val="0"/>
          <c:showVal val="0"/>
          <c:showCatName val="0"/>
          <c:showSerName val="0"/>
          <c:showPercent val="0"/>
          <c:showBubbleSize val="0"/>
        </c:dLbls>
        <c:gapWidth val="150"/>
        <c:axId val="333856416"/>
        <c:axId val="333858768"/>
      </c:barChart>
      <c:barChart>
        <c:barDir val="col"/>
        <c:grouping val="clustered"/>
        <c:varyColors val="0"/>
        <c:ser>
          <c:idx val="2"/>
          <c:order val="2"/>
          <c:tx>
            <c:v>dummty</c:v>
          </c:tx>
          <c:spPr>
            <a:gradFill rotWithShape="1">
              <a:gsLst>
                <a:gs pos="0">
                  <a:schemeClr val="accent3">
                    <a:shade val="86000"/>
                    <a:shade val="51000"/>
                    <a:satMod val="130000"/>
                  </a:schemeClr>
                </a:gs>
                <a:gs pos="80000">
                  <a:schemeClr val="accent3">
                    <a:shade val="86000"/>
                    <a:shade val="93000"/>
                    <a:satMod val="130000"/>
                  </a:schemeClr>
                </a:gs>
                <a:gs pos="100000">
                  <a:schemeClr val="accent3">
                    <a:shade val="8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2"/>
              <c:pt idx="0">
                <c:v>1</c:v>
              </c:pt>
              <c:pt idx="1">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(Sammanfattning!$I$53,Sammanfattning!$J$53,Sammanfattning!$K$53,Sammanfattning!$L$53)</c15:sqref>
                  </c15:fullRef>
                </c:ext>
              </c:extLst>
              <c:f>(Sammanfattning!$I$53,Sammanfattning!$J$53)</c:f>
              <c:numCache>
                <c:formatCode>General</c:formatCode>
                <c:ptCount val="2"/>
              </c:numCache>
            </c:numRef>
          </c:val>
          <c:extLst>
            <c:ext xmlns:c16="http://schemas.microsoft.com/office/drawing/2014/chart" uri="{C3380CC4-5D6E-409C-BE32-E72D297353CC}">
              <c16:uniqueId val="{00000004-93F7-7B45-8DC1-84B8E6B92E89}"/>
            </c:ext>
          </c:extLst>
        </c:ser>
        <c:ser>
          <c:idx val="3"/>
          <c:order val="3"/>
          <c:tx>
            <c:strRef>
              <c:f>Sammanfattning!$D$29</c:f>
              <c:strCache>
                <c:ptCount val="1"/>
                <c:pt idx="0">
                  <c:v>Klimatpåverkan (kgC02-e/år)</c:v>
                </c:pt>
              </c:strCache>
            </c:strRef>
          </c:tx>
          <c:spPr>
            <a:solidFill>
              <a:srgbClr val="C2D3D6"/>
            </a:solidFill>
            <a:ln>
              <a:noFill/>
            </a:ln>
            <a:effectLst>
              <a:outerShdw blurRad="40000" dist="23000" dir="5400000" rotWithShape="0">
                <a:srgbClr val="000000">
                  <a:alpha val="35000"/>
                </a:srgbClr>
              </a:outerShdw>
            </a:effectLst>
          </c:spPr>
          <c:invertIfNegative val="0"/>
          <c:cat>
            <c:strLit>
              <c:ptCount val="2"/>
              <c:pt idx="0">
                <c:v>1</c:v>
              </c:pt>
              <c:pt idx="1">
                <c:v>2</c:v>
              </c:pt>
              <c:pt idx="2">
                <c:v>3</c:v>
              </c:pt>
              <c:pt idx="3">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(Uträkningar!$F$12,Uträkningar!$J$12)</c15:sqref>
                  </c15:fullRef>
                </c:ext>
              </c:extLst>
              <c:f>(Uträkningar!$F$12,Uträkningar!$J$12)</c:f>
              <c:numCache>
                <c:formatCode>#,##0</c:formatCode>
                <c:ptCount val="2"/>
                <c:pt idx="0" formatCode="General">
                  <c:v>0</c:v>
                </c:pt>
                <c:pt idx="1">
                  <c:v>0</c:v>
                </c:pt>
              </c:numCache>
            </c:numRef>
          </c:val>
          <c:extLst>
            <c:ext xmlns:c16="http://schemas.microsoft.com/office/drawing/2014/chart" uri="{C3380CC4-5D6E-409C-BE32-E72D297353CC}">
              <c16:uniqueId val="{00000007-93F7-7B45-8DC1-84B8E6B92E89}"/>
            </c:ext>
          </c:extLst>
        </c:ser>
        <c:dLbls>
          <c:showLegendKey val="0"/>
          <c:showVal val="0"/>
          <c:showCatName val="0"/>
          <c:showSerName val="0"/>
          <c:showPercent val="0"/>
          <c:showBubbleSize val="0"/>
        </c:dLbls>
        <c:gapWidth val="150"/>
        <c:axId val="333856808"/>
        <c:axId val="333852496"/>
      </c:barChart>
      <c:catAx>
        <c:axId val="33385641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KievitPro-Regular" panose="020B0504030101020102" pitchFamily="34" charset="0"/>
                <a:ea typeface="+mn-ea"/>
                <a:cs typeface="+mn-cs"/>
              </a:defRPr>
            </a:pPr>
            <a:endParaRPr lang="sv-SE"/>
          </a:p>
        </c:txPr>
        <c:crossAx val="333858768"/>
        <c:crosses val="autoZero"/>
        <c:auto val="1"/>
        <c:lblAlgn val="ctr"/>
        <c:lblOffset val="100"/>
        <c:noMultiLvlLbl val="0"/>
      </c:catAx>
      <c:valAx>
        <c:axId val="333858768"/>
        <c:scaling>
          <c:orientation val="minMax"/>
          <c:min val="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KievitPro-Regular" panose="020B0504030101020102" pitchFamily="34" charset="0"/>
                    <a:ea typeface="+mn-ea"/>
                    <a:cs typeface="+mn-cs"/>
                  </a:defRPr>
                </a:pPr>
                <a:r>
                  <a:rPr lang="sv-SE" sz="1600" b="0">
                    <a:solidFill>
                      <a:schemeClr val="tx1"/>
                    </a:solidFill>
                    <a:latin typeface="KievitPro-Regular" panose="020B0504030101020102" pitchFamily="34" charset="0"/>
                  </a:rPr>
                  <a:t>kWh/år</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KievitPro-Regular" panose="020B0504030101020102" pitchFamily="34" charset="0"/>
                  <a:ea typeface="+mn-ea"/>
                  <a:cs typeface="+mn-cs"/>
                </a:defRPr>
              </a:pPr>
              <a:endParaRPr lang="sv-SE"/>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sv-SE"/>
          </a:p>
        </c:txPr>
        <c:crossAx val="333856416"/>
        <c:crosses val="autoZero"/>
        <c:crossBetween val="between"/>
      </c:valAx>
      <c:valAx>
        <c:axId val="333852496"/>
        <c:scaling>
          <c:orientation val="minMax"/>
          <c:min val="0"/>
        </c:scaling>
        <c:delete val="0"/>
        <c:axPos val="r"/>
        <c:title>
          <c:tx>
            <c:rich>
              <a:bodyPr rot="-5400000" spcFirstLastPara="1" vertOverflow="ellipsis" vert="horz" wrap="square" anchor="ctr" anchorCtr="1"/>
              <a:lstStyle/>
              <a:p>
                <a:pPr>
                  <a:defRPr sz="1600" b="0" i="0" u="none" strike="noStrike" kern="1200" baseline="0">
                    <a:solidFill>
                      <a:schemeClr val="tx1"/>
                    </a:solidFill>
                    <a:latin typeface="KievitPro-Regular" panose="020B0504030101020102" pitchFamily="34" charset="0"/>
                    <a:ea typeface="+mn-ea"/>
                    <a:cs typeface="+mn-cs"/>
                  </a:defRPr>
                </a:pPr>
                <a:r>
                  <a:rPr lang="sv-SE" sz="1600" b="0">
                    <a:solidFill>
                      <a:schemeClr val="tx1"/>
                    </a:solidFill>
                    <a:latin typeface="KievitPro-Regular" panose="020B0504030101020102" pitchFamily="34" charset="0"/>
                  </a:rPr>
                  <a:t>kgC02/år</a:t>
                </a:r>
              </a:p>
            </c:rich>
          </c:tx>
          <c:layout>
            <c:manualLayout>
              <c:xMode val="edge"/>
              <c:yMode val="edge"/>
              <c:x val="0.95126501796054608"/>
              <c:y val="0.38151649368678531"/>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KievitPro-Regular" panose="020B0504030101020102" pitchFamily="34" charset="0"/>
                  <a:ea typeface="+mn-ea"/>
                  <a:cs typeface="+mn-cs"/>
                </a:defRPr>
              </a:pPr>
              <a:endParaRPr lang="sv-S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sv-SE"/>
          </a:p>
        </c:txPr>
        <c:crossAx val="333856808"/>
        <c:crosses val="max"/>
        <c:crossBetween val="between"/>
      </c:valAx>
      <c:catAx>
        <c:axId val="333856808"/>
        <c:scaling>
          <c:orientation val="minMax"/>
        </c:scaling>
        <c:delete val="1"/>
        <c:axPos val="b"/>
        <c:majorTickMark val="none"/>
        <c:minorTickMark val="none"/>
        <c:tickLblPos val="nextTo"/>
        <c:crossAx val="33385249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6. Resultat'!A1"/><Relationship Id="rId3" Type="http://schemas.openxmlformats.org/officeDocument/2006/relationships/hyperlink" Target="#'1. Introduktion'!A1"/><Relationship Id="rId7" Type="http://schemas.openxmlformats.org/officeDocument/2006/relationships/hyperlink" Target="#'5. Ber&#228;kningsfaktorer klimat'!A1"/><Relationship Id="rId12" Type="http://schemas.openxmlformats.org/officeDocument/2006/relationships/hyperlink" Target="#'2. LCC A4'!A1"/><Relationship Id="rId2" Type="http://schemas.openxmlformats.org/officeDocument/2006/relationships/image" Target="../media/image3.jpg"/><Relationship Id="rId1" Type="http://schemas.openxmlformats.org/officeDocument/2006/relationships/image" Target="../media/image2.png"/><Relationship Id="rId6" Type="http://schemas.openxmlformats.org/officeDocument/2006/relationships/hyperlink" Target="#'4. Reduktionsfaktorer, LENI-tal'!A1"/><Relationship Id="rId11" Type="http://schemas.openxmlformats.org/officeDocument/2006/relationships/hyperlink" Target="#'2. LCC A3'!A1"/><Relationship Id="rId5" Type="http://schemas.openxmlformats.org/officeDocument/2006/relationships/hyperlink" Target="#'3. Kalkylparametrar'!A1"/><Relationship Id="rId10" Type="http://schemas.openxmlformats.org/officeDocument/2006/relationships/hyperlink" Target="#'2. LCC A2'!A1"/><Relationship Id="rId4" Type="http://schemas.openxmlformats.org/officeDocument/2006/relationships/hyperlink" Target="#'2. LCC A1'!A1"/><Relationship Id="rId9" Type="http://schemas.openxmlformats.org/officeDocument/2006/relationships/hyperlink" Target="#'7. Svarsformul&#228;r'!A1"/></Relationships>
</file>

<file path=xl/drawings/_rels/drawing5.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2.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drawing6.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2.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drawing7.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2.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drawing8.xml.rels><?xml version="1.0" encoding="UTF-8" standalone="yes"?>
<Relationships xmlns="http://schemas.openxmlformats.org/package/2006/relationships"><Relationship Id="rId8" Type="http://schemas.openxmlformats.org/officeDocument/2006/relationships/hyperlink" Target="#'2. LCC A2'!A1"/><Relationship Id="rId3" Type="http://schemas.openxmlformats.org/officeDocument/2006/relationships/hyperlink" Target="#'3. Kalkylparametrar'!A1"/><Relationship Id="rId7" Type="http://schemas.openxmlformats.org/officeDocument/2006/relationships/hyperlink" Target="#'7. Svarsformul&#228;r'!A1"/><Relationship Id="rId2" Type="http://schemas.openxmlformats.org/officeDocument/2006/relationships/hyperlink" Target="#'2. LCC A1'!A1"/><Relationship Id="rId1" Type="http://schemas.openxmlformats.org/officeDocument/2006/relationships/hyperlink" Target="#'1. Introduktion'!A1"/><Relationship Id="rId6" Type="http://schemas.openxmlformats.org/officeDocument/2006/relationships/hyperlink" Target="#'6. Resultat'!A1"/><Relationship Id="rId5" Type="http://schemas.openxmlformats.org/officeDocument/2006/relationships/hyperlink" Target="#'5. Ber&#228;kningsfaktorer klimat'!A1"/><Relationship Id="rId10" Type="http://schemas.openxmlformats.org/officeDocument/2006/relationships/hyperlink" Target="#'2. LCC A4'!A1"/><Relationship Id="rId4" Type="http://schemas.openxmlformats.org/officeDocument/2006/relationships/hyperlink" Target="#'4. Reduktionsfaktorer, LENI-tal'!A1"/><Relationship Id="rId9" Type="http://schemas.openxmlformats.org/officeDocument/2006/relationships/hyperlink" Target="#'2. LCC A3'!A1"/></Relationships>
</file>

<file path=xl/drawings/_rels/drawing9.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2.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drawing10.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svg"/><Relationship Id="rId3" Type="http://schemas.openxmlformats.org/officeDocument/2006/relationships/image" Target="../media/image6.svg"/><Relationship Id="rId7" Type="http://schemas.openxmlformats.org/officeDocument/2006/relationships/image" Target="../media/image8.jpeg"/><Relationship Id="rId12" Type="http://schemas.openxmlformats.org/officeDocument/2006/relationships/image" Target="../media/image13.png"/><Relationship Id="rId2" Type="http://schemas.openxmlformats.org/officeDocument/2006/relationships/image" Target="../media/image5.png"/><Relationship Id="rId1" Type="http://schemas.openxmlformats.org/officeDocument/2006/relationships/image" Target="../media/image4.jpeg"/><Relationship Id="rId6" Type="http://schemas.openxmlformats.org/officeDocument/2006/relationships/image" Target="../media/image7.jpeg"/><Relationship Id="rId11" Type="http://schemas.openxmlformats.org/officeDocument/2006/relationships/image" Target="../media/image12.svg"/><Relationship Id="rId5" Type="http://schemas.openxmlformats.org/officeDocument/2006/relationships/chart" Target="../charts/chart4.xml"/><Relationship Id="rId15" Type="http://schemas.openxmlformats.org/officeDocument/2006/relationships/chart" Target="../charts/chart6.xml"/><Relationship Id="rId10" Type="http://schemas.openxmlformats.org/officeDocument/2006/relationships/image" Target="../media/image11.png"/><Relationship Id="rId4" Type="http://schemas.openxmlformats.org/officeDocument/2006/relationships/chart" Target="../charts/chart3.xml"/><Relationship Id="rId9" Type="http://schemas.openxmlformats.org/officeDocument/2006/relationships/image" Target="../media/image10.svg"/><Relationship Id="rId14"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7.emf"/><Relationship Id="rId1" Type="http://schemas.openxmlformats.org/officeDocument/2006/relationships/image" Target="../media/image16.emf"/></Relationships>
</file>

<file path=xl/drawings/_rels/drawing13.x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7.emf"/><Relationship Id="rId1" Type="http://schemas.openxmlformats.org/officeDocument/2006/relationships/image" Target="../media/image16.emf"/></Relationships>
</file>

<file path=xl/drawings/_rels/drawing14.xml.rels><?xml version="1.0" encoding="UTF-8" standalone="yes"?>
<Relationships xmlns="http://schemas.openxmlformats.org/package/2006/relationships"><Relationship Id="rId8" Type="http://schemas.openxmlformats.org/officeDocument/2006/relationships/hyperlink" Target="#'7. Svarsformul&#228;r'!A1"/><Relationship Id="rId3" Type="http://schemas.openxmlformats.org/officeDocument/2006/relationships/hyperlink" Target="#'2. LCC A1'!A1"/><Relationship Id="rId7" Type="http://schemas.openxmlformats.org/officeDocument/2006/relationships/hyperlink" Target="#'6. Resultat'!A1"/><Relationship Id="rId2" Type="http://schemas.openxmlformats.org/officeDocument/2006/relationships/hyperlink" Target="#'1. Introduktion'!A1"/><Relationship Id="rId1" Type="http://schemas.openxmlformats.org/officeDocument/2006/relationships/image" Target="../media/image2.png"/><Relationship Id="rId6" Type="http://schemas.openxmlformats.org/officeDocument/2006/relationships/hyperlink" Target="#'5. Ber&#228;kningsfaktorer klimat'!A1"/><Relationship Id="rId11" Type="http://schemas.openxmlformats.org/officeDocument/2006/relationships/hyperlink" Target="#'2. LCC A4'!A1"/><Relationship Id="rId5" Type="http://schemas.openxmlformats.org/officeDocument/2006/relationships/hyperlink" Target="#'4. Reduktionsfaktorer, LENI-tal'!A1"/><Relationship Id="rId10" Type="http://schemas.openxmlformats.org/officeDocument/2006/relationships/hyperlink" Target="#'2. LCC A3'!A1"/><Relationship Id="rId4" Type="http://schemas.openxmlformats.org/officeDocument/2006/relationships/hyperlink" Target="#'3. Kalkylparametrar'!A1"/><Relationship Id="rId9" Type="http://schemas.openxmlformats.org/officeDocument/2006/relationships/hyperlink" Target="#'2. LCC A2'!A1"/></Relationships>
</file>

<file path=xl/drawings/_rels/vmlDrawing8.v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0</xdr:row>
      <xdr:rowOff>95250</xdr:rowOff>
    </xdr:from>
    <xdr:to>
      <xdr:col>5</xdr:col>
      <xdr:colOff>418782</xdr:colOff>
      <xdr:row>4</xdr:row>
      <xdr:rowOff>101486</xdr:rowOff>
    </xdr:to>
    <xdr:pic>
      <xdr:nvPicPr>
        <xdr:cNvPr id="2" name="Bildobjekt 1">
          <a:extLst>
            <a:ext uri="{FF2B5EF4-FFF2-40B4-BE49-F238E27FC236}">
              <a16:creationId xmlns:a16="http://schemas.microsoft.com/office/drawing/2014/main" id="{EDD102E3-0113-4DA0-AD37-2374FE446E75}"/>
            </a:ext>
          </a:extLst>
        </xdr:cNvPr>
        <xdr:cNvPicPr>
          <a:picLocks noChangeAspect="1"/>
        </xdr:cNvPicPr>
      </xdr:nvPicPr>
      <xdr:blipFill>
        <a:blip xmlns:r="http://schemas.openxmlformats.org/officeDocument/2006/relationships" r:embed="rId1"/>
        <a:stretch>
          <a:fillRect/>
        </a:stretch>
      </xdr:blipFill>
      <xdr:spPr>
        <a:xfrm>
          <a:off x="638175" y="95250"/>
          <a:ext cx="2542857" cy="914286"/>
        </a:xfrm>
        <a:prstGeom prst="rect">
          <a:avLst/>
        </a:prstGeom>
      </xdr:spPr>
    </xdr:pic>
    <xdr:clientData/>
  </xdr:twoCellAnchor>
  <xdr:twoCellAnchor editAs="oneCell">
    <xdr:from>
      <xdr:col>7</xdr:col>
      <xdr:colOff>19050</xdr:colOff>
      <xdr:row>10</xdr:row>
      <xdr:rowOff>66675</xdr:rowOff>
    </xdr:from>
    <xdr:to>
      <xdr:col>20</xdr:col>
      <xdr:colOff>137795</xdr:colOff>
      <xdr:row>19</xdr:row>
      <xdr:rowOff>139699</xdr:rowOff>
    </xdr:to>
    <xdr:pic>
      <xdr:nvPicPr>
        <xdr:cNvPr id="3" name="Bildobjekt 2">
          <a:extLst>
            <a:ext uri="{FF2B5EF4-FFF2-40B4-BE49-F238E27FC236}">
              <a16:creationId xmlns:a16="http://schemas.microsoft.com/office/drawing/2014/main" id="{CB8BDD06-4433-40EC-BC9B-21D2F86C79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a:xfrm>
          <a:off x="3886200" y="2447925"/>
          <a:ext cx="7362825" cy="1647824"/>
        </a:xfrm>
        <a:prstGeom prst="rect">
          <a:avLst/>
        </a:prstGeom>
      </xdr:spPr>
    </xdr:pic>
    <xdr:clientData/>
  </xdr:twoCellAnchor>
  <xdr:twoCellAnchor>
    <xdr:from>
      <xdr:col>0</xdr:col>
      <xdr:colOff>0</xdr:colOff>
      <xdr:row>5</xdr:row>
      <xdr:rowOff>0</xdr:rowOff>
    </xdr:from>
    <xdr:to>
      <xdr:col>22</xdr:col>
      <xdr:colOff>171451</xdr:colOff>
      <xdr:row>5</xdr:row>
      <xdr:rowOff>514800</xdr:rowOff>
    </xdr:to>
    <xdr:grpSp>
      <xdr:nvGrpSpPr>
        <xdr:cNvPr id="4" name="Grupp 3">
          <a:extLst>
            <a:ext uri="{FF2B5EF4-FFF2-40B4-BE49-F238E27FC236}">
              <a16:creationId xmlns:a16="http://schemas.microsoft.com/office/drawing/2014/main" id="{1AC56435-DDDF-4E7D-9BE8-97352DA6DA24}"/>
            </a:ext>
          </a:extLst>
        </xdr:cNvPr>
        <xdr:cNvGrpSpPr/>
      </xdr:nvGrpSpPr>
      <xdr:grpSpPr>
        <a:xfrm>
          <a:off x="0" y="1193800"/>
          <a:ext cx="14573251" cy="514800"/>
          <a:chOff x="0" y="1076325"/>
          <a:chExt cx="12496801" cy="514800"/>
        </a:xfrm>
      </xdr:grpSpPr>
      <xdr:sp macro="" textlink="">
        <xdr:nvSpPr>
          <xdr:cNvPr id="5" name="Rektangel 4">
            <a:hlinkClick xmlns:r="http://schemas.openxmlformats.org/officeDocument/2006/relationships" r:id="rId3"/>
            <a:extLst>
              <a:ext uri="{FF2B5EF4-FFF2-40B4-BE49-F238E27FC236}">
                <a16:creationId xmlns:a16="http://schemas.microsoft.com/office/drawing/2014/main" id="{AC8983EB-28D6-4497-2146-D01571317B27}"/>
              </a:ext>
            </a:extLst>
          </xdr:cNvPr>
          <xdr:cNvSpPr/>
        </xdr:nvSpPr>
        <xdr:spPr bwMode="auto">
          <a:xfrm>
            <a:off x="266700" y="1076325"/>
            <a:ext cx="1247775"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6" name="Rektangel 5">
            <a:hlinkClick xmlns:r="http://schemas.openxmlformats.org/officeDocument/2006/relationships" r:id="rId4"/>
            <a:extLst>
              <a:ext uri="{FF2B5EF4-FFF2-40B4-BE49-F238E27FC236}">
                <a16:creationId xmlns:a16="http://schemas.microsoft.com/office/drawing/2014/main" id="{7561D26E-E39A-0272-66E1-71890E90DE95}"/>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 -kalkyl A1</a:t>
            </a:r>
          </a:p>
        </xdr:txBody>
      </xdr:sp>
      <xdr:sp macro="" textlink="">
        <xdr:nvSpPr>
          <xdr:cNvPr id="7" name="Rektangel 6">
            <a:hlinkClick xmlns:r="http://schemas.openxmlformats.org/officeDocument/2006/relationships" r:id="rId5"/>
            <a:extLst>
              <a:ext uri="{FF2B5EF4-FFF2-40B4-BE49-F238E27FC236}">
                <a16:creationId xmlns:a16="http://schemas.microsoft.com/office/drawing/2014/main" id="{42F88B51-F039-2567-376E-D95F833C618E}"/>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8" name="Rektangel 7">
            <a:hlinkClick xmlns:r="http://schemas.openxmlformats.org/officeDocument/2006/relationships" r:id="rId6"/>
            <a:extLst>
              <a:ext uri="{FF2B5EF4-FFF2-40B4-BE49-F238E27FC236}">
                <a16:creationId xmlns:a16="http://schemas.microsoft.com/office/drawing/2014/main" id="{241CCAAC-AAE8-5B81-BFDC-BF96F943D2CB}"/>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9" name="Rektangel 8">
            <a:hlinkClick xmlns:r="http://schemas.openxmlformats.org/officeDocument/2006/relationships" r:id="rId7"/>
            <a:extLst>
              <a:ext uri="{FF2B5EF4-FFF2-40B4-BE49-F238E27FC236}">
                <a16:creationId xmlns:a16="http://schemas.microsoft.com/office/drawing/2014/main" id="{3E79808B-FC2F-5622-D5CC-4D9673029FAB}"/>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10" name="Rektangel 9">
            <a:hlinkClick xmlns:r="http://schemas.openxmlformats.org/officeDocument/2006/relationships" r:id="rId8"/>
            <a:extLst>
              <a:ext uri="{FF2B5EF4-FFF2-40B4-BE49-F238E27FC236}">
                <a16:creationId xmlns:a16="http://schemas.microsoft.com/office/drawing/2014/main" id="{89159650-8546-0BEF-3328-E4EB53E818D4}"/>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11" name="Rektangel 10">
            <a:hlinkClick xmlns:r="http://schemas.openxmlformats.org/officeDocument/2006/relationships" r:id="rId9"/>
            <a:extLst>
              <a:ext uri="{FF2B5EF4-FFF2-40B4-BE49-F238E27FC236}">
                <a16:creationId xmlns:a16="http://schemas.microsoft.com/office/drawing/2014/main" id="{52AF3A61-B906-9CB4-D27D-98C63D77E64E}"/>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12" name="Rektangel 11">
            <a:extLst>
              <a:ext uri="{FF2B5EF4-FFF2-40B4-BE49-F238E27FC236}">
                <a16:creationId xmlns:a16="http://schemas.microsoft.com/office/drawing/2014/main" id="{2B559419-0ACC-3472-09CC-D45394F92D1E}"/>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13" name="Rektangel 12">
            <a:hlinkClick xmlns:r="http://schemas.openxmlformats.org/officeDocument/2006/relationships" r:id="rId10"/>
            <a:extLst>
              <a:ext uri="{FF2B5EF4-FFF2-40B4-BE49-F238E27FC236}">
                <a16:creationId xmlns:a16="http://schemas.microsoft.com/office/drawing/2014/main" id="{52D29BAF-6178-5E63-D1A3-2076BA9B61AD}"/>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A2</a:t>
            </a:r>
          </a:p>
        </xdr:txBody>
      </xdr:sp>
      <xdr:sp macro="" textlink="">
        <xdr:nvSpPr>
          <xdr:cNvPr id="14" name="Rektangel 13">
            <a:hlinkClick xmlns:r="http://schemas.openxmlformats.org/officeDocument/2006/relationships" r:id="rId11"/>
            <a:extLst>
              <a:ext uri="{FF2B5EF4-FFF2-40B4-BE49-F238E27FC236}">
                <a16:creationId xmlns:a16="http://schemas.microsoft.com/office/drawing/2014/main" id="{41DD2627-73F4-FB7F-98EE-8952867DF468}"/>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A3</a:t>
            </a:r>
          </a:p>
        </xdr:txBody>
      </xdr:sp>
      <xdr:sp macro="" textlink="">
        <xdr:nvSpPr>
          <xdr:cNvPr id="15" name="Rektangel 14">
            <a:hlinkClick xmlns:r="http://schemas.openxmlformats.org/officeDocument/2006/relationships" r:id="rId12"/>
            <a:extLst>
              <a:ext uri="{FF2B5EF4-FFF2-40B4-BE49-F238E27FC236}">
                <a16:creationId xmlns:a16="http://schemas.microsoft.com/office/drawing/2014/main" id="{63E4D6CF-3A40-A94A-5E35-4A9B0806B946}"/>
              </a:ext>
            </a:extLst>
          </xdr:cNvPr>
          <xdr:cNvSpPr/>
        </xdr:nvSpPr>
        <xdr:spPr bwMode="auto">
          <a:xfrm>
            <a:off x="40957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 -kalkyl A4</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581025</xdr:colOff>
      <xdr:row>16</xdr:row>
      <xdr:rowOff>142875</xdr:rowOff>
    </xdr:from>
    <xdr:to>
      <xdr:col>23</xdr:col>
      <xdr:colOff>28575</xdr:colOff>
      <xdr:row>29</xdr:row>
      <xdr:rowOff>142875</xdr:rowOff>
    </xdr:to>
    <xdr:sp macro="" textlink="">
      <xdr:nvSpPr>
        <xdr:cNvPr id="2" name="Rektangel 1">
          <a:extLst>
            <a:ext uri="{FF2B5EF4-FFF2-40B4-BE49-F238E27FC236}">
              <a16:creationId xmlns:a16="http://schemas.microsoft.com/office/drawing/2014/main" id="{11401596-FDF2-4A45-96D4-87CF49E7A678}"/>
            </a:ext>
          </a:extLst>
        </xdr:cNvPr>
        <xdr:cNvSpPr/>
      </xdr:nvSpPr>
      <xdr:spPr bwMode="auto">
        <a:xfrm>
          <a:off x="8258175" y="2733675"/>
          <a:ext cx="5353050" cy="2352675"/>
        </a:xfrm>
        <a:prstGeom prst="rect">
          <a:avLst/>
        </a:prstGeom>
        <a:no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533401</xdr:colOff>
      <xdr:row>2</xdr:row>
      <xdr:rowOff>114300</xdr:rowOff>
    </xdr:from>
    <xdr:to>
      <xdr:col>10</xdr:col>
      <xdr:colOff>76201</xdr:colOff>
      <xdr:row>14</xdr:row>
      <xdr:rowOff>28575</xdr:rowOff>
    </xdr:to>
    <xdr:sp macro="" textlink="">
      <xdr:nvSpPr>
        <xdr:cNvPr id="2" name="Rektangel 1">
          <a:extLst>
            <a:ext uri="{FF2B5EF4-FFF2-40B4-BE49-F238E27FC236}">
              <a16:creationId xmlns:a16="http://schemas.microsoft.com/office/drawing/2014/main" id="{044FB90C-D84F-4B6F-8CCE-72031F521849}"/>
            </a:ext>
          </a:extLst>
        </xdr:cNvPr>
        <xdr:cNvSpPr/>
      </xdr:nvSpPr>
      <xdr:spPr bwMode="auto">
        <a:xfrm>
          <a:off x="1543051" y="647700"/>
          <a:ext cx="7696200" cy="2371725"/>
        </a:xfrm>
        <a:prstGeom prst="rect">
          <a:avLst/>
        </a:prstGeom>
        <a:no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clientData/>
  </xdr:twoCellAnchor>
  <xdr:twoCellAnchor>
    <xdr:from>
      <xdr:col>1</xdr:col>
      <xdr:colOff>533401</xdr:colOff>
      <xdr:row>2</xdr:row>
      <xdr:rowOff>114300</xdr:rowOff>
    </xdr:from>
    <xdr:to>
      <xdr:col>10</xdr:col>
      <xdr:colOff>76201</xdr:colOff>
      <xdr:row>14</xdr:row>
      <xdr:rowOff>28575</xdr:rowOff>
    </xdr:to>
    <xdr:sp macro="" textlink="">
      <xdr:nvSpPr>
        <xdr:cNvPr id="3" name="Rektangel 2">
          <a:extLst>
            <a:ext uri="{FF2B5EF4-FFF2-40B4-BE49-F238E27FC236}">
              <a16:creationId xmlns:a16="http://schemas.microsoft.com/office/drawing/2014/main" id="{5C929CF8-4B99-46BF-B020-83170BB94064}"/>
            </a:ext>
          </a:extLst>
        </xdr:cNvPr>
        <xdr:cNvSpPr/>
      </xdr:nvSpPr>
      <xdr:spPr bwMode="auto">
        <a:xfrm>
          <a:off x="1543051" y="647700"/>
          <a:ext cx="7696200" cy="2371725"/>
        </a:xfrm>
        <a:prstGeom prst="rect">
          <a:avLst/>
        </a:prstGeom>
        <a:no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clientData/>
  </xdr:twoCellAnchor>
  <xdr:twoCellAnchor>
    <xdr:from>
      <xdr:col>7</xdr:col>
      <xdr:colOff>482220</xdr:colOff>
      <xdr:row>18</xdr:row>
      <xdr:rowOff>92879</xdr:rowOff>
    </xdr:from>
    <xdr:to>
      <xdr:col>8</xdr:col>
      <xdr:colOff>161646</xdr:colOff>
      <xdr:row>24</xdr:row>
      <xdr:rowOff>39</xdr:rowOff>
    </xdr:to>
    <xdr:sp macro="" textlink="">
      <xdr:nvSpPr>
        <xdr:cNvPr id="5" name="Notched Right Arrow 4">
          <a:extLst>
            <a:ext uri="{FF2B5EF4-FFF2-40B4-BE49-F238E27FC236}">
              <a16:creationId xmlns:a16="http://schemas.microsoft.com/office/drawing/2014/main" id="{13FBE897-A0E1-7E49-B7CC-8124BE8A4413}"/>
            </a:ext>
          </a:extLst>
        </xdr:cNvPr>
        <xdr:cNvSpPr/>
      </xdr:nvSpPr>
      <xdr:spPr bwMode="auto">
        <a:xfrm rot="5400000">
          <a:off x="5321353" y="1454521"/>
          <a:ext cx="1431160" cy="308076"/>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469685</xdr:colOff>
      <xdr:row>25</xdr:row>
      <xdr:rowOff>41576</xdr:rowOff>
    </xdr:from>
    <xdr:to>
      <xdr:col>8</xdr:col>
      <xdr:colOff>150631</xdr:colOff>
      <xdr:row>35</xdr:row>
      <xdr:rowOff>136935</xdr:rowOff>
    </xdr:to>
    <xdr:sp macro="" textlink="">
      <xdr:nvSpPr>
        <xdr:cNvPr id="6" name="Notched Right Arrow 5">
          <a:extLst>
            <a:ext uri="{FF2B5EF4-FFF2-40B4-BE49-F238E27FC236}">
              <a16:creationId xmlns:a16="http://schemas.microsoft.com/office/drawing/2014/main" id="{7DBCC81F-5B1D-5B4B-879B-E4971290A565}"/>
            </a:ext>
          </a:extLst>
        </xdr:cNvPr>
        <xdr:cNvSpPr/>
      </xdr:nvSpPr>
      <xdr:spPr bwMode="auto">
        <a:xfrm rot="5400000">
          <a:off x="5158328" y="3363458"/>
          <a:ext cx="1733659" cy="309596"/>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578419</xdr:colOff>
      <xdr:row>37</xdr:row>
      <xdr:rowOff>46625</xdr:rowOff>
    </xdr:from>
    <xdr:to>
      <xdr:col>8</xdr:col>
      <xdr:colOff>171449</xdr:colOff>
      <xdr:row>47</xdr:row>
      <xdr:rowOff>139904</xdr:rowOff>
    </xdr:to>
    <xdr:sp macro="" textlink="">
      <xdr:nvSpPr>
        <xdr:cNvPr id="7" name="Notched Right Arrow 6">
          <a:extLst>
            <a:ext uri="{FF2B5EF4-FFF2-40B4-BE49-F238E27FC236}">
              <a16:creationId xmlns:a16="http://schemas.microsoft.com/office/drawing/2014/main" id="{AC5AD31F-36A2-CE42-B6EF-681B55D7BAB7}"/>
            </a:ext>
          </a:extLst>
        </xdr:cNvPr>
        <xdr:cNvSpPr/>
      </xdr:nvSpPr>
      <xdr:spPr bwMode="auto">
        <a:xfrm rot="5400000">
          <a:off x="5276532" y="5416437"/>
          <a:ext cx="1731579" cy="326455"/>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534753</xdr:colOff>
      <xdr:row>49</xdr:row>
      <xdr:rowOff>178006</xdr:rowOff>
    </xdr:from>
    <xdr:to>
      <xdr:col>8</xdr:col>
      <xdr:colOff>214179</xdr:colOff>
      <xdr:row>59</xdr:row>
      <xdr:rowOff>178005</xdr:rowOff>
    </xdr:to>
    <xdr:sp macro="" textlink="">
      <xdr:nvSpPr>
        <xdr:cNvPr id="8" name="Notched Right Arrow 7">
          <a:extLst>
            <a:ext uri="{FF2B5EF4-FFF2-40B4-BE49-F238E27FC236}">
              <a16:creationId xmlns:a16="http://schemas.microsoft.com/office/drawing/2014/main" id="{C22FA740-906F-1847-879B-CB216FCF15DE}"/>
            </a:ext>
          </a:extLst>
        </xdr:cNvPr>
        <xdr:cNvSpPr/>
      </xdr:nvSpPr>
      <xdr:spPr bwMode="auto">
        <a:xfrm rot="5400000">
          <a:off x="5322704" y="7515380"/>
          <a:ext cx="1638299" cy="412851"/>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483622</xdr:colOff>
      <xdr:row>61</xdr:row>
      <xdr:rowOff>164340</xdr:rowOff>
    </xdr:from>
    <xdr:to>
      <xdr:col>8</xdr:col>
      <xdr:colOff>163048</xdr:colOff>
      <xdr:row>71</xdr:row>
      <xdr:rowOff>164339</xdr:rowOff>
    </xdr:to>
    <xdr:sp macro="" textlink="">
      <xdr:nvSpPr>
        <xdr:cNvPr id="9" name="Notched Right Arrow 8">
          <a:extLst>
            <a:ext uri="{FF2B5EF4-FFF2-40B4-BE49-F238E27FC236}">
              <a16:creationId xmlns:a16="http://schemas.microsoft.com/office/drawing/2014/main" id="{50B4925F-4C2B-BC44-85A4-894803864FFD}"/>
            </a:ext>
          </a:extLst>
        </xdr:cNvPr>
        <xdr:cNvSpPr/>
      </xdr:nvSpPr>
      <xdr:spPr bwMode="auto">
        <a:xfrm rot="5400000">
          <a:off x="5219185" y="9611502"/>
          <a:ext cx="1638299" cy="308076"/>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471087</xdr:colOff>
      <xdr:row>73</xdr:row>
      <xdr:rowOff>202918</xdr:rowOff>
    </xdr:from>
    <xdr:to>
      <xdr:col>8</xdr:col>
      <xdr:colOff>150513</xdr:colOff>
      <xdr:row>83</xdr:row>
      <xdr:rowOff>192912</xdr:rowOff>
    </xdr:to>
    <xdr:sp macro="" textlink="">
      <xdr:nvSpPr>
        <xdr:cNvPr id="10" name="Notched Right Arrow 9">
          <a:extLst>
            <a:ext uri="{FF2B5EF4-FFF2-40B4-BE49-F238E27FC236}">
              <a16:creationId xmlns:a16="http://schemas.microsoft.com/office/drawing/2014/main" id="{551014AE-5F72-DB49-A446-506DD98D531E}"/>
            </a:ext>
          </a:extLst>
        </xdr:cNvPr>
        <xdr:cNvSpPr/>
      </xdr:nvSpPr>
      <xdr:spPr bwMode="auto">
        <a:xfrm rot="5400000">
          <a:off x="5211653" y="11702477"/>
          <a:ext cx="1628294" cy="308076"/>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465521</xdr:colOff>
      <xdr:row>85</xdr:row>
      <xdr:rowOff>190504</xdr:rowOff>
    </xdr:from>
    <xdr:to>
      <xdr:col>8</xdr:col>
      <xdr:colOff>144947</xdr:colOff>
      <xdr:row>95</xdr:row>
      <xdr:rowOff>203843</xdr:rowOff>
    </xdr:to>
    <xdr:sp macro="" textlink="">
      <xdr:nvSpPr>
        <xdr:cNvPr id="11" name="Notched Right Arrow 10">
          <a:extLst>
            <a:ext uri="{FF2B5EF4-FFF2-40B4-BE49-F238E27FC236}">
              <a16:creationId xmlns:a16="http://schemas.microsoft.com/office/drawing/2014/main" id="{8E4BAD43-E9BA-4E4B-8CE3-3355E54B4582}"/>
            </a:ext>
          </a:extLst>
        </xdr:cNvPr>
        <xdr:cNvSpPr/>
      </xdr:nvSpPr>
      <xdr:spPr bwMode="auto">
        <a:xfrm rot="5400000">
          <a:off x="5194414" y="13759136"/>
          <a:ext cx="1651639" cy="308076"/>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479005</xdr:colOff>
      <xdr:row>97</xdr:row>
      <xdr:rowOff>203319</xdr:rowOff>
    </xdr:from>
    <xdr:to>
      <xdr:col>8</xdr:col>
      <xdr:colOff>158431</xdr:colOff>
      <xdr:row>107</xdr:row>
      <xdr:rowOff>207497</xdr:rowOff>
    </xdr:to>
    <xdr:sp macro="" textlink="">
      <xdr:nvSpPr>
        <xdr:cNvPr id="12" name="Notched Right Arrow 11">
          <a:extLst>
            <a:ext uri="{FF2B5EF4-FFF2-40B4-BE49-F238E27FC236}">
              <a16:creationId xmlns:a16="http://schemas.microsoft.com/office/drawing/2014/main" id="{53E947BD-2235-A547-87EA-D5A1E7A8648E}"/>
            </a:ext>
          </a:extLst>
        </xdr:cNvPr>
        <xdr:cNvSpPr/>
      </xdr:nvSpPr>
      <xdr:spPr bwMode="auto">
        <a:xfrm rot="5400000">
          <a:off x="5212479" y="15824770"/>
          <a:ext cx="1642478" cy="308076"/>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493642</xdr:colOff>
      <xdr:row>109</xdr:row>
      <xdr:rowOff>190504</xdr:rowOff>
    </xdr:from>
    <xdr:to>
      <xdr:col>8</xdr:col>
      <xdr:colOff>173068</xdr:colOff>
      <xdr:row>119</xdr:row>
      <xdr:rowOff>200705</xdr:rowOff>
    </xdr:to>
    <xdr:sp macro="" textlink="">
      <xdr:nvSpPr>
        <xdr:cNvPr id="13" name="Notched Right Arrow 12">
          <a:extLst>
            <a:ext uri="{FF2B5EF4-FFF2-40B4-BE49-F238E27FC236}">
              <a16:creationId xmlns:a16="http://schemas.microsoft.com/office/drawing/2014/main" id="{9CB6E856-D59E-9340-A5CD-89A1CA0D83C3}"/>
            </a:ext>
          </a:extLst>
        </xdr:cNvPr>
        <xdr:cNvSpPr/>
      </xdr:nvSpPr>
      <xdr:spPr bwMode="auto">
        <a:xfrm rot="5400000">
          <a:off x="5224104" y="17872367"/>
          <a:ext cx="1648501" cy="308076"/>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488076</xdr:colOff>
      <xdr:row>121</xdr:row>
      <xdr:rowOff>196603</xdr:rowOff>
    </xdr:from>
    <xdr:to>
      <xdr:col>8</xdr:col>
      <xdr:colOff>167502</xdr:colOff>
      <xdr:row>131</xdr:row>
      <xdr:rowOff>200781</xdr:rowOff>
    </xdr:to>
    <xdr:sp macro="" textlink="">
      <xdr:nvSpPr>
        <xdr:cNvPr id="14" name="Notched Right Arrow 13">
          <a:extLst>
            <a:ext uri="{FF2B5EF4-FFF2-40B4-BE49-F238E27FC236}">
              <a16:creationId xmlns:a16="http://schemas.microsoft.com/office/drawing/2014/main" id="{F1C0B6F4-2DAB-F84C-9BB0-0D6632B78C15}"/>
            </a:ext>
          </a:extLst>
        </xdr:cNvPr>
        <xdr:cNvSpPr/>
      </xdr:nvSpPr>
      <xdr:spPr bwMode="auto">
        <a:xfrm rot="5400000">
          <a:off x="5221550" y="19932854"/>
          <a:ext cx="1642478" cy="308076"/>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449522</xdr:colOff>
      <xdr:row>145</xdr:row>
      <xdr:rowOff>114909</xdr:rowOff>
    </xdr:from>
    <xdr:to>
      <xdr:col>8</xdr:col>
      <xdr:colOff>154678</xdr:colOff>
      <xdr:row>147</xdr:row>
      <xdr:rowOff>70856</xdr:rowOff>
    </xdr:to>
    <xdr:sp macro="" textlink="">
      <xdr:nvSpPr>
        <xdr:cNvPr id="15" name="Notched Right Arrow 14">
          <a:extLst>
            <a:ext uri="{FF2B5EF4-FFF2-40B4-BE49-F238E27FC236}">
              <a16:creationId xmlns:a16="http://schemas.microsoft.com/office/drawing/2014/main" id="{9C6EC389-8746-B148-AFDF-66551D578CEB}"/>
            </a:ext>
          </a:extLst>
        </xdr:cNvPr>
        <xdr:cNvSpPr/>
      </xdr:nvSpPr>
      <xdr:spPr bwMode="auto">
        <a:xfrm rot="5400000">
          <a:off x="5881964" y="23266992"/>
          <a:ext cx="375047" cy="438581"/>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492215</xdr:colOff>
      <xdr:row>133</xdr:row>
      <xdr:rowOff>185272</xdr:rowOff>
    </xdr:from>
    <xdr:to>
      <xdr:col>8</xdr:col>
      <xdr:colOff>171641</xdr:colOff>
      <xdr:row>143</xdr:row>
      <xdr:rowOff>189451</xdr:rowOff>
    </xdr:to>
    <xdr:sp macro="" textlink="">
      <xdr:nvSpPr>
        <xdr:cNvPr id="16" name="Notched Right Arrow 15">
          <a:extLst>
            <a:ext uri="{FF2B5EF4-FFF2-40B4-BE49-F238E27FC236}">
              <a16:creationId xmlns:a16="http://schemas.microsoft.com/office/drawing/2014/main" id="{BCAAA597-7CF1-4045-8502-1942174C88E9}"/>
            </a:ext>
          </a:extLst>
        </xdr:cNvPr>
        <xdr:cNvSpPr/>
      </xdr:nvSpPr>
      <xdr:spPr bwMode="auto">
        <a:xfrm rot="5400000">
          <a:off x="5225688" y="21978924"/>
          <a:ext cx="1642479" cy="308076"/>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438151</xdr:colOff>
      <xdr:row>2</xdr:row>
      <xdr:rowOff>190500</xdr:rowOff>
    </xdr:from>
    <xdr:to>
      <xdr:col>9</xdr:col>
      <xdr:colOff>1343026</xdr:colOff>
      <xdr:row>14</xdr:row>
      <xdr:rowOff>104775</xdr:rowOff>
    </xdr:to>
    <xdr:sp macro="" textlink="">
      <xdr:nvSpPr>
        <xdr:cNvPr id="2" name="Rektangel 1">
          <a:extLst>
            <a:ext uri="{FF2B5EF4-FFF2-40B4-BE49-F238E27FC236}">
              <a16:creationId xmlns:a16="http://schemas.microsoft.com/office/drawing/2014/main" id="{D056A628-9AA9-4F63-A213-9DDDE70E1212}"/>
            </a:ext>
          </a:extLst>
        </xdr:cNvPr>
        <xdr:cNvSpPr/>
      </xdr:nvSpPr>
      <xdr:spPr bwMode="auto">
        <a:xfrm>
          <a:off x="1447801" y="723900"/>
          <a:ext cx="7696200" cy="2371725"/>
        </a:xfrm>
        <a:prstGeom prst="rect">
          <a:avLst/>
        </a:prstGeom>
        <a:no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clientData/>
  </xdr:twoCellAnchor>
  <xdr:twoCellAnchor>
    <xdr:from>
      <xdr:col>7</xdr:col>
      <xdr:colOff>370933</xdr:colOff>
      <xdr:row>38</xdr:row>
      <xdr:rowOff>45196</xdr:rowOff>
    </xdr:from>
    <xdr:to>
      <xdr:col>8</xdr:col>
      <xdr:colOff>49314</xdr:colOff>
      <xdr:row>47</xdr:row>
      <xdr:rowOff>309095</xdr:rowOff>
    </xdr:to>
    <xdr:sp macro="" textlink="">
      <xdr:nvSpPr>
        <xdr:cNvPr id="6" name="Notched Right Arrow 5">
          <a:extLst>
            <a:ext uri="{FF2B5EF4-FFF2-40B4-BE49-F238E27FC236}">
              <a16:creationId xmlns:a16="http://schemas.microsoft.com/office/drawing/2014/main" id="{BBB87D36-7CCC-E44A-B441-33C407AB5380}"/>
            </a:ext>
          </a:extLst>
        </xdr:cNvPr>
        <xdr:cNvSpPr/>
      </xdr:nvSpPr>
      <xdr:spPr bwMode="auto">
        <a:xfrm rot="5400000">
          <a:off x="5168483" y="5242711"/>
          <a:ext cx="1488542" cy="272147"/>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412003</xdr:colOff>
      <xdr:row>49</xdr:row>
      <xdr:rowOff>172853</xdr:rowOff>
    </xdr:from>
    <xdr:to>
      <xdr:col>8</xdr:col>
      <xdr:colOff>90384</xdr:colOff>
      <xdr:row>60</xdr:row>
      <xdr:rowOff>40908</xdr:rowOff>
    </xdr:to>
    <xdr:sp macro="" textlink="">
      <xdr:nvSpPr>
        <xdr:cNvPr id="7" name="Notched Right Arrow 6">
          <a:extLst>
            <a:ext uri="{FF2B5EF4-FFF2-40B4-BE49-F238E27FC236}">
              <a16:creationId xmlns:a16="http://schemas.microsoft.com/office/drawing/2014/main" id="{8ECD9D8E-D5CF-6646-B71A-B0D7B29D9D2B}"/>
            </a:ext>
          </a:extLst>
        </xdr:cNvPr>
        <xdr:cNvSpPr/>
      </xdr:nvSpPr>
      <xdr:spPr bwMode="auto">
        <a:xfrm rot="5400000">
          <a:off x="6073400" y="6799118"/>
          <a:ext cx="1434938" cy="354615"/>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415962</xdr:colOff>
      <xdr:row>61</xdr:row>
      <xdr:rowOff>160319</xdr:rowOff>
    </xdr:from>
    <xdr:to>
      <xdr:col>8</xdr:col>
      <xdr:colOff>94343</xdr:colOff>
      <xdr:row>72</xdr:row>
      <xdr:rowOff>28374</xdr:rowOff>
    </xdr:to>
    <xdr:sp macro="" textlink="">
      <xdr:nvSpPr>
        <xdr:cNvPr id="8" name="Notched Right Arrow 7">
          <a:extLst>
            <a:ext uri="{FF2B5EF4-FFF2-40B4-BE49-F238E27FC236}">
              <a16:creationId xmlns:a16="http://schemas.microsoft.com/office/drawing/2014/main" id="{ABEF93AA-A5E4-DF40-BD5B-862C0197FF13}"/>
            </a:ext>
          </a:extLst>
        </xdr:cNvPr>
        <xdr:cNvSpPr/>
      </xdr:nvSpPr>
      <xdr:spPr bwMode="auto">
        <a:xfrm rot="5400000">
          <a:off x="6077359" y="8551389"/>
          <a:ext cx="1434938" cy="354615"/>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441031</xdr:colOff>
      <xdr:row>74</xdr:row>
      <xdr:rowOff>3961</xdr:rowOff>
    </xdr:from>
    <xdr:to>
      <xdr:col>8</xdr:col>
      <xdr:colOff>119412</xdr:colOff>
      <xdr:row>84</xdr:row>
      <xdr:rowOff>69938</xdr:rowOff>
    </xdr:to>
    <xdr:sp macro="" textlink="">
      <xdr:nvSpPr>
        <xdr:cNvPr id="9" name="Notched Right Arrow 8">
          <a:extLst>
            <a:ext uri="{FF2B5EF4-FFF2-40B4-BE49-F238E27FC236}">
              <a16:creationId xmlns:a16="http://schemas.microsoft.com/office/drawing/2014/main" id="{3EBD6B22-6AEA-A943-97DD-E2835F957433}"/>
            </a:ext>
          </a:extLst>
        </xdr:cNvPr>
        <xdr:cNvSpPr/>
      </xdr:nvSpPr>
      <xdr:spPr bwMode="auto">
        <a:xfrm rot="5400000">
          <a:off x="6102428" y="10357758"/>
          <a:ext cx="1434938" cy="354615"/>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428496</xdr:colOff>
      <xdr:row>86</xdr:row>
      <xdr:rowOff>7918</xdr:rowOff>
    </xdr:from>
    <xdr:to>
      <xdr:col>8</xdr:col>
      <xdr:colOff>106877</xdr:colOff>
      <xdr:row>96</xdr:row>
      <xdr:rowOff>73895</xdr:rowOff>
    </xdr:to>
    <xdr:sp macro="" textlink="">
      <xdr:nvSpPr>
        <xdr:cNvPr id="10" name="Notched Right Arrow 9">
          <a:extLst>
            <a:ext uri="{FF2B5EF4-FFF2-40B4-BE49-F238E27FC236}">
              <a16:creationId xmlns:a16="http://schemas.microsoft.com/office/drawing/2014/main" id="{559B2B0F-E06F-6148-8E7E-20664784EB14}"/>
            </a:ext>
          </a:extLst>
        </xdr:cNvPr>
        <xdr:cNvSpPr/>
      </xdr:nvSpPr>
      <xdr:spPr bwMode="auto">
        <a:xfrm rot="5400000">
          <a:off x="6089893" y="12126521"/>
          <a:ext cx="1434938" cy="354615"/>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432455</xdr:colOff>
      <xdr:row>97</xdr:row>
      <xdr:rowOff>160317</xdr:rowOff>
    </xdr:from>
    <xdr:to>
      <xdr:col>8</xdr:col>
      <xdr:colOff>110836</xdr:colOff>
      <xdr:row>108</xdr:row>
      <xdr:rowOff>28372</xdr:rowOff>
    </xdr:to>
    <xdr:sp macro="" textlink="">
      <xdr:nvSpPr>
        <xdr:cNvPr id="11" name="Notched Right Arrow 10">
          <a:extLst>
            <a:ext uri="{FF2B5EF4-FFF2-40B4-BE49-F238E27FC236}">
              <a16:creationId xmlns:a16="http://schemas.microsoft.com/office/drawing/2014/main" id="{F6FD077D-5B6A-6A43-8FEE-C18D491B6978}"/>
            </a:ext>
          </a:extLst>
        </xdr:cNvPr>
        <xdr:cNvSpPr/>
      </xdr:nvSpPr>
      <xdr:spPr bwMode="auto">
        <a:xfrm rot="5400000">
          <a:off x="6093852" y="13845803"/>
          <a:ext cx="1434938" cy="354615"/>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436414</xdr:colOff>
      <xdr:row>109</xdr:row>
      <xdr:rowOff>197263</xdr:rowOff>
    </xdr:from>
    <xdr:to>
      <xdr:col>8</xdr:col>
      <xdr:colOff>114795</xdr:colOff>
      <xdr:row>120</xdr:row>
      <xdr:rowOff>65318</xdr:rowOff>
    </xdr:to>
    <xdr:sp macro="" textlink="">
      <xdr:nvSpPr>
        <xdr:cNvPr id="12" name="Notched Right Arrow 11">
          <a:extLst>
            <a:ext uri="{FF2B5EF4-FFF2-40B4-BE49-F238E27FC236}">
              <a16:creationId xmlns:a16="http://schemas.microsoft.com/office/drawing/2014/main" id="{1824B968-81B7-804A-ACCA-84C30305D8F5}"/>
            </a:ext>
          </a:extLst>
        </xdr:cNvPr>
        <xdr:cNvSpPr/>
      </xdr:nvSpPr>
      <xdr:spPr bwMode="auto">
        <a:xfrm rot="5400000">
          <a:off x="6097811" y="15647554"/>
          <a:ext cx="1434938" cy="354615"/>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403426</xdr:colOff>
      <xdr:row>121</xdr:row>
      <xdr:rowOff>164277</xdr:rowOff>
    </xdr:from>
    <xdr:to>
      <xdr:col>8</xdr:col>
      <xdr:colOff>81807</xdr:colOff>
      <xdr:row>132</xdr:row>
      <xdr:rowOff>32332</xdr:rowOff>
    </xdr:to>
    <xdr:sp macro="" textlink="">
      <xdr:nvSpPr>
        <xdr:cNvPr id="13" name="Notched Right Arrow 12">
          <a:extLst>
            <a:ext uri="{FF2B5EF4-FFF2-40B4-BE49-F238E27FC236}">
              <a16:creationId xmlns:a16="http://schemas.microsoft.com/office/drawing/2014/main" id="{60DF77B3-A319-6D4E-8B5B-86DDE8252847}"/>
            </a:ext>
          </a:extLst>
        </xdr:cNvPr>
        <xdr:cNvSpPr/>
      </xdr:nvSpPr>
      <xdr:spPr bwMode="auto">
        <a:xfrm rot="5400000">
          <a:off x="6064823" y="17379373"/>
          <a:ext cx="1434938" cy="354615"/>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407385</xdr:colOff>
      <xdr:row>134</xdr:row>
      <xdr:rowOff>3301</xdr:rowOff>
    </xdr:from>
    <xdr:to>
      <xdr:col>8</xdr:col>
      <xdr:colOff>85766</xdr:colOff>
      <xdr:row>144</xdr:row>
      <xdr:rowOff>69278</xdr:rowOff>
    </xdr:to>
    <xdr:sp macro="" textlink="">
      <xdr:nvSpPr>
        <xdr:cNvPr id="14" name="Notched Right Arrow 13">
          <a:extLst>
            <a:ext uri="{FF2B5EF4-FFF2-40B4-BE49-F238E27FC236}">
              <a16:creationId xmlns:a16="http://schemas.microsoft.com/office/drawing/2014/main" id="{E4EBD200-2FCD-BD40-873F-BC49E59D7FF0}"/>
            </a:ext>
          </a:extLst>
        </xdr:cNvPr>
        <xdr:cNvSpPr/>
      </xdr:nvSpPr>
      <xdr:spPr bwMode="auto">
        <a:xfrm rot="5400000">
          <a:off x="6068782" y="19181124"/>
          <a:ext cx="1434938" cy="354615"/>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378356</xdr:colOff>
      <xdr:row>145</xdr:row>
      <xdr:rowOff>16496</xdr:rowOff>
    </xdr:from>
    <xdr:to>
      <xdr:col>8</xdr:col>
      <xdr:colOff>82467</xdr:colOff>
      <xdr:row>147</xdr:row>
      <xdr:rowOff>7262</xdr:rowOff>
    </xdr:to>
    <xdr:sp macro="" textlink="">
      <xdr:nvSpPr>
        <xdr:cNvPr id="15" name="Notched Right Arrow 14">
          <a:extLst>
            <a:ext uri="{FF2B5EF4-FFF2-40B4-BE49-F238E27FC236}">
              <a16:creationId xmlns:a16="http://schemas.microsoft.com/office/drawing/2014/main" id="{CFF0CF43-DC32-3445-9331-F3F2636C6C73}"/>
            </a:ext>
          </a:extLst>
        </xdr:cNvPr>
        <xdr:cNvSpPr/>
      </xdr:nvSpPr>
      <xdr:spPr bwMode="auto">
        <a:xfrm rot="5400000">
          <a:off x="6576781" y="20224174"/>
          <a:ext cx="386611" cy="380345"/>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370933</xdr:colOff>
      <xdr:row>38</xdr:row>
      <xdr:rowOff>45196</xdr:rowOff>
    </xdr:from>
    <xdr:to>
      <xdr:col>8</xdr:col>
      <xdr:colOff>49314</xdr:colOff>
      <xdr:row>47</xdr:row>
      <xdr:rowOff>309095</xdr:rowOff>
    </xdr:to>
    <xdr:sp macro="" textlink="">
      <xdr:nvSpPr>
        <xdr:cNvPr id="4" name="Notched Right Arrow 5">
          <a:extLst>
            <a:ext uri="{FF2B5EF4-FFF2-40B4-BE49-F238E27FC236}">
              <a16:creationId xmlns:a16="http://schemas.microsoft.com/office/drawing/2014/main" id="{115C35BC-2874-40A8-AC12-CAD4C6F8F006}"/>
            </a:ext>
          </a:extLst>
        </xdr:cNvPr>
        <xdr:cNvSpPr/>
      </xdr:nvSpPr>
      <xdr:spPr bwMode="auto">
        <a:xfrm rot="5400000">
          <a:off x="5166722" y="5257984"/>
          <a:ext cx="1494822"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412003</xdr:colOff>
      <xdr:row>49</xdr:row>
      <xdr:rowOff>172853</xdr:rowOff>
    </xdr:from>
    <xdr:to>
      <xdr:col>8</xdr:col>
      <xdr:colOff>90384</xdr:colOff>
      <xdr:row>60</xdr:row>
      <xdr:rowOff>40908</xdr:rowOff>
    </xdr:to>
    <xdr:sp macro="" textlink="">
      <xdr:nvSpPr>
        <xdr:cNvPr id="16" name="Notched Right Arrow 6">
          <a:extLst>
            <a:ext uri="{FF2B5EF4-FFF2-40B4-BE49-F238E27FC236}">
              <a16:creationId xmlns:a16="http://schemas.microsoft.com/office/drawing/2014/main" id="{5976C0E0-9DDA-4A38-A8A1-64A4E138C776}"/>
            </a:ext>
          </a:extLst>
        </xdr:cNvPr>
        <xdr:cNvSpPr/>
      </xdr:nvSpPr>
      <xdr:spPr bwMode="auto">
        <a:xfrm rot="5400000">
          <a:off x="5193233" y="7165988"/>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415962</xdr:colOff>
      <xdr:row>61</xdr:row>
      <xdr:rowOff>160319</xdr:rowOff>
    </xdr:from>
    <xdr:to>
      <xdr:col>8</xdr:col>
      <xdr:colOff>94343</xdr:colOff>
      <xdr:row>72</xdr:row>
      <xdr:rowOff>28374</xdr:rowOff>
    </xdr:to>
    <xdr:sp macro="" textlink="">
      <xdr:nvSpPr>
        <xdr:cNvPr id="17" name="Notched Right Arrow 7">
          <a:extLst>
            <a:ext uri="{FF2B5EF4-FFF2-40B4-BE49-F238E27FC236}">
              <a16:creationId xmlns:a16="http://schemas.microsoft.com/office/drawing/2014/main" id="{F9DD386D-F305-40B8-B710-AD7719E7D19F}"/>
            </a:ext>
          </a:extLst>
        </xdr:cNvPr>
        <xdr:cNvSpPr/>
      </xdr:nvSpPr>
      <xdr:spPr bwMode="auto">
        <a:xfrm rot="5400000">
          <a:off x="5197192" y="9021820"/>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441031</xdr:colOff>
      <xdr:row>74</xdr:row>
      <xdr:rowOff>3961</xdr:rowOff>
    </xdr:from>
    <xdr:to>
      <xdr:col>8</xdr:col>
      <xdr:colOff>119412</xdr:colOff>
      <xdr:row>84</xdr:row>
      <xdr:rowOff>69938</xdr:rowOff>
    </xdr:to>
    <xdr:sp macro="" textlink="">
      <xdr:nvSpPr>
        <xdr:cNvPr id="18" name="Notched Right Arrow 8">
          <a:extLst>
            <a:ext uri="{FF2B5EF4-FFF2-40B4-BE49-F238E27FC236}">
              <a16:creationId xmlns:a16="http://schemas.microsoft.com/office/drawing/2014/main" id="{B98D2DC1-E299-4AD3-91B1-E39DFC93F6DF}"/>
            </a:ext>
          </a:extLst>
        </xdr:cNvPr>
        <xdr:cNvSpPr/>
      </xdr:nvSpPr>
      <xdr:spPr bwMode="auto">
        <a:xfrm rot="5400000">
          <a:off x="5229540" y="10939029"/>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428496</xdr:colOff>
      <xdr:row>86</xdr:row>
      <xdr:rowOff>7918</xdr:rowOff>
    </xdr:from>
    <xdr:to>
      <xdr:col>8</xdr:col>
      <xdr:colOff>106877</xdr:colOff>
      <xdr:row>96</xdr:row>
      <xdr:rowOff>73895</xdr:rowOff>
    </xdr:to>
    <xdr:sp macro="" textlink="">
      <xdr:nvSpPr>
        <xdr:cNvPr id="19" name="Notched Right Arrow 9">
          <a:extLst>
            <a:ext uri="{FF2B5EF4-FFF2-40B4-BE49-F238E27FC236}">
              <a16:creationId xmlns:a16="http://schemas.microsoft.com/office/drawing/2014/main" id="{23351AD2-9699-46C3-9148-4BA8EC0D4C2E}"/>
            </a:ext>
          </a:extLst>
        </xdr:cNvPr>
        <xdr:cNvSpPr/>
      </xdr:nvSpPr>
      <xdr:spPr bwMode="auto">
        <a:xfrm rot="5400000">
          <a:off x="5217005" y="12811351"/>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432455</xdr:colOff>
      <xdr:row>97</xdr:row>
      <xdr:rowOff>160317</xdr:rowOff>
    </xdr:from>
    <xdr:to>
      <xdr:col>8</xdr:col>
      <xdr:colOff>110836</xdr:colOff>
      <xdr:row>108</xdr:row>
      <xdr:rowOff>28372</xdr:rowOff>
    </xdr:to>
    <xdr:sp macro="" textlink="">
      <xdr:nvSpPr>
        <xdr:cNvPr id="20" name="Notched Right Arrow 10">
          <a:extLst>
            <a:ext uri="{FF2B5EF4-FFF2-40B4-BE49-F238E27FC236}">
              <a16:creationId xmlns:a16="http://schemas.microsoft.com/office/drawing/2014/main" id="{CC389CCC-B7DC-48D4-BDEA-42EBC6308C38}"/>
            </a:ext>
          </a:extLst>
        </xdr:cNvPr>
        <xdr:cNvSpPr/>
      </xdr:nvSpPr>
      <xdr:spPr bwMode="auto">
        <a:xfrm rot="5400000">
          <a:off x="5213685" y="14626914"/>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436414</xdr:colOff>
      <xdr:row>109</xdr:row>
      <xdr:rowOff>197263</xdr:rowOff>
    </xdr:from>
    <xdr:to>
      <xdr:col>8</xdr:col>
      <xdr:colOff>114795</xdr:colOff>
      <xdr:row>120</xdr:row>
      <xdr:rowOff>65318</xdr:rowOff>
    </xdr:to>
    <xdr:sp macro="" textlink="">
      <xdr:nvSpPr>
        <xdr:cNvPr id="21" name="Notched Right Arrow 11">
          <a:extLst>
            <a:ext uri="{FF2B5EF4-FFF2-40B4-BE49-F238E27FC236}">
              <a16:creationId xmlns:a16="http://schemas.microsoft.com/office/drawing/2014/main" id="{02CE55E8-1BA1-4246-AD28-0A1AD800770F}"/>
            </a:ext>
          </a:extLst>
        </xdr:cNvPr>
        <xdr:cNvSpPr/>
      </xdr:nvSpPr>
      <xdr:spPr bwMode="auto">
        <a:xfrm rot="5400000">
          <a:off x="5217644" y="16532225"/>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403426</xdr:colOff>
      <xdr:row>121</xdr:row>
      <xdr:rowOff>164277</xdr:rowOff>
    </xdr:from>
    <xdr:to>
      <xdr:col>8</xdr:col>
      <xdr:colOff>81807</xdr:colOff>
      <xdr:row>132</xdr:row>
      <xdr:rowOff>32332</xdr:rowOff>
    </xdr:to>
    <xdr:sp macro="" textlink="">
      <xdr:nvSpPr>
        <xdr:cNvPr id="22" name="Notched Right Arrow 12">
          <a:extLst>
            <a:ext uri="{FF2B5EF4-FFF2-40B4-BE49-F238E27FC236}">
              <a16:creationId xmlns:a16="http://schemas.microsoft.com/office/drawing/2014/main" id="{17DC949F-80D6-4C1D-9866-4667857F7450}"/>
            </a:ext>
          </a:extLst>
        </xdr:cNvPr>
        <xdr:cNvSpPr/>
      </xdr:nvSpPr>
      <xdr:spPr bwMode="auto">
        <a:xfrm rot="5400000">
          <a:off x="5184656" y="18367604"/>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370933</xdr:colOff>
      <xdr:row>38</xdr:row>
      <xdr:rowOff>45196</xdr:rowOff>
    </xdr:from>
    <xdr:to>
      <xdr:col>8</xdr:col>
      <xdr:colOff>49314</xdr:colOff>
      <xdr:row>47</xdr:row>
      <xdr:rowOff>309095</xdr:rowOff>
    </xdr:to>
    <xdr:sp macro="" textlink="">
      <xdr:nvSpPr>
        <xdr:cNvPr id="24" name="Notched Right Arrow 5">
          <a:extLst>
            <a:ext uri="{FF2B5EF4-FFF2-40B4-BE49-F238E27FC236}">
              <a16:creationId xmlns:a16="http://schemas.microsoft.com/office/drawing/2014/main" id="{5A30E296-6CBB-4CAA-8A06-D5D52C655E25}"/>
            </a:ext>
          </a:extLst>
        </xdr:cNvPr>
        <xdr:cNvSpPr/>
      </xdr:nvSpPr>
      <xdr:spPr bwMode="auto">
        <a:xfrm rot="5400000">
          <a:off x="5166722" y="5257984"/>
          <a:ext cx="1494822"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412003</xdr:colOff>
      <xdr:row>49</xdr:row>
      <xdr:rowOff>172853</xdr:rowOff>
    </xdr:from>
    <xdr:to>
      <xdr:col>8</xdr:col>
      <xdr:colOff>90384</xdr:colOff>
      <xdr:row>60</xdr:row>
      <xdr:rowOff>40908</xdr:rowOff>
    </xdr:to>
    <xdr:sp macro="" textlink="">
      <xdr:nvSpPr>
        <xdr:cNvPr id="25" name="Notched Right Arrow 6">
          <a:extLst>
            <a:ext uri="{FF2B5EF4-FFF2-40B4-BE49-F238E27FC236}">
              <a16:creationId xmlns:a16="http://schemas.microsoft.com/office/drawing/2014/main" id="{84717342-E9EC-4891-9BD5-5FB91245F436}"/>
            </a:ext>
          </a:extLst>
        </xdr:cNvPr>
        <xdr:cNvSpPr/>
      </xdr:nvSpPr>
      <xdr:spPr bwMode="auto">
        <a:xfrm rot="5400000">
          <a:off x="5193233" y="7165988"/>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415962</xdr:colOff>
      <xdr:row>61</xdr:row>
      <xdr:rowOff>160319</xdr:rowOff>
    </xdr:from>
    <xdr:to>
      <xdr:col>8</xdr:col>
      <xdr:colOff>94343</xdr:colOff>
      <xdr:row>72</xdr:row>
      <xdr:rowOff>28374</xdr:rowOff>
    </xdr:to>
    <xdr:sp macro="" textlink="">
      <xdr:nvSpPr>
        <xdr:cNvPr id="26" name="Notched Right Arrow 7">
          <a:extLst>
            <a:ext uri="{FF2B5EF4-FFF2-40B4-BE49-F238E27FC236}">
              <a16:creationId xmlns:a16="http://schemas.microsoft.com/office/drawing/2014/main" id="{81DF0F37-D93C-4704-A57B-13EE7E5810DA}"/>
            </a:ext>
          </a:extLst>
        </xdr:cNvPr>
        <xdr:cNvSpPr/>
      </xdr:nvSpPr>
      <xdr:spPr bwMode="auto">
        <a:xfrm rot="5400000">
          <a:off x="5197192" y="9021820"/>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441031</xdr:colOff>
      <xdr:row>74</xdr:row>
      <xdr:rowOff>3961</xdr:rowOff>
    </xdr:from>
    <xdr:to>
      <xdr:col>8</xdr:col>
      <xdr:colOff>119412</xdr:colOff>
      <xdr:row>84</xdr:row>
      <xdr:rowOff>69938</xdr:rowOff>
    </xdr:to>
    <xdr:sp macro="" textlink="">
      <xdr:nvSpPr>
        <xdr:cNvPr id="27" name="Notched Right Arrow 8">
          <a:extLst>
            <a:ext uri="{FF2B5EF4-FFF2-40B4-BE49-F238E27FC236}">
              <a16:creationId xmlns:a16="http://schemas.microsoft.com/office/drawing/2014/main" id="{CCC579EB-FD15-4ECC-ABFE-54E0E3E7FA74}"/>
            </a:ext>
          </a:extLst>
        </xdr:cNvPr>
        <xdr:cNvSpPr/>
      </xdr:nvSpPr>
      <xdr:spPr bwMode="auto">
        <a:xfrm rot="5400000">
          <a:off x="5229540" y="10939029"/>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428496</xdr:colOff>
      <xdr:row>86</xdr:row>
      <xdr:rowOff>7918</xdr:rowOff>
    </xdr:from>
    <xdr:to>
      <xdr:col>8</xdr:col>
      <xdr:colOff>106877</xdr:colOff>
      <xdr:row>96</xdr:row>
      <xdr:rowOff>73895</xdr:rowOff>
    </xdr:to>
    <xdr:sp macro="" textlink="">
      <xdr:nvSpPr>
        <xdr:cNvPr id="28" name="Notched Right Arrow 9">
          <a:extLst>
            <a:ext uri="{FF2B5EF4-FFF2-40B4-BE49-F238E27FC236}">
              <a16:creationId xmlns:a16="http://schemas.microsoft.com/office/drawing/2014/main" id="{7B29F07F-F3A4-407A-A00F-34EE2F4A2A8A}"/>
            </a:ext>
          </a:extLst>
        </xdr:cNvPr>
        <xdr:cNvSpPr/>
      </xdr:nvSpPr>
      <xdr:spPr bwMode="auto">
        <a:xfrm rot="5400000">
          <a:off x="5217005" y="12811351"/>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432455</xdr:colOff>
      <xdr:row>97</xdr:row>
      <xdr:rowOff>160317</xdr:rowOff>
    </xdr:from>
    <xdr:to>
      <xdr:col>8</xdr:col>
      <xdr:colOff>110836</xdr:colOff>
      <xdr:row>108</xdr:row>
      <xdr:rowOff>28372</xdr:rowOff>
    </xdr:to>
    <xdr:sp macro="" textlink="">
      <xdr:nvSpPr>
        <xdr:cNvPr id="29" name="Notched Right Arrow 10">
          <a:extLst>
            <a:ext uri="{FF2B5EF4-FFF2-40B4-BE49-F238E27FC236}">
              <a16:creationId xmlns:a16="http://schemas.microsoft.com/office/drawing/2014/main" id="{56C5D48D-E363-4FE3-9BB7-21AF140AA528}"/>
            </a:ext>
          </a:extLst>
        </xdr:cNvPr>
        <xdr:cNvSpPr/>
      </xdr:nvSpPr>
      <xdr:spPr bwMode="auto">
        <a:xfrm rot="5400000">
          <a:off x="5213685" y="14626914"/>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436414</xdr:colOff>
      <xdr:row>109</xdr:row>
      <xdr:rowOff>197263</xdr:rowOff>
    </xdr:from>
    <xdr:to>
      <xdr:col>8</xdr:col>
      <xdr:colOff>114795</xdr:colOff>
      <xdr:row>120</xdr:row>
      <xdr:rowOff>65318</xdr:rowOff>
    </xdr:to>
    <xdr:sp macro="" textlink="">
      <xdr:nvSpPr>
        <xdr:cNvPr id="30" name="Notched Right Arrow 11">
          <a:extLst>
            <a:ext uri="{FF2B5EF4-FFF2-40B4-BE49-F238E27FC236}">
              <a16:creationId xmlns:a16="http://schemas.microsoft.com/office/drawing/2014/main" id="{379F8F48-1A04-49F0-A71F-7B53EFAD39B1}"/>
            </a:ext>
          </a:extLst>
        </xdr:cNvPr>
        <xdr:cNvSpPr/>
      </xdr:nvSpPr>
      <xdr:spPr bwMode="auto">
        <a:xfrm rot="5400000">
          <a:off x="5217644" y="16532225"/>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403426</xdr:colOff>
      <xdr:row>121</xdr:row>
      <xdr:rowOff>164277</xdr:rowOff>
    </xdr:from>
    <xdr:to>
      <xdr:col>8</xdr:col>
      <xdr:colOff>81807</xdr:colOff>
      <xdr:row>132</xdr:row>
      <xdr:rowOff>32332</xdr:rowOff>
    </xdr:to>
    <xdr:sp macro="" textlink="">
      <xdr:nvSpPr>
        <xdr:cNvPr id="31" name="Notched Right Arrow 12">
          <a:extLst>
            <a:ext uri="{FF2B5EF4-FFF2-40B4-BE49-F238E27FC236}">
              <a16:creationId xmlns:a16="http://schemas.microsoft.com/office/drawing/2014/main" id="{E6585B96-2FD2-4B68-88F6-17AB1CF6674E}"/>
            </a:ext>
          </a:extLst>
        </xdr:cNvPr>
        <xdr:cNvSpPr/>
      </xdr:nvSpPr>
      <xdr:spPr bwMode="auto">
        <a:xfrm rot="5400000">
          <a:off x="5184656" y="18367604"/>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370933</xdr:colOff>
      <xdr:row>38</xdr:row>
      <xdr:rowOff>45196</xdr:rowOff>
    </xdr:from>
    <xdr:to>
      <xdr:col>8</xdr:col>
      <xdr:colOff>49314</xdr:colOff>
      <xdr:row>47</xdr:row>
      <xdr:rowOff>309095</xdr:rowOff>
    </xdr:to>
    <xdr:sp macro="" textlink="">
      <xdr:nvSpPr>
        <xdr:cNvPr id="33" name="Notched Right Arrow 5">
          <a:extLst>
            <a:ext uri="{FF2B5EF4-FFF2-40B4-BE49-F238E27FC236}">
              <a16:creationId xmlns:a16="http://schemas.microsoft.com/office/drawing/2014/main" id="{1BF4FA04-27CB-4F42-B73C-E1524965821C}"/>
            </a:ext>
          </a:extLst>
        </xdr:cNvPr>
        <xdr:cNvSpPr/>
      </xdr:nvSpPr>
      <xdr:spPr bwMode="auto">
        <a:xfrm rot="5400000">
          <a:off x="5166722" y="5257984"/>
          <a:ext cx="1494822"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412003</xdr:colOff>
      <xdr:row>49</xdr:row>
      <xdr:rowOff>172853</xdr:rowOff>
    </xdr:from>
    <xdr:to>
      <xdr:col>8</xdr:col>
      <xdr:colOff>90384</xdr:colOff>
      <xdr:row>60</xdr:row>
      <xdr:rowOff>40908</xdr:rowOff>
    </xdr:to>
    <xdr:sp macro="" textlink="">
      <xdr:nvSpPr>
        <xdr:cNvPr id="34" name="Notched Right Arrow 6">
          <a:extLst>
            <a:ext uri="{FF2B5EF4-FFF2-40B4-BE49-F238E27FC236}">
              <a16:creationId xmlns:a16="http://schemas.microsoft.com/office/drawing/2014/main" id="{667052AD-A826-42BB-A0AA-4A2EE1FA7136}"/>
            </a:ext>
          </a:extLst>
        </xdr:cNvPr>
        <xdr:cNvSpPr/>
      </xdr:nvSpPr>
      <xdr:spPr bwMode="auto">
        <a:xfrm rot="5400000">
          <a:off x="5193233" y="7165988"/>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415962</xdr:colOff>
      <xdr:row>61</xdr:row>
      <xdr:rowOff>160319</xdr:rowOff>
    </xdr:from>
    <xdr:to>
      <xdr:col>8</xdr:col>
      <xdr:colOff>94343</xdr:colOff>
      <xdr:row>72</xdr:row>
      <xdr:rowOff>28374</xdr:rowOff>
    </xdr:to>
    <xdr:sp macro="" textlink="">
      <xdr:nvSpPr>
        <xdr:cNvPr id="35" name="Notched Right Arrow 7">
          <a:extLst>
            <a:ext uri="{FF2B5EF4-FFF2-40B4-BE49-F238E27FC236}">
              <a16:creationId xmlns:a16="http://schemas.microsoft.com/office/drawing/2014/main" id="{42228FB3-762D-49F4-9C47-A7812766CCA3}"/>
            </a:ext>
          </a:extLst>
        </xdr:cNvPr>
        <xdr:cNvSpPr/>
      </xdr:nvSpPr>
      <xdr:spPr bwMode="auto">
        <a:xfrm rot="5400000">
          <a:off x="5197192" y="9021820"/>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441031</xdr:colOff>
      <xdr:row>74</xdr:row>
      <xdr:rowOff>3961</xdr:rowOff>
    </xdr:from>
    <xdr:to>
      <xdr:col>8</xdr:col>
      <xdr:colOff>119412</xdr:colOff>
      <xdr:row>84</xdr:row>
      <xdr:rowOff>69938</xdr:rowOff>
    </xdr:to>
    <xdr:sp macro="" textlink="">
      <xdr:nvSpPr>
        <xdr:cNvPr id="36" name="Notched Right Arrow 8">
          <a:extLst>
            <a:ext uri="{FF2B5EF4-FFF2-40B4-BE49-F238E27FC236}">
              <a16:creationId xmlns:a16="http://schemas.microsoft.com/office/drawing/2014/main" id="{1FEAFFB0-81F9-4A0E-A62D-455C0D526B7C}"/>
            </a:ext>
          </a:extLst>
        </xdr:cNvPr>
        <xdr:cNvSpPr/>
      </xdr:nvSpPr>
      <xdr:spPr bwMode="auto">
        <a:xfrm rot="5400000">
          <a:off x="5229540" y="10939029"/>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428496</xdr:colOff>
      <xdr:row>86</xdr:row>
      <xdr:rowOff>7918</xdr:rowOff>
    </xdr:from>
    <xdr:to>
      <xdr:col>8</xdr:col>
      <xdr:colOff>106877</xdr:colOff>
      <xdr:row>96</xdr:row>
      <xdr:rowOff>73895</xdr:rowOff>
    </xdr:to>
    <xdr:sp macro="" textlink="">
      <xdr:nvSpPr>
        <xdr:cNvPr id="37" name="Notched Right Arrow 9">
          <a:extLst>
            <a:ext uri="{FF2B5EF4-FFF2-40B4-BE49-F238E27FC236}">
              <a16:creationId xmlns:a16="http://schemas.microsoft.com/office/drawing/2014/main" id="{7F406773-83F0-4E18-89E0-BC00CCBD462B}"/>
            </a:ext>
          </a:extLst>
        </xdr:cNvPr>
        <xdr:cNvSpPr/>
      </xdr:nvSpPr>
      <xdr:spPr bwMode="auto">
        <a:xfrm rot="5400000">
          <a:off x="5217005" y="12811351"/>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432455</xdr:colOff>
      <xdr:row>97</xdr:row>
      <xdr:rowOff>160317</xdr:rowOff>
    </xdr:from>
    <xdr:to>
      <xdr:col>8</xdr:col>
      <xdr:colOff>110836</xdr:colOff>
      <xdr:row>108</xdr:row>
      <xdr:rowOff>28372</xdr:rowOff>
    </xdr:to>
    <xdr:sp macro="" textlink="">
      <xdr:nvSpPr>
        <xdr:cNvPr id="38" name="Notched Right Arrow 10">
          <a:extLst>
            <a:ext uri="{FF2B5EF4-FFF2-40B4-BE49-F238E27FC236}">
              <a16:creationId xmlns:a16="http://schemas.microsoft.com/office/drawing/2014/main" id="{62A27730-CF76-48C9-BB2D-66815AFF48F1}"/>
            </a:ext>
          </a:extLst>
        </xdr:cNvPr>
        <xdr:cNvSpPr/>
      </xdr:nvSpPr>
      <xdr:spPr bwMode="auto">
        <a:xfrm rot="5400000">
          <a:off x="5213685" y="14626914"/>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436414</xdr:colOff>
      <xdr:row>109</xdr:row>
      <xdr:rowOff>197263</xdr:rowOff>
    </xdr:from>
    <xdr:to>
      <xdr:col>8</xdr:col>
      <xdr:colOff>114795</xdr:colOff>
      <xdr:row>120</xdr:row>
      <xdr:rowOff>65318</xdr:rowOff>
    </xdr:to>
    <xdr:sp macro="" textlink="">
      <xdr:nvSpPr>
        <xdr:cNvPr id="39" name="Notched Right Arrow 11">
          <a:extLst>
            <a:ext uri="{FF2B5EF4-FFF2-40B4-BE49-F238E27FC236}">
              <a16:creationId xmlns:a16="http://schemas.microsoft.com/office/drawing/2014/main" id="{560983B3-ED5A-44EE-BAD1-5F906A1C383C}"/>
            </a:ext>
          </a:extLst>
        </xdr:cNvPr>
        <xdr:cNvSpPr/>
      </xdr:nvSpPr>
      <xdr:spPr bwMode="auto">
        <a:xfrm rot="5400000">
          <a:off x="5217644" y="16532225"/>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403426</xdr:colOff>
      <xdr:row>121</xdr:row>
      <xdr:rowOff>164277</xdr:rowOff>
    </xdr:from>
    <xdr:to>
      <xdr:col>8</xdr:col>
      <xdr:colOff>81807</xdr:colOff>
      <xdr:row>132</xdr:row>
      <xdr:rowOff>32332</xdr:rowOff>
    </xdr:to>
    <xdr:sp macro="" textlink="">
      <xdr:nvSpPr>
        <xdr:cNvPr id="40" name="Notched Right Arrow 12">
          <a:extLst>
            <a:ext uri="{FF2B5EF4-FFF2-40B4-BE49-F238E27FC236}">
              <a16:creationId xmlns:a16="http://schemas.microsoft.com/office/drawing/2014/main" id="{98CA9648-3A69-4BBB-A3EC-A9D877061C45}"/>
            </a:ext>
          </a:extLst>
        </xdr:cNvPr>
        <xdr:cNvSpPr/>
      </xdr:nvSpPr>
      <xdr:spPr bwMode="auto">
        <a:xfrm rot="5400000">
          <a:off x="5184656" y="18367604"/>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370933</xdr:colOff>
      <xdr:row>38</xdr:row>
      <xdr:rowOff>45196</xdr:rowOff>
    </xdr:from>
    <xdr:to>
      <xdr:col>8</xdr:col>
      <xdr:colOff>49314</xdr:colOff>
      <xdr:row>47</xdr:row>
      <xdr:rowOff>309095</xdr:rowOff>
    </xdr:to>
    <xdr:sp macro="" textlink="">
      <xdr:nvSpPr>
        <xdr:cNvPr id="42" name="Notched Right Arrow 5">
          <a:extLst>
            <a:ext uri="{FF2B5EF4-FFF2-40B4-BE49-F238E27FC236}">
              <a16:creationId xmlns:a16="http://schemas.microsoft.com/office/drawing/2014/main" id="{94B5CD19-6F9A-4E1E-A9EE-C2EB3A132B07}"/>
            </a:ext>
          </a:extLst>
        </xdr:cNvPr>
        <xdr:cNvSpPr/>
      </xdr:nvSpPr>
      <xdr:spPr bwMode="auto">
        <a:xfrm rot="5400000">
          <a:off x="5166722" y="5257984"/>
          <a:ext cx="1494822"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412003</xdr:colOff>
      <xdr:row>49</xdr:row>
      <xdr:rowOff>172853</xdr:rowOff>
    </xdr:from>
    <xdr:to>
      <xdr:col>8</xdr:col>
      <xdr:colOff>90384</xdr:colOff>
      <xdr:row>60</xdr:row>
      <xdr:rowOff>40908</xdr:rowOff>
    </xdr:to>
    <xdr:sp macro="" textlink="">
      <xdr:nvSpPr>
        <xdr:cNvPr id="43" name="Notched Right Arrow 6">
          <a:extLst>
            <a:ext uri="{FF2B5EF4-FFF2-40B4-BE49-F238E27FC236}">
              <a16:creationId xmlns:a16="http://schemas.microsoft.com/office/drawing/2014/main" id="{4BE0F495-5466-4895-9FD6-C2E94D15C235}"/>
            </a:ext>
          </a:extLst>
        </xdr:cNvPr>
        <xdr:cNvSpPr/>
      </xdr:nvSpPr>
      <xdr:spPr bwMode="auto">
        <a:xfrm rot="5400000">
          <a:off x="5193233" y="7165988"/>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415962</xdr:colOff>
      <xdr:row>61</xdr:row>
      <xdr:rowOff>160319</xdr:rowOff>
    </xdr:from>
    <xdr:to>
      <xdr:col>8</xdr:col>
      <xdr:colOff>94343</xdr:colOff>
      <xdr:row>72</xdr:row>
      <xdr:rowOff>28374</xdr:rowOff>
    </xdr:to>
    <xdr:sp macro="" textlink="">
      <xdr:nvSpPr>
        <xdr:cNvPr id="44" name="Notched Right Arrow 7">
          <a:extLst>
            <a:ext uri="{FF2B5EF4-FFF2-40B4-BE49-F238E27FC236}">
              <a16:creationId xmlns:a16="http://schemas.microsoft.com/office/drawing/2014/main" id="{C8E13F7D-A8CE-43E8-A48D-1FCE107A5D03}"/>
            </a:ext>
          </a:extLst>
        </xdr:cNvPr>
        <xdr:cNvSpPr/>
      </xdr:nvSpPr>
      <xdr:spPr bwMode="auto">
        <a:xfrm rot="5400000">
          <a:off x="5197192" y="9021820"/>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441031</xdr:colOff>
      <xdr:row>74</xdr:row>
      <xdr:rowOff>3961</xdr:rowOff>
    </xdr:from>
    <xdr:to>
      <xdr:col>8</xdr:col>
      <xdr:colOff>119412</xdr:colOff>
      <xdr:row>84</xdr:row>
      <xdr:rowOff>69938</xdr:rowOff>
    </xdr:to>
    <xdr:sp macro="" textlink="">
      <xdr:nvSpPr>
        <xdr:cNvPr id="45" name="Notched Right Arrow 8">
          <a:extLst>
            <a:ext uri="{FF2B5EF4-FFF2-40B4-BE49-F238E27FC236}">
              <a16:creationId xmlns:a16="http://schemas.microsoft.com/office/drawing/2014/main" id="{EBFF711D-DD78-4E5A-B7FB-86C4EA7509C4}"/>
            </a:ext>
          </a:extLst>
        </xdr:cNvPr>
        <xdr:cNvSpPr/>
      </xdr:nvSpPr>
      <xdr:spPr bwMode="auto">
        <a:xfrm rot="5400000">
          <a:off x="5229540" y="10939029"/>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428496</xdr:colOff>
      <xdr:row>86</xdr:row>
      <xdr:rowOff>7918</xdr:rowOff>
    </xdr:from>
    <xdr:to>
      <xdr:col>8</xdr:col>
      <xdr:colOff>106877</xdr:colOff>
      <xdr:row>96</xdr:row>
      <xdr:rowOff>73895</xdr:rowOff>
    </xdr:to>
    <xdr:sp macro="" textlink="">
      <xdr:nvSpPr>
        <xdr:cNvPr id="46" name="Notched Right Arrow 9">
          <a:extLst>
            <a:ext uri="{FF2B5EF4-FFF2-40B4-BE49-F238E27FC236}">
              <a16:creationId xmlns:a16="http://schemas.microsoft.com/office/drawing/2014/main" id="{FABDEFC8-9255-41D6-928C-14B6DA18216A}"/>
            </a:ext>
          </a:extLst>
        </xdr:cNvPr>
        <xdr:cNvSpPr/>
      </xdr:nvSpPr>
      <xdr:spPr bwMode="auto">
        <a:xfrm rot="5400000">
          <a:off x="5217005" y="12811351"/>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432455</xdr:colOff>
      <xdr:row>97</xdr:row>
      <xdr:rowOff>160317</xdr:rowOff>
    </xdr:from>
    <xdr:to>
      <xdr:col>8</xdr:col>
      <xdr:colOff>110836</xdr:colOff>
      <xdr:row>108</xdr:row>
      <xdr:rowOff>28372</xdr:rowOff>
    </xdr:to>
    <xdr:sp macro="" textlink="">
      <xdr:nvSpPr>
        <xdr:cNvPr id="47" name="Notched Right Arrow 10">
          <a:extLst>
            <a:ext uri="{FF2B5EF4-FFF2-40B4-BE49-F238E27FC236}">
              <a16:creationId xmlns:a16="http://schemas.microsoft.com/office/drawing/2014/main" id="{4D97912F-8B81-4F2C-ADAD-CFCD6F191E39}"/>
            </a:ext>
          </a:extLst>
        </xdr:cNvPr>
        <xdr:cNvSpPr/>
      </xdr:nvSpPr>
      <xdr:spPr bwMode="auto">
        <a:xfrm rot="5400000">
          <a:off x="5213685" y="14626914"/>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436414</xdr:colOff>
      <xdr:row>109</xdr:row>
      <xdr:rowOff>197263</xdr:rowOff>
    </xdr:from>
    <xdr:to>
      <xdr:col>8</xdr:col>
      <xdr:colOff>114795</xdr:colOff>
      <xdr:row>120</xdr:row>
      <xdr:rowOff>65318</xdr:rowOff>
    </xdr:to>
    <xdr:sp macro="" textlink="">
      <xdr:nvSpPr>
        <xdr:cNvPr id="48" name="Notched Right Arrow 11">
          <a:extLst>
            <a:ext uri="{FF2B5EF4-FFF2-40B4-BE49-F238E27FC236}">
              <a16:creationId xmlns:a16="http://schemas.microsoft.com/office/drawing/2014/main" id="{F3F8500C-BD71-4CB0-A851-7818D7FEE888}"/>
            </a:ext>
          </a:extLst>
        </xdr:cNvPr>
        <xdr:cNvSpPr/>
      </xdr:nvSpPr>
      <xdr:spPr bwMode="auto">
        <a:xfrm rot="5400000">
          <a:off x="5217644" y="16532225"/>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403426</xdr:colOff>
      <xdr:row>121</xdr:row>
      <xdr:rowOff>164277</xdr:rowOff>
    </xdr:from>
    <xdr:to>
      <xdr:col>8</xdr:col>
      <xdr:colOff>81807</xdr:colOff>
      <xdr:row>132</xdr:row>
      <xdr:rowOff>32332</xdr:rowOff>
    </xdr:to>
    <xdr:sp macro="" textlink="">
      <xdr:nvSpPr>
        <xdr:cNvPr id="49" name="Notched Right Arrow 12">
          <a:extLst>
            <a:ext uri="{FF2B5EF4-FFF2-40B4-BE49-F238E27FC236}">
              <a16:creationId xmlns:a16="http://schemas.microsoft.com/office/drawing/2014/main" id="{80776EAB-F505-4AB3-9C95-4D564D59F18A}"/>
            </a:ext>
          </a:extLst>
        </xdr:cNvPr>
        <xdr:cNvSpPr/>
      </xdr:nvSpPr>
      <xdr:spPr bwMode="auto">
        <a:xfrm rot="5400000">
          <a:off x="5184656" y="18367604"/>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370933</xdr:colOff>
      <xdr:row>38</xdr:row>
      <xdr:rowOff>45196</xdr:rowOff>
    </xdr:from>
    <xdr:to>
      <xdr:col>8</xdr:col>
      <xdr:colOff>49314</xdr:colOff>
      <xdr:row>47</xdr:row>
      <xdr:rowOff>309095</xdr:rowOff>
    </xdr:to>
    <xdr:sp macro="" textlink="">
      <xdr:nvSpPr>
        <xdr:cNvPr id="51" name="Notched Right Arrow 5">
          <a:extLst>
            <a:ext uri="{FF2B5EF4-FFF2-40B4-BE49-F238E27FC236}">
              <a16:creationId xmlns:a16="http://schemas.microsoft.com/office/drawing/2014/main" id="{0375DA54-5B53-438C-898B-FD463BB020BB}"/>
            </a:ext>
          </a:extLst>
        </xdr:cNvPr>
        <xdr:cNvSpPr/>
      </xdr:nvSpPr>
      <xdr:spPr bwMode="auto">
        <a:xfrm rot="5400000">
          <a:off x="5166722" y="5257984"/>
          <a:ext cx="1494822"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412003</xdr:colOff>
      <xdr:row>49</xdr:row>
      <xdr:rowOff>172853</xdr:rowOff>
    </xdr:from>
    <xdr:to>
      <xdr:col>8</xdr:col>
      <xdr:colOff>90384</xdr:colOff>
      <xdr:row>60</xdr:row>
      <xdr:rowOff>40908</xdr:rowOff>
    </xdr:to>
    <xdr:sp macro="" textlink="">
      <xdr:nvSpPr>
        <xdr:cNvPr id="52" name="Notched Right Arrow 6">
          <a:extLst>
            <a:ext uri="{FF2B5EF4-FFF2-40B4-BE49-F238E27FC236}">
              <a16:creationId xmlns:a16="http://schemas.microsoft.com/office/drawing/2014/main" id="{5F991E05-B04F-4DFD-A5F5-5AE62514733B}"/>
            </a:ext>
          </a:extLst>
        </xdr:cNvPr>
        <xdr:cNvSpPr/>
      </xdr:nvSpPr>
      <xdr:spPr bwMode="auto">
        <a:xfrm rot="5400000">
          <a:off x="5193233" y="7165988"/>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415962</xdr:colOff>
      <xdr:row>61</xdr:row>
      <xdr:rowOff>160319</xdr:rowOff>
    </xdr:from>
    <xdr:to>
      <xdr:col>8</xdr:col>
      <xdr:colOff>94343</xdr:colOff>
      <xdr:row>72</xdr:row>
      <xdr:rowOff>28374</xdr:rowOff>
    </xdr:to>
    <xdr:sp macro="" textlink="">
      <xdr:nvSpPr>
        <xdr:cNvPr id="53" name="Notched Right Arrow 7">
          <a:extLst>
            <a:ext uri="{FF2B5EF4-FFF2-40B4-BE49-F238E27FC236}">
              <a16:creationId xmlns:a16="http://schemas.microsoft.com/office/drawing/2014/main" id="{47E58A0A-4784-407E-A81A-9AD340514ED0}"/>
            </a:ext>
          </a:extLst>
        </xdr:cNvPr>
        <xdr:cNvSpPr/>
      </xdr:nvSpPr>
      <xdr:spPr bwMode="auto">
        <a:xfrm rot="5400000">
          <a:off x="5197192" y="9021820"/>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441031</xdr:colOff>
      <xdr:row>74</xdr:row>
      <xdr:rowOff>3961</xdr:rowOff>
    </xdr:from>
    <xdr:to>
      <xdr:col>8</xdr:col>
      <xdr:colOff>119412</xdr:colOff>
      <xdr:row>84</xdr:row>
      <xdr:rowOff>69938</xdr:rowOff>
    </xdr:to>
    <xdr:sp macro="" textlink="">
      <xdr:nvSpPr>
        <xdr:cNvPr id="54" name="Notched Right Arrow 8">
          <a:extLst>
            <a:ext uri="{FF2B5EF4-FFF2-40B4-BE49-F238E27FC236}">
              <a16:creationId xmlns:a16="http://schemas.microsoft.com/office/drawing/2014/main" id="{01A2B459-891F-4C6F-9E31-15FB554F0E9A}"/>
            </a:ext>
          </a:extLst>
        </xdr:cNvPr>
        <xdr:cNvSpPr/>
      </xdr:nvSpPr>
      <xdr:spPr bwMode="auto">
        <a:xfrm rot="5400000">
          <a:off x="5229540" y="10939029"/>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428496</xdr:colOff>
      <xdr:row>86</xdr:row>
      <xdr:rowOff>7918</xdr:rowOff>
    </xdr:from>
    <xdr:to>
      <xdr:col>8</xdr:col>
      <xdr:colOff>106877</xdr:colOff>
      <xdr:row>96</xdr:row>
      <xdr:rowOff>73895</xdr:rowOff>
    </xdr:to>
    <xdr:sp macro="" textlink="">
      <xdr:nvSpPr>
        <xdr:cNvPr id="55" name="Notched Right Arrow 9">
          <a:extLst>
            <a:ext uri="{FF2B5EF4-FFF2-40B4-BE49-F238E27FC236}">
              <a16:creationId xmlns:a16="http://schemas.microsoft.com/office/drawing/2014/main" id="{1D9BA5CE-F852-44AD-A9C7-1848C9CB73AC}"/>
            </a:ext>
          </a:extLst>
        </xdr:cNvPr>
        <xdr:cNvSpPr/>
      </xdr:nvSpPr>
      <xdr:spPr bwMode="auto">
        <a:xfrm rot="5400000">
          <a:off x="5217005" y="12811351"/>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432455</xdr:colOff>
      <xdr:row>97</xdr:row>
      <xdr:rowOff>160317</xdr:rowOff>
    </xdr:from>
    <xdr:to>
      <xdr:col>8</xdr:col>
      <xdr:colOff>110836</xdr:colOff>
      <xdr:row>108</xdr:row>
      <xdr:rowOff>28372</xdr:rowOff>
    </xdr:to>
    <xdr:sp macro="" textlink="">
      <xdr:nvSpPr>
        <xdr:cNvPr id="56" name="Notched Right Arrow 10">
          <a:extLst>
            <a:ext uri="{FF2B5EF4-FFF2-40B4-BE49-F238E27FC236}">
              <a16:creationId xmlns:a16="http://schemas.microsoft.com/office/drawing/2014/main" id="{D51FEF4A-8552-4468-9578-DE7AA9E1F9C4}"/>
            </a:ext>
          </a:extLst>
        </xdr:cNvPr>
        <xdr:cNvSpPr/>
      </xdr:nvSpPr>
      <xdr:spPr bwMode="auto">
        <a:xfrm rot="5400000">
          <a:off x="5213685" y="14626914"/>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436414</xdr:colOff>
      <xdr:row>109</xdr:row>
      <xdr:rowOff>197263</xdr:rowOff>
    </xdr:from>
    <xdr:to>
      <xdr:col>8</xdr:col>
      <xdr:colOff>114795</xdr:colOff>
      <xdr:row>120</xdr:row>
      <xdr:rowOff>65318</xdr:rowOff>
    </xdr:to>
    <xdr:sp macro="" textlink="">
      <xdr:nvSpPr>
        <xdr:cNvPr id="57" name="Notched Right Arrow 11">
          <a:extLst>
            <a:ext uri="{FF2B5EF4-FFF2-40B4-BE49-F238E27FC236}">
              <a16:creationId xmlns:a16="http://schemas.microsoft.com/office/drawing/2014/main" id="{089F2B5E-5F19-4B06-80E8-11F2B307FBE3}"/>
            </a:ext>
          </a:extLst>
        </xdr:cNvPr>
        <xdr:cNvSpPr/>
      </xdr:nvSpPr>
      <xdr:spPr bwMode="auto">
        <a:xfrm rot="5400000">
          <a:off x="5217644" y="16532225"/>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403426</xdr:colOff>
      <xdr:row>121</xdr:row>
      <xdr:rowOff>164277</xdr:rowOff>
    </xdr:from>
    <xdr:to>
      <xdr:col>8</xdr:col>
      <xdr:colOff>81807</xdr:colOff>
      <xdr:row>132</xdr:row>
      <xdr:rowOff>32332</xdr:rowOff>
    </xdr:to>
    <xdr:sp macro="" textlink="">
      <xdr:nvSpPr>
        <xdr:cNvPr id="58" name="Notched Right Arrow 12">
          <a:extLst>
            <a:ext uri="{FF2B5EF4-FFF2-40B4-BE49-F238E27FC236}">
              <a16:creationId xmlns:a16="http://schemas.microsoft.com/office/drawing/2014/main" id="{C8AF5940-2432-4585-9482-56F8FBE14B07}"/>
            </a:ext>
          </a:extLst>
        </xdr:cNvPr>
        <xdr:cNvSpPr/>
      </xdr:nvSpPr>
      <xdr:spPr bwMode="auto">
        <a:xfrm rot="5400000">
          <a:off x="5184656" y="18367604"/>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370933</xdr:colOff>
      <xdr:row>38</xdr:row>
      <xdr:rowOff>45196</xdr:rowOff>
    </xdr:from>
    <xdr:to>
      <xdr:col>8</xdr:col>
      <xdr:colOff>49314</xdr:colOff>
      <xdr:row>47</xdr:row>
      <xdr:rowOff>309095</xdr:rowOff>
    </xdr:to>
    <xdr:sp macro="" textlink="">
      <xdr:nvSpPr>
        <xdr:cNvPr id="60" name="Notched Right Arrow 5">
          <a:extLst>
            <a:ext uri="{FF2B5EF4-FFF2-40B4-BE49-F238E27FC236}">
              <a16:creationId xmlns:a16="http://schemas.microsoft.com/office/drawing/2014/main" id="{67F88E4C-2BB1-4F19-BC1A-605C01C0EF4F}"/>
            </a:ext>
          </a:extLst>
        </xdr:cNvPr>
        <xdr:cNvSpPr/>
      </xdr:nvSpPr>
      <xdr:spPr bwMode="auto">
        <a:xfrm rot="5400000">
          <a:off x="5166722" y="5257984"/>
          <a:ext cx="1494822"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412003</xdr:colOff>
      <xdr:row>49</xdr:row>
      <xdr:rowOff>172853</xdr:rowOff>
    </xdr:from>
    <xdr:to>
      <xdr:col>8</xdr:col>
      <xdr:colOff>90384</xdr:colOff>
      <xdr:row>60</xdr:row>
      <xdr:rowOff>40908</xdr:rowOff>
    </xdr:to>
    <xdr:sp macro="" textlink="">
      <xdr:nvSpPr>
        <xdr:cNvPr id="61" name="Notched Right Arrow 6">
          <a:extLst>
            <a:ext uri="{FF2B5EF4-FFF2-40B4-BE49-F238E27FC236}">
              <a16:creationId xmlns:a16="http://schemas.microsoft.com/office/drawing/2014/main" id="{A9E1DAFA-21B7-40CE-A1C9-A57BF42903C5}"/>
            </a:ext>
          </a:extLst>
        </xdr:cNvPr>
        <xdr:cNvSpPr/>
      </xdr:nvSpPr>
      <xdr:spPr bwMode="auto">
        <a:xfrm rot="5400000">
          <a:off x="5193233" y="7165988"/>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415962</xdr:colOff>
      <xdr:row>61</xdr:row>
      <xdr:rowOff>160319</xdr:rowOff>
    </xdr:from>
    <xdr:to>
      <xdr:col>8</xdr:col>
      <xdr:colOff>94343</xdr:colOff>
      <xdr:row>72</xdr:row>
      <xdr:rowOff>28374</xdr:rowOff>
    </xdr:to>
    <xdr:sp macro="" textlink="">
      <xdr:nvSpPr>
        <xdr:cNvPr id="62" name="Notched Right Arrow 7">
          <a:extLst>
            <a:ext uri="{FF2B5EF4-FFF2-40B4-BE49-F238E27FC236}">
              <a16:creationId xmlns:a16="http://schemas.microsoft.com/office/drawing/2014/main" id="{C0A0DB79-ECFE-429F-827F-30B2638E78C4}"/>
            </a:ext>
          </a:extLst>
        </xdr:cNvPr>
        <xdr:cNvSpPr/>
      </xdr:nvSpPr>
      <xdr:spPr bwMode="auto">
        <a:xfrm rot="5400000">
          <a:off x="5197192" y="9021820"/>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441031</xdr:colOff>
      <xdr:row>74</xdr:row>
      <xdr:rowOff>3961</xdr:rowOff>
    </xdr:from>
    <xdr:to>
      <xdr:col>8</xdr:col>
      <xdr:colOff>119412</xdr:colOff>
      <xdr:row>84</xdr:row>
      <xdr:rowOff>69938</xdr:rowOff>
    </xdr:to>
    <xdr:sp macro="" textlink="">
      <xdr:nvSpPr>
        <xdr:cNvPr id="63" name="Notched Right Arrow 8">
          <a:extLst>
            <a:ext uri="{FF2B5EF4-FFF2-40B4-BE49-F238E27FC236}">
              <a16:creationId xmlns:a16="http://schemas.microsoft.com/office/drawing/2014/main" id="{102724BC-24B3-4CAB-9C5F-9177F3B4F915}"/>
            </a:ext>
          </a:extLst>
        </xdr:cNvPr>
        <xdr:cNvSpPr/>
      </xdr:nvSpPr>
      <xdr:spPr bwMode="auto">
        <a:xfrm rot="5400000">
          <a:off x="5229540" y="10939029"/>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428496</xdr:colOff>
      <xdr:row>86</xdr:row>
      <xdr:rowOff>7918</xdr:rowOff>
    </xdr:from>
    <xdr:to>
      <xdr:col>8</xdr:col>
      <xdr:colOff>106877</xdr:colOff>
      <xdr:row>96</xdr:row>
      <xdr:rowOff>73895</xdr:rowOff>
    </xdr:to>
    <xdr:sp macro="" textlink="">
      <xdr:nvSpPr>
        <xdr:cNvPr id="64" name="Notched Right Arrow 9">
          <a:extLst>
            <a:ext uri="{FF2B5EF4-FFF2-40B4-BE49-F238E27FC236}">
              <a16:creationId xmlns:a16="http://schemas.microsoft.com/office/drawing/2014/main" id="{964E0E01-2018-4766-A0B1-E052D8659677}"/>
            </a:ext>
          </a:extLst>
        </xdr:cNvPr>
        <xdr:cNvSpPr/>
      </xdr:nvSpPr>
      <xdr:spPr bwMode="auto">
        <a:xfrm rot="5400000">
          <a:off x="5217005" y="12811351"/>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432455</xdr:colOff>
      <xdr:row>97</xdr:row>
      <xdr:rowOff>160317</xdr:rowOff>
    </xdr:from>
    <xdr:to>
      <xdr:col>8</xdr:col>
      <xdr:colOff>110836</xdr:colOff>
      <xdr:row>108</xdr:row>
      <xdr:rowOff>28372</xdr:rowOff>
    </xdr:to>
    <xdr:sp macro="" textlink="">
      <xdr:nvSpPr>
        <xdr:cNvPr id="65" name="Notched Right Arrow 10">
          <a:extLst>
            <a:ext uri="{FF2B5EF4-FFF2-40B4-BE49-F238E27FC236}">
              <a16:creationId xmlns:a16="http://schemas.microsoft.com/office/drawing/2014/main" id="{79492C1D-768A-4A45-A563-A979032DF55B}"/>
            </a:ext>
          </a:extLst>
        </xdr:cNvPr>
        <xdr:cNvSpPr/>
      </xdr:nvSpPr>
      <xdr:spPr bwMode="auto">
        <a:xfrm rot="5400000">
          <a:off x="5213685" y="14626914"/>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436414</xdr:colOff>
      <xdr:row>109</xdr:row>
      <xdr:rowOff>197263</xdr:rowOff>
    </xdr:from>
    <xdr:to>
      <xdr:col>8</xdr:col>
      <xdr:colOff>114795</xdr:colOff>
      <xdr:row>120</xdr:row>
      <xdr:rowOff>65318</xdr:rowOff>
    </xdr:to>
    <xdr:sp macro="" textlink="">
      <xdr:nvSpPr>
        <xdr:cNvPr id="66" name="Notched Right Arrow 11">
          <a:extLst>
            <a:ext uri="{FF2B5EF4-FFF2-40B4-BE49-F238E27FC236}">
              <a16:creationId xmlns:a16="http://schemas.microsoft.com/office/drawing/2014/main" id="{50AC7AD4-91C6-4B36-AB05-DFBA98EA3AEE}"/>
            </a:ext>
          </a:extLst>
        </xdr:cNvPr>
        <xdr:cNvSpPr/>
      </xdr:nvSpPr>
      <xdr:spPr bwMode="auto">
        <a:xfrm rot="5400000">
          <a:off x="5217644" y="16532225"/>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403426</xdr:colOff>
      <xdr:row>121</xdr:row>
      <xdr:rowOff>164277</xdr:rowOff>
    </xdr:from>
    <xdr:to>
      <xdr:col>8</xdr:col>
      <xdr:colOff>81807</xdr:colOff>
      <xdr:row>132</xdr:row>
      <xdr:rowOff>32332</xdr:rowOff>
    </xdr:to>
    <xdr:sp macro="" textlink="">
      <xdr:nvSpPr>
        <xdr:cNvPr id="67" name="Notched Right Arrow 12">
          <a:extLst>
            <a:ext uri="{FF2B5EF4-FFF2-40B4-BE49-F238E27FC236}">
              <a16:creationId xmlns:a16="http://schemas.microsoft.com/office/drawing/2014/main" id="{2F05BEFA-6561-4082-B653-7E9E0E25B9F4}"/>
            </a:ext>
          </a:extLst>
        </xdr:cNvPr>
        <xdr:cNvSpPr/>
      </xdr:nvSpPr>
      <xdr:spPr bwMode="auto">
        <a:xfrm rot="5400000">
          <a:off x="5184656" y="18367604"/>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468204</xdr:colOff>
      <xdr:row>25</xdr:row>
      <xdr:rowOff>98260</xdr:rowOff>
    </xdr:from>
    <xdr:to>
      <xdr:col>8</xdr:col>
      <xdr:colOff>146585</xdr:colOff>
      <xdr:row>35</xdr:row>
      <xdr:rowOff>175865</xdr:rowOff>
    </xdr:to>
    <xdr:sp macro="" textlink="">
      <xdr:nvSpPr>
        <xdr:cNvPr id="68" name="Notched Right Arrow 4">
          <a:extLst>
            <a:ext uri="{FF2B5EF4-FFF2-40B4-BE49-F238E27FC236}">
              <a16:creationId xmlns:a16="http://schemas.microsoft.com/office/drawing/2014/main" id="{C0CAD0D6-AF94-47AB-9B2A-3C92B4B2A37E}"/>
            </a:ext>
          </a:extLst>
        </xdr:cNvPr>
        <xdr:cNvSpPr/>
      </xdr:nvSpPr>
      <xdr:spPr bwMode="auto">
        <a:xfrm rot="5400000">
          <a:off x="5145392" y="3336347"/>
          <a:ext cx="1715905" cy="268931"/>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370933</xdr:colOff>
      <xdr:row>38</xdr:row>
      <xdr:rowOff>45196</xdr:rowOff>
    </xdr:from>
    <xdr:to>
      <xdr:col>8</xdr:col>
      <xdr:colOff>49314</xdr:colOff>
      <xdr:row>47</xdr:row>
      <xdr:rowOff>309095</xdr:rowOff>
    </xdr:to>
    <xdr:sp macro="" textlink="">
      <xdr:nvSpPr>
        <xdr:cNvPr id="69" name="Notched Right Arrow 5">
          <a:extLst>
            <a:ext uri="{FF2B5EF4-FFF2-40B4-BE49-F238E27FC236}">
              <a16:creationId xmlns:a16="http://schemas.microsoft.com/office/drawing/2014/main" id="{A17FEB69-AFDD-4E32-98D2-EFF6DA7BD8FE}"/>
            </a:ext>
          </a:extLst>
        </xdr:cNvPr>
        <xdr:cNvSpPr/>
      </xdr:nvSpPr>
      <xdr:spPr bwMode="auto">
        <a:xfrm rot="5400000">
          <a:off x="5166722" y="5257984"/>
          <a:ext cx="1494822"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412003</xdr:colOff>
      <xdr:row>49</xdr:row>
      <xdr:rowOff>172853</xdr:rowOff>
    </xdr:from>
    <xdr:to>
      <xdr:col>8</xdr:col>
      <xdr:colOff>90384</xdr:colOff>
      <xdr:row>60</xdr:row>
      <xdr:rowOff>40908</xdr:rowOff>
    </xdr:to>
    <xdr:sp macro="" textlink="">
      <xdr:nvSpPr>
        <xdr:cNvPr id="70" name="Notched Right Arrow 6">
          <a:extLst>
            <a:ext uri="{FF2B5EF4-FFF2-40B4-BE49-F238E27FC236}">
              <a16:creationId xmlns:a16="http://schemas.microsoft.com/office/drawing/2014/main" id="{04CA0817-ED56-41E5-8B37-C187D4770A4B}"/>
            </a:ext>
          </a:extLst>
        </xdr:cNvPr>
        <xdr:cNvSpPr/>
      </xdr:nvSpPr>
      <xdr:spPr bwMode="auto">
        <a:xfrm rot="5400000">
          <a:off x="5193233" y="7165988"/>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415962</xdr:colOff>
      <xdr:row>61</xdr:row>
      <xdr:rowOff>160319</xdr:rowOff>
    </xdr:from>
    <xdr:to>
      <xdr:col>8</xdr:col>
      <xdr:colOff>94343</xdr:colOff>
      <xdr:row>72</xdr:row>
      <xdr:rowOff>28374</xdr:rowOff>
    </xdr:to>
    <xdr:sp macro="" textlink="">
      <xdr:nvSpPr>
        <xdr:cNvPr id="71" name="Notched Right Arrow 7">
          <a:extLst>
            <a:ext uri="{FF2B5EF4-FFF2-40B4-BE49-F238E27FC236}">
              <a16:creationId xmlns:a16="http://schemas.microsoft.com/office/drawing/2014/main" id="{8B0394A4-E8A4-415E-9803-3B6443DD64C2}"/>
            </a:ext>
          </a:extLst>
        </xdr:cNvPr>
        <xdr:cNvSpPr/>
      </xdr:nvSpPr>
      <xdr:spPr bwMode="auto">
        <a:xfrm rot="5400000">
          <a:off x="5197192" y="9021820"/>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441031</xdr:colOff>
      <xdr:row>74</xdr:row>
      <xdr:rowOff>3961</xdr:rowOff>
    </xdr:from>
    <xdr:to>
      <xdr:col>8</xdr:col>
      <xdr:colOff>119412</xdr:colOff>
      <xdr:row>84</xdr:row>
      <xdr:rowOff>69938</xdr:rowOff>
    </xdr:to>
    <xdr:sp macro="" textlink="">
      <xdr:nvSpPr>
        <xdr:cNvPr id="72" name="Notched Right Arrow 8">
          <a:extLst>
            <a:ext uri="{FF2B5EF4-FFF2-40B4-BE49-F238E27FC236}">
              <a16:creationId xmlns:a16="http://schemas.microsoft.com/office/drawing/2014/main" id="{64F95D5B-7B9B-473A-A36A-AE996BB61888}"/>
            </a:ext>
          </a:extLst>
        </xdr:cNvPr>
        <xdr:cNvSpPr/>
      </xdr:nvSpPr>
      <xdr:spPr bwMode="auto">
        <a:xfrm rot="5400000">
          <a:off x="5229540" y="10939029"/>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428496</xdr:colOff>
      <xdr:row>86</xdr:row>
      <xdr:rowOff>7918</xdr:rowOff>
    </xdr:from>
    <xdr:to>
      <xdr:col>8</xdr:col>
      <xdr:colOff>106877</xdr:colOff>
      <xdr:row>96</xdr:row>
      <xdr:rowOff>73895</xdr:rowOff>
    </xdr:to>
    <xdr:sp macro="" textlink="">
      <xdr:nvSpPr>
        <xdr:cNvPr id="73" name="Notched Right Arrow 9">
          <a:extLst>
            <a:ext uri="{FF2B5EF4-FFF2-40B4-BE49-F238E27FC236}">
              <a16:creationId xmlns:a16="http://schemas.microsoft.com/office/drawing/2014/main" id="{815112F9-FD4E-4A74-B1BE-5218268D2E4B}"/>
            </a:ext>
          </a:extLst>
        </xdr:cNvPr>
        <xdr:cNvSpPr/>
      </xdr:nvSpPr>
      <xdr:spPr bwMode="auto">
        <a:xfrm rot="5400000">
          <a:off x="5217005" y="12811351"/>
          <a:ext cx="1509381"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432455</xdr:colOff>
      <xdr:row>97</xdr:row>
      <xdr:rowOff>160317</xdr:rowOff>
    </xdr:from>
    <xdr:to>
      <xdr:col>8</xdr:col>
      <xdr:colOff>110836</xdr:colOff>
      <xdr:row>108</xdr:row>
      <xdr:rowOff>28372</xdr:rowOff>
    </xdr:to>
    <xdr:sp macro="" textlink="">
      <xdr:nvSpPr>
        <xdr:cNvPr id="74" name="Notched Right Arrow 10">
          <a:extLst>
            <a:ext uri="{FF2B5EF4-FFF2-40B4-BE49-F238E27FC236}">
              <a16:creationId xmlns:a16="http://schemas.microsoft.com/office/drawing/2014/main" id="{FF6D5CC4-EC1B-45C4-BEA2-5DE7CF18A07A}"/>
            </a:ext>
          </a:extLst>
        </xdr:cNvPr>
        <xdr:cNvSpPr/>
      </xdr:nvSpPr>
      <xdr:spPr bwMode="auto">
        <a:xfrm rot="5400000">
          <a:off x="5213685" y="14626914"/>
          <a:ext cx="1523939"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436414</xdr:colOff>
      <xdr:row>109</xdr:row>
      <xdr:rowOff>197263</xdr:rowOff>
    </xdr:from>
    <xdr:to>
      <xdr:col>8</xdr:col>
      <xdr:colOff>114795</xdr:colOff>
      <xdr:row>120</xdr:row>
      <xdr:rowOff>65318</xdr:rowOff>
    </xdr:to>
    <xdr:sp macro="" textlink="">
      <xdr:nvSpPr>
        <xdr:cNvPr id="75" name="Notched Right Arrow 11">
          <a:extLst>
            <a:ext uri="{FF2B5EF4-FFF2-40B4-BE49-F238E27FC236}">
              <a16:creationId xmlns:a16="http://schemas.microsoft.com/office/drawing/2014/main" id="{A88823B7-61B2-43C6-B5E6-9A2B95C624D3}"/>
            </a:ext>
          </a:extLst>
        </xdr:cNvPr>
        <xdr:cNvSpPr/>
      </xdr:nvSpPr>
      <xdr:spPr bwMode="auto">
        <a:xfrm rot="5400000">
          <a:off x="5217644" y="16532225"/>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7</xdr:col>
      <xdr:colOff>403426</xdr:colOff>
      <xdr:row>121</xdr:row>
      <xdr:rowOff>164277</xdr:rowOff>
    </xdr:from>
    <xdr:to>
      <xdr:col>8</xdr:col>
      <xdr:colOff>81807</xdr:colOff>
      <xdr:row>132</xdr:row>
      <xdr:rowOff>32332</xdr:rowOff>
    </xdr:to>
    <xdr:sp macro="" textlink="">
      <xdr:nvSpPr>
        <xdr:cNvPr id="76" name="Notched Right Arrow 12">
          <a:extLst>
            <a:ext uri="{FF2B5EF4-FFF2-40B4-BE49-F238E27FC236}">
              <a16:creationId xmlns:a16="http://schemas.microsoft.com/office/drawing/2014/main" id="{8E116853-2747-4FC7-AA72-3D33D4743FAB}"/>
            </a:ext>
          </a:extLst>
        </xdr:cNvPr>
        <xdr:cNvSpPr/>
      </xdr:nvSpPr>
      <xdr:spPr bwMode="auto">
        <a:xfrm rot="5400000">
          <a:off x="5184656" y="18367604"/>
          <a:ext cx="1523940" cy="271862"/>
        </a:xfrm>
        <a:prstGeom prst="notchedRightArrow">
          <a:avLst/>
        </a:prstGeom>
        <a:solidFill>
          <a:schemeClr val="accent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295275</xdr:colOff>
      <xdr:row>8</xdr:row>
      <xdr:rowOff>171450</xdr:rowOff>
    </xdr:from>
    <xdr:to>
      <xdr:col>9</xdr:col>
      <xdr:colOff>161925</xdr:colOff>
      <xdr:row>20</xdr:row>
      <xdr:rowOff>85725</xdr:rowOff>
    </xdr:to>
    <xdr:sp macro="" textlink="">
      <xdr:nvSpPr>
        <xdr:cNvPr id="2" name="Rektangel 1">
          <a:extLst>
            <a:ext uri="{FF2B5EF4-FFF2-40B4-BE49-F238E27FC236}">
              <a16:creationId xmlns:a16="http://schemas.microsoft.com/office/drawing/2014/main" id="{C1D00C48-37C6-4932-B100-9DBB4ED74FF3}"/>
            </a:ext>
          </a:extLst>
        </xdr:cNvPr>
        <xdr:cNvSpPr/>
      </xdr:nvSpPr>
      <xdr:spPr bwMode="auto">
        <a:xfrm>
          <a:off x="1304925" y="2305050"/>
          <a:ext cx="6219825" cy="2371725"/>
        </a:xfrm>
        <a:prstGeom prst="rect">
          <a:avLst/>
        </a:prstGeom>
        <a:no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clientData/>
  </xdr:twoCellAnchor>
  <xdr:twoCellAnchor editAs="oneCell">
    <xdr:from>
      <xdr:col>1</xdr:col>
      <xdr:colOff>85725</xdr:colOff>
      <xdr:row>0</xdr:row>
      <xdr:rowOff>95250</xdr:rowOff>
    </xdr:from>
    <xdr:to>
      <xdr:col>5</xdr:col>
      <xdr:colOff>22542</xdr:colOff>
      <xdr:row>4</xdr:row>
      <xdr:rowOff>98946</xdr:rowOff>
    </xdr:to>
    <xdr:pic>
      <xdr:nvPicPr>
        <xdr:cNvPr id="3" name="Bildobjekt 2">
          <a:extLst>
            <a:ext uri="{FF2B5EF4-FFF2-40B4-BE49-F238E27FC236}">
              <a16:creationId xmlns:a16="http://schemas.microsoft.com/office/drawing/2014/main" id="{91E648AB-EF0C-4541-82F6-31B229F7A193}"/>
            </a:ext>
          </a:extLst>
        </xdr:cNvPr>
        <xdr:cNvPicPr>
          <a:picLocks noChangeAspect="1"/>
        </xdr:cNvPicPr>
      </xdr:nvPicPr>
      <xdr:blipFill>
        <a:blip xmlns:r="http://schemas.openxmlformats.org/officeDocument/2006/relationships" r:embed="rId1"/>
        <a:stretch>
          <a:fillRect/>
        </a:stretch>
      </xdr:blipFill>
      <xdr:spPr>
        <a:xfrm>
          <a:off x="1095375" y="95250"/>
          <a:ext cx="2542857" cy="914286"/>
        </a:xfrm>
        <a:prstGeom prst="rect">
          <a:avLst/>
        </a:prstGeom>
      </xdr:spPr>
    </xdr:pic>
    <xdr:clientData/>
  </xdr:twoCellAnchor>
  <xdr:twoCellAnchor>
    <xdr:from>
      <xdr:col>0</xdr:col>
      <xdr:colOff>0</xdr:colOff>
      <xdr:row>5</xdr:row>
      <xdr:rowOff>0</xdr:rowOff>
    </xdr:from>
    <xdr:to>
      <xdr:col>13</xdr:col>
      <xdr:colOff>1209676</xdr:colOff>
      <xdr:row>5</xdr:row>
      <xdr:rowOff>514800</xdr:rowOff>
    </xdr:to>
    <xdr:grpSp>
      <xdr:nvGrpSpPr>
        <xdr:cNvPr id="4" name="Grupp 3">
          <a:extLst>
            <a:ext uri="{FF2B5EF4-FFF2-40B4-BE49-F238E27FC236}">
              <a16:creationId xmlns:a16="http://schemas.microsoft.com/office/drawing/2014/main" id="{8F98E742-D0F1-42AF-8655-1B14C1F46767}"/>
            </a:ext>
          </a:extLst>
        </xdr:cNvPr>
        <xdr:cNvGrpSpPr/>
      </xdr:nvGrpSpPr>
      <xdr:grpSpPr>
        <a:xfrm>
          <a:off x="0" y="1164167"/>
          <a:ext cx="15920509" cy="514800"/>
          <a:chOff x="0" y="1076325"/>
          <a:chExt cx="12496801" cy="514800"/>
        </a:xfrm>
      </xdr:grpSpPr>
      <xdr:sp macro="" textlink="">
        <xdr:nvSpPr>
          <xdr:cNvPr id="5" name="Rektangel 4">
            <a:hlinkClick xmlns:r="http://schemas.openxmlformats.org/officeDocument/2006/relationships" r:id="rId2"/>
            <a:extLst>
              <a:ext uri="{FF2B5EF4-FFF2-40B4-BE49-F238E27FC236}">
                <a16:creationId xmlns:a16="http://schemas.microsoft.com/office/drawing/2014/main" id="{562E0F28-F4B5-A130-466E-20A44F9EC306}"/>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6" name="Rektangel 5">
            <a:hlinkClick xmlns:r="http://schemas.openxmlformats.org/officeDocument/2006/relationships" r:id="rId3"/>
            <a:extLst>
              <a:ext uri="{FF2B5EF4-FFF2-40B4-BE49-F238E27FC236}">
                <a16:creationId xmlns:a16="http://schemas.microsoft.com/office/drawing/2014/main" id="{BB0E0354-B0A1-82E4-244A-F365951FB915}"/>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7" name="Rektangel 6">
            <a:hlinkClick xmlns:r="http://schemas.openxmlformats.org/officeDocument/2006/relationships" r:id="rId4"/>
            <a:extLst>
              <a:ext uri="{FF2B5EF4-FFF2-40B4-BE49-F238E27FC236}">
                <a16:creationId xmlns:a16="http://schemas.microsoft.com/office/drawing/2014/main" id="{977090C7-32E1-CFC2-F972-4A050D9F4CAD}"/>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8" name="Rektangel 7">
            <a:hlinkClick xmlns:r="http://schemas.openxmlformats.org/officeDocument/2006/relationships" r:id="rId5"/>
            <a:extLst>
              <a:ext uri="{FF2B5EF4-FFF2-40B4-BE49-F238E27FC236}">
                <a16:creationId xmlns:a16="http://schemas.microsoft.com/office/drawing/2014/main" id="{BE0A6DB6-398D-7C95-09F2-CCC705F6AF15}"/>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9" name="Rektangel 8">
            <a:hlinkClick xmlns:r="http://schemas.openxmlformats.org/officeDocument/2006/relationships" r:id="rId6"/>
            <a:extLst>
              <a:ext uri="{FF2B5EF4-FFF2-40B4-BE49-F238E27FC236}">
                <a16:creationId xmlns:a16="http://schemas.microsoft.com/office/drawing/2014/main" id="{829C5C83-BC39-90C2-F776-A72CD51B711E}"/>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10" name="Rektangel 9">
            <a:hlinkClick xmlns:r="http://schemas.openxmlformats.org/officeDocument/2006/relationships" r:id="rId7"/>
            <a:extLst>
              <a:ext uri="{FF2B5EF4-FFF2-40B4-BE49-F238E27FC236}">
                <a16:creationId xmlns:a16="http://schemas.microsoft.com/office/drawing/2014/main" id="{412B4BE5-4618-8996-5F6F-2AE926EA8505}"/>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11" name="Rektangel 10">
            <a:hlinkClick xmlns:r="http://schemas.openxmlformats.org/officeDocument/2006/relationships" r:id="rId8"/>
            <a:extLst>
              <a:ext uri="{FF2B5EF4-FFF2-40B4-BE49-F238E27FC236}">
                <a16:creationId xmlns:a16="http://schemas.microsoft.com/office/drawing/2014/main" id="{029FB806-F087-C86A-24CB-3CA22AA69BA6}"/>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12" name="Rektangel 11">
            <a:extLst>
              <a:ext uri="{FF2B5EF4-FFF2-40B4-BE49-F238E27FC236}">
                <a16:creationId xmlns:a16="http://schemas.microsoft.com/office/drawing/2014/main" id="{1050B9BD-2555-8130-4EF1-AD63600E1F97}"/>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13" name="Rektangel 12">
            <a:hlinkClick xmlns:r="http://schemas.openxmlformats.org/officeDocument/2006/relationships" r:id="rId9"/>
            <a:extLst>
              <a:ext uri="{FF2B5EF4-FFF2-40B4-BE49-F238E27FC236}">
                <a16:creationId xmlns:a16="http://schemas.microsoft.com/office/drawing/2014/main" id="{69076F7E-472F-F43D-03A8-392CB6CE040E}"/>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14" name="Rektangel 13">
            <a:hlinkClick xmlns:r="http://schemas.openxmlformats.org/officeDocument/2006/relationships" r:id="rId10"/>
            <a:extLst>
              <a:ext uri="{FF2B5EF4-FFF2-40B4-BE49-F238E27FC236}">
                <a16:creationId xmlns:a16="http://schemas.microsoft.com/office/drawing/2014/main" id="{3C8C8940-691B-F1D4-D2D6-E977D196C113}"/>
              </a:ext>
            </a:extLst>
          </xdr:cNvPr>
          <xdr:cNvSpPr/>
        </xdr:nvSpPr>
        <xdr:spPr bwMode="auto">
          <a:xfrm>
            <a:off x="3238500" y="1076325"/>
            <a:ext cx="847725"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15" name="Rektangel 14">
            <a:hlinkClick xmlns:r="http://schemas.openxmlformats.org/officeDocument/2006/relationships" r:id="rId11"/>
            <a:extLst>
              <a:ext uri="{FF2B5EF4-FFF2-40B4-BE49-F238E27FC236}">
                <a16:creationId xmlns:a16="http://schemas.microsoft.com/office/drawing/2014/main" id="{AB6FBA1F-EE59-0338-69E2-98B0B14AF9A3}"/>
              </a:ext>
            </a:extLst>
          </xdr:cNvPr>
          <xdr:cNvSpPr/>
        </xdr:nvSpPr>
        <xdr:spPr bwMode="auto">
          <a:xfrm>
            <a:off x="4095750" y="1076325"/>
            <a:ext cx="9283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295275</xdr:colOff>
      <xdr:row>8</xdr:row>
      <xdr:rowOff>171450</xdr:rowOff>
    </xdr:from>
    <xdr:to>
      <xdr:col>9</xdr:col>
      <xdr:colOff>161925</xdr:colOff>
      <xdr:row>20</xdr:row>
      <xdr:rowOff>85725</xdr:rowOff>
    </xdr:to>
    <xdr:sp macro="" textlink="">
      <xdr:nvSpPr>
        <xdr:cNvPr id="2" name="Rektangel 1">
          <a:extLst>
            <a:ext uri="{FF2B5EF4-FFF2-40B4-BE49-F238E27FC236}">
              <a16:creationId xmlns:a16="http://schemas.microsoft.com/office/drawing/2014/main" id="{25EA0F0C-30F8-4811-97C9-0DEB331241F2}"/>
            </a:ext>
          </a:extLst>
        </xdr:cNvPr>
        <xdr:cNvSpPr/>
      </xdr:nvSpPr>
      <xdr:spPr bwMode="auto">
        <a:xfrm>
          <a:off x="1304925" y="2305050"/>
          <a:ext cx="6219825" cy="2371725"/>
        </a:xfrm>
        <a:prstGeom prst="rect">
          <a:avLst/>
        </a:prstGeom>
        <a:noFill/>
        <a:ln w="1905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clientData/>
  </xdr:twoCellAnchor>
  <xdr:twoCellAnchor editAs="oneCell">
    <xdr:from>
      <xdr:col>1</xdr:col>
      <xdr:colOff>85725</xdr:colOff>
      <xdr:row>0</xdr:row>
      <xdr:rowOff>95250</xdr:rowOff>
    </xdr:from>
    <xdr:to>
      <xdr:col>5</xdr:col>
      <xdr:colOff>22542</xdr:colOff>
      <xdr:row>4</xdr:row>
      <xdr:rowOff>98946</xdr:rowOff>
    </xdr:to>
    <xdr:pic>
      <xdr:nvPicPr>
        <xdr:cNvPr id="3" name="Bildobjekt 2">
          <a:extLst>
            <a:ext uri="{FF2B5EF4-FFF2-40B4-BE49-F238E27FC236}">
              <a16:creationId xmlns:a16="http://schemas.microsoft.com/office/drawing/2014/main" id="{B8A15C53-7778-4EEF-A6F0-6E8D55BD9FE8}"/>
            </a:ext>
          </a:extLst>
        </xdr:cNvPr>
        <xdr:cNvPicPr>
          <a:picLocks noChangeAspect="1"/>
        </xdr:cNvPicPr>
      </xdr:nvPicPr>
      <xdr:blipFill>
        <a:blip xmlns:r="http://schemas.openxmlformats.org/officeDocument/2006/relationships" r:embed="rId1"/>
        <a:stretch>
          <a:fillRect/>
        </a:stretch>
      </xdr:blipFill>
      <xdr:spPr>
        <a:xfrm>
          <a:off x="1095375" y="95250"/>
          <a:ext cx="2542857" cy="914286"/>
        </a:xfrm>
        <a:prstGeom prst="rect">
          <a:avLst/>
        </a:prstGeom>
      </xdr:spPr>
    </xdr:pic>
    <xdr:clientData/>
  </xdr:twoCellAnchor>
  <xdr:twoCellAnchor>
    <xdr:from>
      <xdr:col>0</xdr:col>
      <xdr:colOff>0</xdr:colOff>
      <xdr:row>5</xdr:row>
      <xdr:rowOff>0</xdr:rowOff>
    </xdr:from>
    <xdr:to>
      <xdr:col>13</xdr:col>
      <xdr:colOff>1209676</xdr:colOff>
      <xdr:row>5</xdr:row>
      <xdr:rowOff>514800</xdr:rowOff>
    </xdr:to>
    <xdr:grpSp>
      <xdr:nvGrpSpPr>
        <xdr:cNvPr id="4" name="Grupp 3">
          <a:extLst>
            <a:ext uri="{FF2B5EF4-FFF2-40B4-BE49-F238E27FC236}">
              <a16:creationId xmlns:a16="http://schemas.microsoft.com/office/drawing/2014/main" id="{18627289-582B-4F48-8B02-CF66C1DE2E94}"/>
            </a:ext>
          </a:extLst>
        </xdr:cNvPr>
        <xdr:cNvGrpSpPr/>
      </xdr:nvGrpSpPr>
      <xdr:grpSpPr>
        <a:xfrm>
          <a:off x="0" y="1164167"/>
          <a:ext cx="15920509" cy="514800"/>
          <a:chOff x="0" y="1076325"/>
          <a:chExt cx="12496801" cy="514800"/>
        </a:xfrm>
      </xdr:grpSpPr>
      <xdr:sp macro="" textlink="">
        <xdr:nvSpPr>
          <xdr:cNvPr id="5" name="Rektangel 4">
            <a:hlinkClick xmlns:r="http://schemas.openxmlformats.org/officeDocument/2006/relationships" r:id="rId2"/>
            <a:extLst>
              <a:ext uri="{FF2B5EF4-FFF2-40B4-BE49-F238E27FC236}">
                <a16:creationId xmlns:a16="http://schemas.microsoft.com/office/drawing/2014/main" id="{2544FF10-0D35-DC66-4ACE-474381DF6CD2}"/>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6" name="Rektangel 5">
            <a:hlinkClick xmlns:r="http://schemas.openxmlformats.org/officeDocument/2006/relationships" r:id="rId3"/>
            <a:extLst>
              <a:ext uri="{FF2B5EF4-FFF2-40B4-BE49-F238E27FC236}">
                <a16:creationId xmlns:a16="http://schemas.microsoft.com/office/drawing/2014/main" id="{040C080A-8D2D-5331-74FE-FC122B435D4F}"/>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7" name="Rektangel 6">
            <a:hlinkClick xmlns:r="http://schemas.openxmlformats.org/officeDocument/2006/relationships" r:id="rId4"/>
            <a:extLst>
              <a:ext uri="{FF2B5EF4-FFF2-40B4-BE49-F238E27FC236}">
                <a16:creationId xmlns:a16="http://schemas.microsoft.com/office/drawing/2014/main" id="{4E8F1127-7D70-1525-25DA-031131B32772}"/>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8" name="Rektangel 7">
            <a:hlinkClick xmlns:r="http://schemas.openxmlformats.org/officeDocument/2006/relationships" r:id="rId5"/>
            <a:extLst>
              <a:ext uri="{FF2B5EF4-FFF2-40B4-BE49-F238E27FC236}">
                <a16:creationId xmlns:a16="http://schemas.microsoft.com/office/drawing/2014/main" id="{CFDBCAC7-68B5-E236-7A67-A88EAE5D9A79}"/>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9" name="Rektangel 8">
            <a:hlinkClick xmlns:r="http://schemas.openxmlformats.org/officeDocument/2006/relationships" r:id="rId6"/>
            <a:extLst>
              <a:ext uri="{FF2B5EF4-FFF2-40B4-BE49-F238E27FC236}">
                <a16:creationId xmlns:a16="http://schemas.microsoft.com/office/drawing/2014/main" id="{AA6DB3D5-34E2-3563-31C9-0B70F5A32C10}"/>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10" name="Rektangel 9">
            <a:hlinkClick xmlns:r="http://schemas.openxmlformats.org/officeDocument/2006/relationships" r:id="rId7"/>
            <a:extLst>
              <a:ext uri="{FF2B5EF4-FFF2-40B4-BE49-F238E27FC236}">
                <a16:creationId xmlns:a16="http://schemas.microsoft.com/office/drawing/2014/main" id="{B8084D1C-413A-B207-9AF1-AEF0FAD2275A}"/>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11" name="Rektangel 10">
            <a:hlinkClick xmlns:r="http://schemas.openxmlformats.org/officeDocument/2006/relationships" r:id="rId8"/>
            <a:extLst>
              <a:ext uri="{FF2B5EF4-FFF2-40B4-BE49-F238E27FC236}">
                <a16:creationId xmlns:a16="http://schemas.microsoft.com/office/drawing/2014/main" id="{393C9709-488C-1610-179D-203377548ED5}"/>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12" name="Rektangel 11">
            <a:extLst>
              <a:ext uri="{FF2B5EF4-FFF2-40B4-BE49-F238E27FC236}">
                <a16:creationId xmlns:a16="http://schemas.microsoft.com/office/drawing/2014/main" id="{57F69A2E-05D7-E875-6299-97B8CE52582B}"/>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13" name="Rektangel 12">
            <a:hlinkClick xmlns:r="http://schemas.openxmlformats.org/officeDocument/2006/relationships" r:id="rId9"/>
            <a:extLst>
              <a:ext uri="{FF2B5EF4-FFF2-40B4-BE49-F238E27FC236}">
                <a16:creationId xmlns:a16="http://schemas.microsoft.com/office/drawing/2014/main" id="{51AC263D-5175-631E-1883-3A5B34820344}"/>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14" name="Rektangel 13">
            <a:hlinkClick xmlns:r="http://schemas.openxmlformats.org/officeDocument/2006/relationships" r:id="rId10"/>
            <a:extLst>
              <a:ext uri="{FF2B5EF4-FFF2-40B4-BE49-F238E27FC236}">
                <a16:creationId xmlns:a16="http://schemas.microsoft.com/office/drawing/2014/main" id="{9196F9AF-64EB-91E1-4B34-BF9D6C0D70F8}"/>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15" name="Rektangel 14">
            <a:hlinkClick xmlns:r="http://schemas.openxmlformats.org/officeDocument/2006/relationships" r:id="rId11"/>
            <a:extLst>
              <a:ext uri="{FF2B5EF4-FFF2-40B4-BE49-F238E27FC236}">
                <a16:creationId xmlns:a16="http://schemas.microsoft.com/office/drawing/2014/main" id="{4C8D2B3D-2838-996B-5F2E-6B42712D3A5E}"/>
              </a:ext>
            </a:extLst>
          </xdr:cNvPr>
          <xdr:cNvSpPr/>
        </xdr:nvSpPr>
        <xdr:spPr bwMode="auto">
          <a:xfrm>
            <a:off x="4095750" y="1076325"/>
            <a:ext cx="928301"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85725</xdr:colOff>
      <xdr:row>0</xdr:row>
      <xdr:rowOff>95250</xdr:rowOff>
    </xdr:from>
    <xdr:to>
      <xdr:col>5</xdr:col>
      <xdr:colOff>418782</xdr:colOff>
      <xdr:row>4</xdr:row>
      <xdr:rowOff>101486</xdr:rowOff>
    </xdr:to>
    <xdr:pic>
      <xdr:nvPicPr>
        <xdr:cNvPr id="2" name="Bildobjekt 1">
          <a:extLst>
            <a:ext uri="{FF2B5EF4-FFF2-40B4-BE49-F238E27FC236}">
              <a16:creationId xmlns:a16="http://schemas.microsoft.com/office/drawing/2014/main" id="{00B44006-FDB5-45A2-A916-A55A1A9898BA}"/>
            </a:ext>
          </a:extLst>
        </xdr:cNvPr>
        <xdr:cNvPicPr>
          <a:picLocks noChangeAspect="1"/>
        </xdr:cNvPicPr>
      </xdr:nvPicPr>
      <xdr:blipFill>
        <a:blip xmlns:r="http://schemas.openxmlformats.org/officeDocument/2006/relationships" r:embed="rId1"/>
        <a:stretch>
          <a:fillRect/>
        </a:stretch>
      </xdr:blipFill>
      <xdr:spPr>
        <a:xfrm>
          <a:off x="638175" y="95250"/>
          <a:ext cx="2542857" cy="914286"/>
        </a:xfrm>
        <a:prstGeom prst="rect">
          <a:avLst/>
        </a:prstGeom>
      </xdr:spPr>
    </xdr:pic>
    <xdr:clientData/>
  </xdr:twoCellAnchor>
  <xdr:twoCellAnchor>
    <xdr:from>
      <xdr:col>0</xdr:col>
      <xdr:colOff>0</xdr:colOff>
      <xdr:row>4</xdr:row>
      <xdr:rowOff>152400</xdr:rowOff>
    </xdr:from>
    <xdr:to>
      <xdr:col>11</xdr:col>
      <xdr:colOff>1962151</xdr:colOff>
      <xdr:row>5</xdr:row>
      <xdr:rowOff>505275</xdr:rowOff>
    </xdr:to>
    <xdr:grpSp>
      <xdr:nvGrpSpPr>
        <xdr:cNvPr id="15" name="Grupp 14">
          <a:extLst>
            <a:ext uri="{FF2B5EF4-FFF2-40B4-BE49-F238E27FC236}">
              <a16:creationId xmlns:a16="http://schemas.microsoft.com/office/drawing/2014/main" id="{778D1528-5C65-49B6-97CF-2C219A6CD84F}"/>
            </a:ext>
          </a:extLst>
        </xdr:cNvPr>
        <xdr:cNvGrpSpPr/>
      </xdr:nvGrpSpPr>
      <xdr:grpSpPr>
        <a:xfrm>
          <a:off x="0" y="1168400"/>
          <a:ext cx="15944851" cy="530675"/>
          <a:chOff x="0" y="1076325"/>
          <a:chExt cx="12496801" cy="514800"/>
        </a:xfrm>
      </xdr:grpSpPr>
      <xdr:sp macro="" textlink="">
        <xdr:nvSpPr>
          <xdr:cNvPr id="16" name="Rektangel 15">
            <a:hlinkClick xmlns:r="http://schemas.openxmlformats.org/officeDocument/2006/relationships" r:id="rId2"/>
            <a:extLst>
              <a:ext uri="{FF2B5EF4-FFF2-40B4-BE49-F238E27FC236}">
                <a16:creationId xmlns:a16="http://schemas.microsoft.com/office/drawing/2014/main" id="{54493D86-AB00-D590-E03A-4BC6A7DBA423}"/>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17" name="Rektangel 16">
            <a:hlinkClick xmlns:r="http://schemas.openxmlformats.org/officeDocument/2006/relationships" r:id="rId3"/>
            <a:extLst>
              <a:ext uri="{FF2B5EF4-FFF2-40B4-BE49-F238E27FC236}">
                <a16:creationId xmlns:a16="http://schemas.microsoft.com/office/drawing/2014/main" id="{621E04B0-575D-7DBF-E86D-C1C58BE7A497}"/>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18" name="Rektangel 17">
            <a:hlinkClick xmlns:r="http://schemas.openxmlformats.org/officeDocument/2006/relationships" r:id="rId4"/>
            <a:extLst>
              <a:ext uri="{FF2B5EF4-FFF2-40B4-BE49-F238E27FC236}">
                <a16:creationId xmlns:a16="http://schemas.microsoft.com/office/drawing/2014/main" id="{DEA1C151-FC08-2856-B566-8B5D59A41888}"/>
              </a:ext>
            </a:extLst>
          </xdr:cNvPr>
          <xdr:cNvSpPr/>
        </xdr:nvSpPr>
        <xdr:spPr bwMode="auto">
          <a:xfrm>
            <a:off x="4952999" y="1076325"/>
            <a:ext cx="1314451"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19" name="Rektangel 18">
            <a:hlinkClick xmlns:r="http://schemas.openxmlformats.org/officeDocument/2006/relationships" r:id="rId5"/>
            <a:extLst>
              <a:ext uri="{FF2B5EF4-FFF2-40B4-BE49-F238E27FC236}">
                <a16:creationId xmlns:a16="http://schemas.microsoft.com/office/drawing/2014/main" id="{143439B7-FD6E-F7A4-4995-448687889592}"/>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20" name="Rektangel 19">
            <a:hlinkClick xmlns:r="http://schemas.openxmlformats.org/officeDocument/2006/relationships" r:id="rId6"/>
            <a:extLst>
              <a:ext uri="{FF2B5EF4-FFF2-40B4-BE49-F238E27FC236}">
                <a16:creationId xmlns:a16="http://schemas.microsoft.com/office/drawing/2014/main" id="{30F321AC-E542-94AD-9CDF-A435D176F032}"/>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21" name="Rektangel 20">
            <a:hlinkClick xmlns:r="http://schemas.openxmlformats.org/officeDocument/2006/relationships" r:id="rId7"/>
            <a:extLst>
              <a:ext uri="{FF2B5EF4-FFF2-40B4-BE49-F238E27FC236}">
                <a16:creationId xmlns:a16="http://schemas.microsoft.com/office/drawing/2014/main" id="{296E5C90-3CE7-0916-3C2B-5FA7E0823300}"/>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22" name="Rektangel 21">
            <a:hlinkClick xmlns:r="http://schemas.openxmlformats.org/officeDocument/2006/relationships" r:id="rId8"/>
            <a:extLst>
              <a:ext uri="{FF2B5EF4-FFF2-40B4-BE49-F238E27FC236}">
                <a16:creationId xmlns:a16="http://schemas.microsoft.com/office/drawing/2014/main" id="{09C9F8D6-8768-0C6E-09C9-773A3E60C4A1}"/>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23" name="Rektangel 22">
            <a:extLst>
              <a:ext uri="{FF2B5EF4-FFF2-40B4-BE49-F238E27FC236}">
                <a16:creationId xmlns:a16="http://schemas.microsoft.com/office/drawing/2014/main" id="{8600D663-5DD5-1883-CCDD-FDE3536D2539}"/>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24" name="Rektangel 23">
            <a:hlinkClick xmlns:r="http://schemas.openxmlformats.org/officeDocument/2006/relationships" r:id="rId9"/>
            <a:extLst>
              <a:ext uri="{FF2B5EF4-FFF2-40B4-BE49-F238E27FC236}">
                <a16:creationId xmlns:a16="http://schemas.microsoft.com/office/drawing/2014/main" id="{04C3BC51-9669-598A-0022-190100E3A58B}"/>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25" name="Rektangel 24">
            <a:hlinkClick xmlns:r="http://schemas.openxmlformats.org/officeDocument/2006/relationships" r:id="rId10"/>
            <a:extLst>
              <a:ext uri="{FF2B5EF4-FFF2-40B4-BE49-F238E27FC236}">
                <a16:creationId xmlns:a16="http://schemas.microsoft.com/office/drawing/2014/main" id="{3C012C69-7967-2D3D-B249-53F9E34F377A}"/>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26" name="Rektangel 25">
            <a:hlinkClick xmlns:r="http://schemas.openxmlformats.org/officeDocument/2006/relationships" r:id="rId11"/>
            <a:extLst>
              <a:ext uri="{FF2B5EF4-FFF2-40B4-BE49-F238E27FC236}">
                <a16:creationId xmlns:a16="http://schemas.microsoft.com/office/drawing/2014/main" id="{93139114-EE91-D1EA-7A99-B4BA7FB679BD}"/>
              </a:ext>
            </a:extLst>
          </xdr:cNvPr>
          <xdr:cNvSpPr/>
        </xdr:nvSpPr>
        <xdr:spPr bwMode="auto">
          <a:xfrm>
            <a:off x="4095750" y="1076325"/>
            <a:ext cx="9283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152400</xdr:rowOff>
    </xdr:from>
    <xdr:to>
      <xdr:col>15</xdr:col>
      <xdr:colOff>1</xdr:colOff>
      <xdr:row>5</xdr:row>
      <xdr:rowOff>505275</xdr:rowOff>
    </xdr:to>
    <xdr:grpSp>
      <xdr:nvGrpSpPr>
        <xdr:cNvPr id="15" name="Grupp 14">
          <a:extLst>
            <a:ext uri="{FF2B5EF4-FFF2-40B4-BE49-F238E27FC236}">
              <a16:creationId xmlns:a16="http://schemas.microsoft.com/office/drawing/2014/main" id="{F1D1CF85-DD3F-482E-8E13-25F53B18CEA8}"/>
            </a:ext>
          </a:extLst>
        </xdr:cNvPr>
        <xdr:cNvGrpSpPr/>
      </xdr:nvGrpSpPr>
      <xdr:grpSpPr>
        <a:xfrm>
          <a:off x="0" y="0"/>
          <a:ext cx="17360901" cy="0"/>
          <a:chOff x="0" y="1076325"/>
          <a:chExt cx="12496801" cy="514800"/>
        </a:xfrm>
      </xdr:grpSpPr>
      <xdr:sp macro="" textlink="">
        <xdr:nvSpPr>
          <xdr:cNvPr id="16" name="Rektangel 15">
            <a:hlinkClick xmlns:r="http://schemas.openxmlformats.org/officeDocument/2006/relationships" r:id="rId1"/>
            <a:extLst>
              <a:ext uri="{FF2B5EF4-FFF2-40B4-BE49-F238E27FC236}">
                <a16:creationId xmlns:a16="http://schemas.microsoft.com/office/drawing/2014/main" id="{9DCD43C7-AE0C-F04C-74AE-0C8C7149A0FF}"/>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17" name="Rektangel 16">
            <a:hlinkClick xmlns:r="http://schemas.openxmlformats.org/officeDocument/2006/relationships" r:id="rId2"/>
            <a:extLst>
              <a:ext uri="{FF2B5EF4-FFF2-40B4-BE49-F238E27FC236}">
                <a16:creationId xmlns:a16="http://schemas.microsoft.com/office/drawing/2014/main" id="{469FE5B4-2FCB-AE7F-F0A1-7205CFAE8521}"/>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18" name="Rektangel 17">
            <a:hlinkClick xmlns:r="http://schemas.openxmlformats.org/officeDocument/2006/relationships" r:id="rId3"/>
            <a:extLst>
              <a:ext uri="{FF2B5EF4-FFF2-40B4-BE49-F238E27FC236}">
                <a16:creationId xmlns:a16="http://schemas.microsoft.com/office/drawing/2014/main" id="{9AF63491-B495-18F3-3E14-F729C4751801}"/>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19" name="Rektangel 18">
            <a:hlinkClick xmlns:r="http://schemas.openxmlformats.org/officeDocument/2006/relationships" r:id="rId4"/>
            <a:extLst>
              <a:ext uri="{FF2B5EF4-FFF2-40B4-BE49-F238E27FC236}">
                <a16:creationId xmlns:a16="http://schemas.microsoft.com/office/drawing/2014/main" id="{0EE7118B-5B42-1DE0-233C-247F003240A5}"/>
              </a:ext>
            </a:extLst>
          </xdr:cNvPr>
          <xdr:cNvSpPr/>
        </xdr:nvSpPr>
        <xdr:spPr bwMode="auto">
          <a:xfrm>
            <a:off x="6276973" y="1076325"/>
            <a:ext cx="1838327"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20" name="Rektangel 19">
            <a:hlinkClick xmlns:r="http://schemas.openxmlformats.org/officeDocument/2006/relationships" r:id="rId5"/>
            <a:extLst>
              <a:ext uri="{FF2B5EF4-FFF2-40B4-BE49-F238E27FC236}">
                <a16:creationId xmlns:a16="http://schemas.microsoft.com/office/drawing/2014/main" id="{DD3365D8-A3F9-4BC5-F8FE-45A9623B54A6}"/>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21" name="Rektangel 20">
            <a:hlinkClick xmlns:r="http://schemas.openxmlformats.org/officeDocument/2006/relationships" r:id="rId6"/>
            <a:extLst>
              <a:ext uri="{FF2B5EF4-FFF2-40B4-BE49-F238E27FC236}">
                <a16:creationId xmlns:a16="http://schemas.microsoft.com/office/drawing/2014/main" id="{59FC59E8-3F9C-D72D-F2C0-7679D2642A8B}"/>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22" name="Rektangel 21">
            <a:hlinkClick xmlns:r="http://schemas.openxmlformats.org/officeDocument/2006/relationships" r:id="rId7"/>
            <a:extLst>
              <a:ext uri="{FF2B5EF4-FFF2-40B4-BE49-F238E27FC236}">
                <a16:creationId xmlns:a16="http://schemas.microsoft.com/office/drawing/2014/main" id="{81561D96-F407-137C-647F-AB75E89223C3}"/>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23" name="Rektangel 22">
            <a:extLst>
              <a:ext uri="{FF2B5EF4-FFF2-40B4-BE49-F238E27FC236}">
                <a16:creationId xmlns:a16="http://schemas.microsoft.com/office/drawing/2014/main" id="{FAD7E4E3-F684-C14F-82E3-A157B736E76A}"/>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24" name="Rektangel 23">
            <a:hlinkClick xmlns:r="http://schemas.openxmlformats.org/officeDocument/2006/relationships" r:id="rId8"/>
            <a:extLst>
              <a:ext uri="{FF2B5EF4-FFF2-40B4-BE49-F238E27FC236}">
                <a16:creationId xmlns:a16="http://schemas.microsoft.com/office/drawing/2014/main" id="{F7B3AC62-D0F5-8865-268F-D360F20ACAC0}"/>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25" name="Rektangel 24">
            <a:hlinkClick xmlns:r="http://schemas.openxmlformats.org/officeDocument/2006/relationships" r:id="rId9"/>
            <a:extLst>
              <a:ext uri="{FF2B5EF4-FFF2-40B4-BE49-F238E27FC236}">
                <a16:creationId xmlns:a16="http://schemas.microsoft.com/office/drawing/2014/main" id="{2C421E74-2D24-E28E-8C8B-F981FCAC31BA}"/>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26" name="Rektangel 25">
            <a:hlinkClick xmlns:r="http://schemas.openxmlformats.org/officeDocument/2006/relationships" r:id="rId10"/>
            <a:extLst>
              <a:ext uri="{FF2B5EF4-FFF2-40B4-BE49-F238E27FC236}">
                <a16:creationId xmlns:a16="http://schemas.microsoft.com/office/drawing/2014/main" id="{457FB614-8D48-FD29-66E0-F6D5419A68D1}"/>
              </a:ext>
            </a:extLst>
          </xdr:cNvPr>
          <xdr:cNvSpPr/>
        </xdr:nvSpPr>
        <xdr:spPr bwMode="auto">
          <a:xfrm>
            <a:off x="4095750" y="1076325"/>
            <a:ext cx="9283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85725</xdr:colOff>
      <xdr:row>0</xdr:row>
      <xdr:rowOff>95250</xdr:rowOff>
    </xdr:from>
    <xdr:to>
      <xdr:col>5</xdr:col>
      <xdr:colOff>418782</xdr:colOff>
      <xdr:row>4</xdr:row>
      <xdr:rowOff>97676</xdr:rowOff>
    </xdr:to>
    <xdr:pic>
      <xdr:nvPicPr>
        <xdr:cNvPr id="2" name="Bildobjekt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38175" y="95250"/>
          <a:ext cx="2542857" cy="914286"/>
        </a:xfrm>
        <a:prstGeom prst="rect">
          <a:avLst/>
        </a:prstGeom>
      </xdr:spPr>
    </xdr:pic>
    <xdr:clientData/>
  </xdr:twoCellAnchor>
  <xdr:twoCellAnchor>
    <xdr:from>
      <xdr:col>0</xdr:col>
      <xdr:colOff>0</xdr:colOff>
      <xdr:row>5</xdr:row>
      <xdr:rowOff>0</xdr:rowOff>
    </xdr:from>
    <xdr:to>
      <xdr:col>11</xdr:col>
      <xdr:colOff>866776</xdr:colOff>
      <xdr:row>5</xdr:row>
      <xdr:rowOff>514800</xdr:rowOff>
    </xdr:to>
    <xdr:grpSp>
      <xdr:nvGrpSpPr>
        <xdr:cNvPr id="23" name="Grupp 22">
          <a:extLst>
            <a:ext uri="{FF2B5EF4-FFF2-40B4-BE49-F238E27FC236}">
              <a16:creationId xmlns:a16="http://schemas.microsoft.com/office/drawing/2014/main" id="{6C019782-6705-4A3A-A683-58974E2EC21A}"/>
            </a:ext>
          </a:extLst>
        </xdr:cNvPr>
        <xdr:cNvGrpSpPr/>
      </xdr:nvGrpSpPr>
      <xdr:grpSpPr>
        <a:xfrm>
          <a:off x="0" y="1193800"/>
          <a:ext cx="16894176" cy="514800"/>
          <a:chOff x="0" y="1076325"/>
          <a:chExt cx="12496801" cy="514800"/>
        </a:xfrm>
      </xdr:grpSpPr>
      <xdr:sp macro="" textlink="">
        <xdr:nvSpPr>
          <xdr:cNvPr id="24" name="Rektangel 23">
            <a:hlinkClick xmlns:r="http://schemas.openxmlformats.org/officeDocument/2006/relationships" r:id="rId2"/>
            <a:extLst>
              <a:ext uri="{FF2B5EF4-FFF2-40B4-BE49-F238E27FC236}">
                <a16:creationId xmlns:a16="http://schemas.microsoft.com/office/drawing/2014/main" id="{3F00DF91-A897-BF72-C197-B9CBA25701D0}"/>
              </a:ext>
            </a:extLst>
          </xdr:cNvPr>
          <xdr:cNvSpPr/>
        </xdr:nvSpPr>
        <xdr:spPr bwMode="auto">
          <a:xfrm>
            <a:off x="386634" y="1076325"/>
            <a:ext cx="112784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25" name="Rektangel 24">
            <a:hlinkClick xmlns:r="http://schemas.openxmlformats.org/officeDocument/2006/relationships" r:id="rId3"/>
            <a:extLst>
              <a:ext uri="{FF2B5EF4-FFF2-40B4-BE49-F238E27FC236}">
                <a16:creationId xmlns:a16="http://schemas.microsoft.com/office/drawing/2014/main" id="{D83713FE-CC6D-2D14-1110-CEAC3DB628F7}"/>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A1</a:t>
            </a:r>
          </a:p>
        </xdr:txBody>
      </xdr:sp>
      <xdr:sp macro="" textlink="">
        <xdr:nvSpPr>
          <xdr:cNvPr id="26" name="Rektangel 25">
            <a:hlinkClick xmlns:r="http://schemas.openxmlformats.org/officeDocument/2006/relationships" r:id="rId4"/>
            <a:extLst>
              <a:ext uri="{FF2B5EF4-FFF2-40B4-BE49-F238E27FC236}">
                <a16:creationId xmlns:a16="http://schemas.microsoft.com/office/drawing/2014/main" id="{6A7AC09E-3708-9471-D5D3-6086BCDD3A7F}"/>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27" name="Rektangel 26">
            <a:hlinkClick xmlns:r="http://schemas.openxmlformats.org/officeDocument/2006/relationships" r:id="rId5"/>
            <a:extLst>
              <a:ext uri="{FF2B5EF4-FFF2-40B4-BE49-F238E27FC236}">
                <a16:creationId xmlns:a16="http://schemas.microsoft.com/office/drawing/2014/main" id="{A916FBBB-002F-AFE2-6E83-F70A26E32189}"/>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28" name="Rektangel 27">
            <a:hlinkClick xmlns:r="http://schemas.openxmlformats.org/officeDocument/2006/relationships" r:id="rId6"/>
            <a:extLst>
              <a:ext uri="{FF2B5EF4-FFF2-40B4-BE49-F238E27FC236}">
                <a16:creationId xmlns:a16="http://schemas.microsoft.com/office/drawing/2014/main" id="{13E63502-DFAA-E3A6-2D42-6DF5C25FE789}"/>
              </a:ext>
            </a:extLst>
          </xdr:cNvPr>
          <xdr:cNvSpPr/>
        </xdr:nvSpPr>
        <xdr:spPr bwMode="auto">
          <a:xfrm>
            <a:off x="8124824" y="1076325"/>
            <a:ext cx="2047876"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29" name="Rektangel 28">
            <a:hlinkClick xmlns:r="http://schemas.openxmlformats.org/officeDocument/2006/relationships" r:id="rId7"/>
            <a:extLst>
              <a:ext uri="{FF2B5EF4-FFF2-40B4-BE49-F238E27FC236}">
                <a16:creationId xmlns:a16="http://schemas.microsoft.com/office/drawing/2014/main" id="{95149FDD-453D-7201-62CB-AC505E51379D}"/>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30" name="Rektangel 29">
            <a:hlinkClick xmlns:r="http://schemas.openxmlformats.org/officeDocument/2006/relationships" r:id="rId8"/>
            <a:extLst>
              <a:ext uri="{FF2B5EF4-FFF2-40B4-BE49-F238E27FC236}">
                <a16:creationId xmlns:a16="http://schemas.microsoft.com/office/drawing/2014/main" id="{3334C960-2B05-4610-512C-0C6E848CCAFE}"/>
              </a:ext>
            </a:extLst>
          </xdr:cNvPr>
          <xdr:cNvSpPr/>
        </xdr:nvSpPr>
        <xdr:spPr bwMode="auto">
          <a:xfrm>
            <a:off x="11144249" y="1076325"/>
            <a:ext cx="1352552"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31" name="Rektangel 30">
            <a:extLst>
              <a:ext uri="{FF2B5EF4-FFF2-40B4-BE49-F238E27FC236}">
                <a16:creationId xmlns:a16="http://schemas.microsoft.com/office/drawing/2014/main" id="{4AFE218F-F976-AC25-A008-6E2AFBB163E9}"/>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32" name="Rektangel 31">
            <a:hlinkClick xmlns:r="http://schemas.openxmlformats.org/officeDocument/2006/relationships" r:id="rId9"/>
            <a:extLst>
              <a:ext uri="{FF2B5EF4-FFF2-40B4-BE49-F238E27FC236}">
                <a16:creationId xmlns:a16="http://schemas.microsoft.com/office/drawing/2014/main" id="{3CC1BBEE-56FF-B75D-5021-03164F7E7FFC}"/>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A2</a:t>
            </a:r>
          </a:p>
        </xdr:txBody>
      </xdr:sp>
      <xdr:sp macro="" textlink="">
        <xdr:nvSpPr>
          <xdr:cNvPr id="33" name="Rektangel 32">
            <a:hlinkClick xmlns:r="http://schemas.openxmlformats.org/officeDocument/2006/relationships" r:id="rId10"/>
            <a:extLst>
              <a:ext uri="{FF2B5EF4-FFF2-40B4-BE49-F238E27FC236}">
                <a16:creationId xmlns:a16="http://schemas.microsoft.com/office/drawing/2014/main" id="{3F41C3C8-CE75-1F90-8DB7-1CEA5A68F886}"/>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A3</a:t>
            </a:r>
          </a:p>
        </xdr:txBody>
      </xdr:sp>
      <xdr:sp macro="" textlink="">
        <xdr:nvSpPr>
          <xdr:cNvPr id="34" name="Rektangel 33">
            <a:hlinkClick xmlns:r="http://schemas.openxmlformats.org/officeDocument/2006/relationships" r:id="rId11"/>
            <a:extLst>
              <a:ext uri="{FF2B5EF4-FFF2-40B4-BE49-F238E27FC236}">
                <a16:creationId xmlns:a16="http://schemas.microsoft.com/office/drawing/2014/main" id="{EFBF3C08-F133-BCA1-A88C-E6AC673E5498}"/>
              </a:ext>
            </a:extLst>
          </xdr:cNvPr>
          <xdr:cNvSpPr/>
        </xdr:nvSpPr>
        <xdr:spPr bwMode="auto">
          <a:xfrm>
            <a:off x="4095750" y="1076325"/>
            <a:ext cx="9283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a:t>
            </a:r>
          </a:p>
          <a:p>
            <a:pPr algn="ctr"/>
            <a:r>
              <a:rPr lang="sv-SE" sz="1600" b="1">
                <a:solidFill>
                  <a:schemeClr val="bg1"/>
                </a:solidFill>
                <a:latin typeface="Corbel" panose="020B0503020204020204" pitchFamily="34" charset="0"/>
              </a:rPr>
              <a:t>kalkyl A4</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95811</xdr:colOff>
      <xdr:row>20</xdr:row>
      <xdr:rowOff>58830</xdr:rowOff>
    </xdr:from>
    <xdr:to>
      <xdr:col>20</xdr:col>
      <xdr:colOff>352425</xdr:colOff>
      <xdr:row>45</xdr:row>
      <xdr:rowOff>47625</xdr:rowOff>
    </xdr:to>
    <xdr:graphicFrame macro="">
      <xdr:nvGraphicFramePr>
        <xdr:cNvPr id="3" name="Diagram 2">
          <a:extLst>
            <a:ext uri="{FF2B5EF4-FFF2-40B4-BE49-F238E27FC236}">
              <a16:creationId xmlns:a16="http://schemas.microsoft.com/office/drawing/2014/main" id="{8E42A5AC-FBEA-4ACD-BA81-34D87E6D6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78440</xdr:colOff>
      <xdr:row>45</xdr:row>
      <xdr:rowOff>101413</xdr:rowOff>
    </xdr:from>
    <xdr:to>
      <xdr:col>20</xdr:col>
      <xdr:colOff>360828</xdr:colOff>
      <xdr:row>70</xdr:row>
      <xdr:rowOff>34738</xdr:rowOff>
    </xdr:to>
    <xdr:graphicFrame macro="">
      <xdr:nvGraphicFramePr>
        <xdr:cNvPr id="4" name="Diagram 3">
          <a:extLst>
            <a:ext uri="{FF2B5EF4-FFF2-40B4-BE49-F238E27FC236}">
              <a16:creationId xmlns:a16="http://schemas.microsoft.com/office/drawing/2014/main" id="{336DE470-EAE2-4B69-8271-680A37F30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17318</xdr:rowOff>
    </xdr:from>
    <xdr:to>
      <xdr:col>19</xdr:col>
      <xdr:colOff>331281</xdr:colOff>
      <xdr:row>2</xdr:row>
      <xdr:rowOff>1080943</xdr:rowOff>
    </xdr:to>
    <xdr:pic>
      <xdr:nvPicPr>
        <xdr:cNvPr id="8" name="Picture 7">
          <a:extLst>
            <a:ext uri="{FF2B5EF4-FFF2-40B4-BE49-F238E27FC236}">
              <a16:creationId xmlns:a16="http://schemas.microsoft.com/office/drawing/2014/main" id="{D9C8892D-7EB6-6F1A-33D0-890E52BD69F1}"/>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b="25136"/>
        <a:stretch>
          <a:fillRect/>
        </a:stretch>
      </xdr:blipFill>
      <xdr:spPr>
        <a:xfrm>
          <a:off x="0" y="17318"/>
          <a:ext cx="16246690" cy="3609398"/>
        </a:xfrm>
        <a:prstGeom prst="rect">
          <a:avLst/>
        </a:prstGeom>
      </xdr:spPr>
    </xdr:pic>
    <xdr:clientData/>
  </xdr:twoCellAnchor>
  <xdr:oneCellAnchor>
    <xdr:from>
      <xdr:col>1</xdr:col>
      <xdr:colOff>50800</xdr:colOff>
      <xdr:row>52</xdr:row>
      <xdr:rowOff>0</xdr:rowOff>
    </xdr:from>
    <xdr:ext cx="177800" cy="177800"/>
    <xdr:pic>
      <xdr:nvPicPr>
        <xdr:cNvPr id="28" name="Graphic 27" descr="Lightbulb with solid fill">
          <a:extLst>
            <a:ext uri="{FF2B5EF4-FFF2-40B4-BE49-F238E27FC236}">
              <a16:creationId xmlns:a16="http://schemas.microsoft.com/office/drawing/2014/main" id="{FA2E4CFE-6D11-2D44-9F02-91E8C536629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99195" y="6895786"/>
          <a:ext cx="177800" cy="177800"/>
        </a:xfrm>
        <a:prstGeom prst="rect">
          <a:avLst/>
        </a:prstGeom>
      </xdr:spPr>
    </xdr:pic>
    <xdr:clientData/>
  </xdr:oneCellAnchor>
  <xdr:twoCellAnchor>
    <xdr:from>
      <xdr:col>2</xdr:col>
      <xdr:colOff>369441</xdr:colOff>
      <xdr:row>99</xdr:row>
      <xdr:rowOff>86800</xdr:rowOff>
    </xdr:from>
    <xdr:to>
      <xdr:col>20</xdr:col>
      <xdr:colOff>218005</xdr:colOff>
      <xdr:row>129</xdr:row>
      <xdr:rowOff>130967</xdr:rowOff>
    </xdr:to>
    <xdr:graphicFrame macro="">
      <xdr:nvGraphicFramePr>
        <xdr:cNvPr id="14" name="Diagram 5">
          <a:extLst>
            <a:ext uri="{FF2B5EF4-FFF2-40B4-BE49-F238E27FC236}">
              <a16:creationId xmlns:a16="http://schemas.microsoft.com/office/drawing/2014/main" id="{46A53999-2298-4A16-AF63-008748987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683683</xdr:colOff>
      <xdr:row>0</xdr:row>
      <xdr:rowOff>2338916</xdr:rowOff>
    </xdr:from>
    <xdr:to>
      <xdr:col>13</xdr:col>
      <xdr:colOff>398319</xdr:colOff>
      <xdr:row>2</xdr:row>
      <xdr:rowOff>820208</xdr:rowOff>
    </xdr:to>
    <xdr:sp macro="" textlink="Variabler!B6">
      <xdr:nvSpPr>
        <xdr:cNvPr id="10" name="Sammanfattning.Titel">
          <a:extLst>
            <a:ext uri="{FF2B5EF4-FFF2-40B4-BE49-F238E27FC236}">
              <a16:creationId xmlns:a16="http://schemas.microsoft.com/office/drawing/2014/main" id="{6324BE28-A24F-5157-DCBE-B824296B6A40}"/>
            </a:ext>
          </a:extLst>
        </xdr:cNvPr>
        <xdr:cNvSpPr txBox="1"/>
      </xdr:nvSpPr>
      <xdr:spPr>
        <a:xfrm>
          <a:off x="1064683" y="2338916"/>
          <a:ext cx="10798272" cy="1027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E22C02-2605-4C22-A66D-5CA85CAAF612}" type="TxLink">
            <a:rPr lang="en-US" sz="6600" b="0" i="0" u="none" strike="noStrike">
              <a:solidFill>
                <a:schemeClr val="bg1"/>
              </a:solidFill>
              <a:latin typeface="KievitPro-Light" panose="020B0504020101020102" pitchFamily="34" charset="0"/>
              <a:cs typeface="Arial"/>
            </a:rPr>
            <a:pPr/>
            <a:t>Livskostnadskalkyl</a:t>
          </a:fld>
          <a:endParaRPr lang="en-US" sz="6600" b="0" i="0">
            <a:solidFill>
              <a:schemeClr val="bg1"/>
            </a:solidFill>
            <a:latin typeface="KievitPro-Light" panose="020B0504020101020102" pitchFamily="34" charset="0"/>
            <a:cs typeface="Kigelia Arabic Light" panose="020F0302020204030204" pitchFamily="34" charset="0"/>
          </a:endParaRPr>
        </a:p>
      </xdr:txBody>
    </xdr:sp>
    <xdr:clientData/>
  </xdr:twoCellAnchor>
  <xdr:twoCellAnchor>
    <xdr:from>
      <xdr:col>2</xdr:col>
      <xdr:colOff>416730</xdr:colOff>
      <xdr:row>63</xdr:row>
      <xdr:rowOff>119344</xdr:rowOff>
    </xdr:from>
    <xdr:to>
      <xdr:col>20</xdr:col>
      <xdr:colOff>432390</xdr:colOff>
      <xdr:row>91</xdr:row>
      <xdr:rowOff>1581151</xdr:rowOff>
    </xdr:to>
    <xdr:graphicFrame macro="">
      <xdr:nvGraphicFramePr>
        <xdr:cNvPr id="3" name="Chart 13">
          <a:extLst>
            <a:ext uri="{FF2B5EF4-FFF2-40B4-BE49-F238E27FC236}">
              <a16:creationId xmlns:a16="http://schemas.microsoft.com/office/drawing/2014/main" id="{BC871261-A99E-BA40-B9E4-79E4DA8E3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51</xdr:row>
      <xdr:rowOff>60024</xdr:rowOff>
    </xdr:from>
    <xdr:to>
      <xdr:col>19</xdr:col>
      <xdr:colOff>397258</xdr:colOff>
      <xdr:row>52</xdr:row>
      <xdr:rowOff>2695717</xdr:rowOff>
    </xdr:to>
    <xdr:pic>
      <xdr:nvPicPr>
        <xdr:cNvPr id="17" name="Picture 16">
          <a:extLst>
            <a:ext uri="{FF2B5EF4-FFF2-40B4-BE49-F238E27FC236}">
              <a16:creationId xmlns:a16="http://schemas.microsoft.com/office/drawing/2014/main" id="{A99C8B5F-D8FA-A900-DB65-E81F3659CEFF}"/>
            </a:ext>
          </a:extLst>
        </xdr:cNvPr>
        <xdr:cNvPicPr>
          <a:picLocks noChangeAspect="1"/>
        </xdr:cNvPicPr>
      </xdr:nvPicPr>
      <xdr:blipFill rotWithShape="1">
        <a:blip xmlns:r="http://schemas.openxmlformats.org/officeDocument/2006/relationships" r:embed="rId6" cstate="screen">
          <a:extLst>
            <a:ext uri="{28A0092B-C50C-407E-A947-70E740481C1C}">
              <a14:useLocalDpi xmlns:a14="http://schemas.microsoft.com/office/drawing/2010/main"/>
            </a:ext>
          </a:extLst>
        </a:blip>
        <a:srcRect t="30674"/>
        <a:stretch>
          <a:fillRect/>
        </a:stretch>
      </xdr:blipFill>
      <xdr:spPr>
        <a:xfrm>
          <a:off x="52917" y="23819607"/>
          <a:ext cx="18520833" cy="3588193"/>
        </a:xfrm>
        <a:prstGeom prst="rect">
          <a:avLst/>
        </a:prstGeom>
      </xdr:spPr>
    </xdr:pic>
    <xdr:clientData/>
  </xdr:twoCellAnchor>
  <xdr:twoCellAnchor editAs="oneCell">
    <xdr:from>
      <xdr:col>1</xdr:col>
      <xdr:colOff>14430</xdr:colOff>
      <xdr:row>137</xdr:row>
      <xdr:rowOff>42202</xdr:rowOff>
    </xdr:from>
    <xdr:to>
      <xdr:col>19</xdr:col>
      <xdr:colOff>393819</xdr:colOff>
      <xdr:row>148</xdr:row>
      <xdr:rowOff>1740826</xdr:rowOff>
    </xdr:to>
    <xdr:pic>
      <xdr:nvPicPr>
        <xdr:cNvPr id="19" name="Picture 18">
          <a:extLst>
            <a:ext uri="{FF2B5EF4-FFF2-40B4-BE49-F238E27FC236}">
              <a16:creationId xmlns:a16="http://schemas.microsoft.com/office/drawing/2014/main" id="{FB9D36D5-354C-121D-E0FA-2A3A05E947E8}"/>
            </a:ext>
          </a:extLst>
        </xdr:cNvPr>
        <xdr:cNvPicPr>
          <a:picLocks noChangeAspect="1"/>
        </xdr:cNvPicPr>
      </xdr:nvPicPr>
      <xdr:blipFill rotWithShape="1">
        <a:blip xmlns:r="http://schemas.openxmlformats.org/officeDocument/2006/relationships" r:embed="rId7" cstate="screen">
          <a:extLst>
            <a:ext uri="{28A0092B-C50C-407E-A947-70E740481C1C}">
              <a14:useLocalDpi xmlns:a14="http://schemas.microsoft.com/office/drawing/2010/main"/>
            </a:ext>
          </a:extLst>
        </a:blip>
        <a:srcRect t="6733" b="10377"/>
        <a:stretch>
          <a:fillRect/>
        </a:stretch>
      </xdr:blipFill>
      <xdr:spPr>
        <a:xfrm>
          <a:off x="67347" y="49122410"/>
          <a:ext cx="18479945" cy="3762374"/>
        </a:xfrm>
        <a:prstGeom prst="rect">
          <a:avLst/>
        </a:prstGeom>
      </xdr:spPr>
    </xdr:pic>
    <xdr:clientData/>
  </xdr:twoCellAnchor>
  <xdr:twoCellAnchor editAs="oneCell">
    <xdr:from>
      <xdr:col>5</xdr:col>
      <xdr:colOff>43484</xdr:colOff>
      <xdr:row>157</xdr:row>
      <xdr:rowOff>111366</xdr:rowOff>
    </xdr:from>
    <xdr:to>
      <xdr:col>6</xdr:col>
      <xdr:colOff>67541</xdr:colOff>
      <xdr:row>159</xdr:row>
      <xdr:rowOff>83285</xdr:rowOff>
    </xdr:to>
    <xdr:pic>
      <xdr:nvPicPr>
        <xdr:cNvPr id="11" name="Graphic 10" descr="Electric Tower with solid fill">
          <a:extLst>
            <a:ext uri="{FF2B5EF4-FFF2-40B4-BE49-F238E27FC236}">
              <a16:creationId xmlns:a16="http://schemas.microsoft.com/office/drawing/2014/main" id="{D548E6D6-BE6D-4BF1-6231-47A5E856A55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573337" y="57261366"/>
          <a:ext cx="965351" cy="913213"/>
        </a:xfrm>
        <a:prstGeom prst="rect">
          <a:avLst/>
        </a:prstGeom>
      </xdr:spPr>
    </xdr:pic>
    <xdr:clientData/>
  </xdr:twoCellAnchor>
  <xdr:twoCellAnchor editAs="oneCell">
    <xdr:from>
      <xdr:col>5</xdr:col>
      <xdr:colOff>179636</xdr:colOff>
      <xdr:row>154</xdr:row>
      <xdr:rowOff>413923</xdr:rowOff>
    </xdr:from>
    <xdr:to>
      <xdr:col>6</xdr:col>
      <xdr:colOff>149330</xdr:colOff>
      <xdr:row>156</xdr:row>
      <xdr:rowOff>60871</xdr:rowOff>
    </xdr:to>
    <xdr:pic>
      <xdr:nvPicPr>
        <xdr:cNvPr id="18" name="Graphic 17" descr="Open hand with plant with solid fill">
          <a:extLst>
            <a:ext uri="{FF2B5EF4-FFF2-40B4-BE49-F238E27FC236}">
              <a16:creationId xmlns:a16="http://schemas.microsoft.com/office/drawing/2014/main" id="{8CA54A64-0D63-2D05-3F11-5E2D2D8B394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709489" y="56129570"/>
          <a:ext cx="910988" cy="913213"/>
        </a:xfrm>
        <a:prstGeom prst="rect">
          <a:avLst/>
        </a:prstGeom>
      </xdr:spPr>
    </xdr:pic>
    <xdr:clientData/>
  </xdr:twoCellAnchor>
  <xdr:twoCellAnchor editAs="oneCell">
    <xdr:from>
      <xdr:col>5</xdr:col>
      <xdr:colOff>94402</xdr:colOff>
      <xdr:row>160</xdr:row>
      <xdr:rowOff>110297</xdr:rowOff>
    </xdr:from>
    <xdr:to>
      <xdr:col>6</xdr:col>
      <xdr:colOff>84826</xdr:colOff>
      <xdr:row>162</xdr:row>
      <xdr:rowOff>183069</xdr:rowOff>
    </xdr:to>
    <xdr:pic>
      <xdr:nvPicPr>
        <xdr:cNvPr id="21" name="Graphic 20" descr="Piggy Bank with solid fill">
          <a:extLst>
            <a:ext uri="{FF2B5EF4-FFF2-40B4-BE49-F238E27FC236}">
              <a16:creationId xmlns:a16="http://schemas.microsoft.com/office/drawing/2014/main" id="{9819D55E-F779-6511-183F-39F1AE890AD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624255" y="58425709"/>
          <a:ext cx="931718" cy="913213"/>
        </a:xfrm>
        <a:prstGeom prst="rect">
          <a:avLst/>
        </a:prstGeom>
      </xdr:spPr>
    </xdr:pic>
    <xdr:clientData/>
  </xdr:twoCellAnchor>
  <xdr:twoCellAnchor>
    <xdr:from>
      <xdr:col>3</xdr:col>
      <xdr:colOff>10644</xdr:colOff>
      <xdr:row>52</xdr:row>
      <xdr:rowOff>3212268</xdr:rowOff>
    </xdr:from>
    <xdr:to>
      <xdr:col>10</xdr:col>
      <xdr:colOff>827553</xdr:colOff>
      <xdr:row>58</xdr:row>
      <xdr:rowOff>1233719</xdr:rowOff>
    </xdr:to>
    <xdr:graphicFrame macro="">
      <xdr:nvGraphicFramePr>
        <xdr:cNvPr id="20" name="Diagram 2">
          <a:extLst>
            <a:ext uri="{FF2B5EF4-FFF2-40B4-BE49-F238E27FC236}">
              <a16:creationId xmlns:a16="http://schemas.microsoft.com/office/drawing/2014/main" id="{01107FAB-50EE-7146-8C95-F01A5AA7F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10</xdr:col>
      <xdr:colOff>249106</xdr:colOff>
      <xdr:row>52</xdr:row>
      <xdr:rowOff>3193677</xdr:rowOff>
    </xdr:from>
    <xdr:to>
      <xdr:col>19</xdr:col>
      <xdr:colOff>174200</xdr:colOff>
      <xdr:row>58</xdr:row>
      <xdr:rowOff>837448</xdr:rowOff>
    </xdr:to>
    <xdr:graphicFrame macro="">
      <xdr:nvGraphicFramePr>
        <xdr:cNvPr id="22" name="Diagram 3">
          <a:extLst>
            <a:ext uri="{FF2B5EF4-FFF2-40B4-BE49-F238E27FC236}">
              <a16:creationId xmlns:a16="http://schemas.microsoft.com/office/drawing/2014/main" id="{B744202C-FDEE-084D-876D-D83A7AFB0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228600</xdr:colOff>
      <xdr:row>0</xdr:row>
      <xdr:rowOff>0</xdr:rowOff>
    </xdr:from>
    <xdr:to>
      <xdr:col>7</xdr:col>
      <xdr:colOff>605376</xdr:colOff>
      <xdr:row>60</xdr:row>
      <xdr:rowOff>152400</xdr:rowOff>
    </xdr:to>
    <xdr:pic>
      <xdr:nvPicPr>
        <xdr:cNvPr id="2" name="Picture 3">
          <a:extLst>
            <a:ext uri="{FF2B5EF4-FFF2-40B4-BE49-F238E27FC236}">
              <a16:creationId xmlns:a16="http://schemas.microsoft.com/office/drawing/2014/main" id="{740E55B2-A973-454F-998F-F3BA6C252EC5}"/>
            </a:ext>
          </a:extLst>
        </xdr:cNvPr>
        <xdr:cNvPicPr>
          <a:picLocks noChangeAspect="1"/>
        </xdr:cNvPicPr>
      </xdr:nvPicPr>
      <xdr:blipFill rotWithShape="1">
        <a:blip xmlns:r="http://schemas.openxmlformats.org/officeDocument/2006/relationships" r:embed="rId1"/>
        <a:srcRect l="13401"/>
        <a:stretch>
          <a:fillRect/>
        </a:stretch>
      </xdr:blipFill>
      <xdr:spPr>
        <a:xfrm>
          <a:off x="228600" y="0"/>
          <a:ext cx="5444076" cy="9867900"/>
        </a:xfrm>
        <a:prstGeom prst="rect">
          <a:avLst/>
        </a:prstGeom>
      </xdr:spPr>
    </xdr:pic>
    <xdr:clientData/>
  </xdr:twoCellAnchor>
  <xdr:twoCellAnchor editAs="oneCell">
    <xdr:from>
      <xdr:col>7</xdr:col>
      <xdr:colOff>695325</xdr:colOff>
      <xdr:row>6</xdr:row>
      <xdr:rowOff>47625</xdr:rowOff>
    </xdr:from>
    <xdr:to>
      <xdr:col>15</xdr:col>
      <xdr:colOff>475201</xdr:colOff>
      <xdr:row>53</xdr:row>
      <xdr:rowOff>47625</xdr:rowOff>
    </xdr:to>
    <xdr:pic>
      <xdr:nvPicPr>
        <xdr:cNvPr id="3" name="Picture 4">
          <a:extLst>
            <a:ext uri="{FF2B5EF4-FFF2-40B4-BE49-F238E27FC236}">
              <a16:creationId xmlns:a16="http://schemas.microsoft.com/office/drawing/2014/main" id="{319DEBE3-5700-4304-867F-1910434763D9}"/>
            </a:ext>
          </a:extLst>
        </xdr:cNvPr>
        <xdr:cNvPicPr>
          <a:picLocks noChangeAspect="1"/>
        </xdr:cNvPicPr>
      </xdr:nvPicPr>
      <xdr:blipFill rotWithShape="1">
        <a:blip xmlns:r="http://schemas.openxmlformats.org/officeDocument/2006/relationships" r:embed="rId2"/>
        <a:srcRect l="11614" t="19065" b="3789"/>
        <a:stretch>
          <a:fillRect/>
        </a:stretch>
      </xdr:blipFill>
      <xdr:spPr>
        <a:xfrm>
          <a:off x="5762625" y="1019175"/>
          <a:ext cx="5571076" cy="7610475"/>
        </a:xfrm>
        <a:prstGeom prst="rect">
          <a:avLst/>
        </a:prstGeom>
      </xdr:spPr>
    </xdr:pic>
    <xdr:clientData/>
  </xdr:twoCellAnchor>
  <xdr:twoCellAnchor editAs="oneCell">
    <xdr:from>
      <xdr:col>15</xdr:col>
      <xdr:colOff>469900</xdr:colOff>
      <xdr:row>1</xdr:row>
      <xdr:rowOff>28575</xdr:rowOff>
    </xdr:from>
    <xdr:to>
      <xdr:col>24</xdr:col>
      <xdr:colOff>249776</xdr:colOff>
      <xdr:row>62</xdr:row>
      <xdr:rowOff>15875</xdr:rowOff>
    </xdr:to>
    <xdr:pic>
      <xdr:nvPicPr>
        <xdr:cNvPr id="4" name="Picture 5">
          <a:extLst>
            <a:ext uri="{FF2B5EF4-FFF2-40B4-BE49-F238E27FC236}">
              <a16:creationId xmlns:a16="http://schemas.microsoft.com/office/drawing/2014/main" id="{AA1476A8-F21C-45EE-A4AF-2BF93DC6E693}"/>
            </a:ext>
          </a:extLst>
        </xdr:cNvPr>
        <xdr:cNvPicPr>
          <a:picLocks noChangeAspect="1"/>
        </xdr:cNvPicPr>
      </xdr:nvPicPr>
      <xdr:blipFill>
        <a:blip xmlns:r="http://schemas.openxmlformats.org/officeDocument/2006/relationships" r:embed="rId3"/>
        <a:stretch>
          <a:fillRect/>
        </a:stretch>
      </xdr:blipFill>
      <xdr:spPr>
        <a:xfrm>
          <a:off x="11328400" y="190500"/>
          <a:ext cx="6294976" cy="98647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228600</xdr:colOff>
      <xdr:row>0</xdr:row>
      <xdr:rowOff>0</xdr:rowOff>
    </xdr:from>
    <xdr:to>
      <xdr:col>7</xdr:col>
      <xdr:colOff>605376</xdr:colOff>
      <xdr:row>60</xdr:row>
      <xdr:rowOff>152400</xdr:rowOff>
    </xdr:to>
    <xdr:pic>
      <xdr:nvPicPr>
        <xdr:cNvPr id="4" name="Picture 3">
          <a:extLst>
            <a:ext uri="{FF2B5EF4-FFF2-40B4-BE49-F238E27FC236}">
              <a16:creationId xmlns:a16="http://schemas.microsoft.com/office/drawing/2014/main" id="{D7F4C19B-E6D0-0A90-6DD1-CF95F76C4626}"/>
            </a:ext>
          </a:extLst>
        </xdr:cNvPr>
        <xdr:cNvPicPr>
          <a:picLocks noChangeAspect="1"/>
        </xdr:cNvPicPr>
      </xdr:nvPicPr>
      <xdr:blipFill rotWithShape="1">
        <a:blip xmlns:r="http://schemas.openxmlformats.org/officeDocument/2006/relationships" r:embed="rId1"/>
        <a:srcRect l="13401"/>
        <a:stretch>
          <a:fillRect/>
        </a:stretch>
      </xdr:blipFill>
      <xdr:spPr>
        <a:xfrm>
          <a:off x="228600" y="0"/>
          <a:ext cx="6155276" cy="10058400"/>
        </a:xfrm>
        <a:prstGeom prst="rect">
          <a:avLst/>
        </a:prstGeom>
      </xdr:spPr>
    </xdr:pic>
    <xdr:clientData/>
  </xdr:twoCellAnchor>
  <xdr:twoCellAnchor editAs="oneCell">
    <xdr:from>
      <xdr:col>8</xdr:col>
      <xdr:colOff>0</xdr:colOff>
      <xdr:row>12</xdr:row>
      <xdr:rowOff>76200</xdr:rowOff>
    </xdr:from>
    <xdr:to>
      <xdr:col>15</xdr:col>
      <xdr:colOff>503776</xdr:colOff>
      <xdr:row>59</xdr:row>
      <xdr:rowOff>76200</xdr:rowOff>
    </xdr:to>
    <xdr:pic>
      <xdr:nvPicPr>
        <xdr:cNvPr id="5" name="Picture 4">
          <a:extLst>
            <a:ext uri="{FF2B5EF4-FFF2-40B4-BE49-F238E27FC236}">
              <a16:creationId xmlns:a16="http://schemas.microsoft.com/office/drawing/2014/main" id="{A184FD3D-4D64-8BB4-584F-9554468379B6}"/>
            </a:ext>
          </a:extLst>
        </xdr:cNvPr>
        <xdr:cNvPicPr>
          <a:picLocks noChangeAspect="1"/>
        </xdr:cNvPicPr>
      </xdr:nvPicPr>
      <xdr:blipFill rotWithShape="1">
        <a:blip xmlns:r="http://schemas.openxmlformats.org/officeDocument/2006/relationships" r:embed="rId2"/>
        <a:srcRect l="11614" t="19065" b="3789"/>
        <a:stretch>
          <a:fillRect/>
        </a:stretch>
      </xdr:blipFill>
      <xdr:spPr>
        <a:xfrm>
          <a:off x="6604000" y="2057400"/>
          <a:ext cx="6282276" cy="7759700"/>
        </a:xfrm>
        <a:prstGeom prst="rect">
          <a:avLst/>
        </a:prstGeom>
      </xdr:spPr>
    </xdr:pic>
    <xdr:clientData/>
  </xdr:twoCellAnchor>
  <xdr:twoCellAnchor editAs="oneCell">
    <xdr:from>
      <xdr:col>14</xdr:col>
      <xdr:colOff>50800</xdr:colOff>
      <xdr:row>0</xdr:row>
      <xdr:rowOff>114300</xdr:rowOff>
    </xdr:from>
    <xdr:to>
      <xdr:col>22</xdr:col>
      <xdr:colOff>554576</xdr:colOff>
      <xdr:row>61</xdr:row>
      <xdr:rowOff>101600</xdr:rowOff>
    </xdr:to>
    <xdr:pic>
      <xdr:nvPicPr>
        <xdr:cNvPr id="6" name="Picture 5">
          <a:extLst>
            <a:ext uri="{FF2B5EF4-FFF2-40B4-BE49-F238E27FC236}">
              <a16:creationId xmlns:a16="http://schemas.microsoft.com/office/drawing/2014/main" id="{825B5FB4-00B7-76D9-DA83-C7F73A20E595}"/>
            </a:ext>
          </a:extLst>
        </xdr:cNvPr>
        <xdr:cNvPicPr>
          <a:picLocks noChangeAspect="1"/>
        </xdr:cNvPicPr>
      </xdr:nvPicPr>
      <xdr:blipFill>
        <a:blip xmlns:r="http://schemas.openxmlformats.org/officeDocument/2006/relationships" r:embed="rId3"/>
        <a:stretch>
          <a:fillRect/>
        </a:stretch>
      </xdr:blipFill>
      <xdr:spPr>
        <a:xfrm>
          <a:off x="11607800" y="114300"/>
          <a:ext cx="7107776" cy="100584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85725</xdr:colOff>
      <xdr:row>0</xdr:row>
      <xdr:rowOff>95250</xdr:rowOff>
    </xdr:from>
    <xdr:to>
      <xdr:col>5</xdr:col>
      <xdr:colOff>418782</xdr:colOff>
      <xdr:row>4</xdr:row>
      <xdr:rowOff>95136</xdr:rowOff>
    </xdr:to>
    <xdr:pic>
      <xdr:nvPicPr>
        <xdr:cNvPr id="2" name="Bildobjekt 1">
          <a:extLst>
            <a:ext uri="{FF2B5EF4-FFF2-40B4-BE49-F238E27FC236}">
              <a16:creationId xmlns:a16="http://schemas.microsoft.com/office/drawing/2014/main" id="{09807CBC-AD07-4D5E-86F4-512C67BB5FF5}"/>
            </a:ext>
          </a:extLst>
        </xdr:cNvPr>
        <xdr:cNvPicPr>
          <a:picLocks noChangeAspect="1"/>
        </xdr:cNvPicPr>
      </xdr:nvPicPr>
      <xdr:blipFill>
        <a:blip xmlns:r="http://schemas.openxmlformats.org/officeDocument/2006/relationships" r:embed="rId1"/>
        <a:stretch>
          <a:fillRect/>
        </a:stretch>
      </xdr:blipFill>
      <xdr:spPr>
        <a:xfrm>
          <a:off x="638175" y="95250"/>
          <a:ext cx="2542857" cy="914286"/>
        </a:xfrm>
        <a:prstGeom prst="rect">
          <a:avLst/>
        </a:prstGeom>
      </xdr:spPr>
    </xdr:pic>
    <xdr:clientData/>
  </xdr:twoCellAnchor>
  <xdr:twoCellAnchor>
    <xdr:from>
      <xdr:col>0</xdr:col>
      <xdr:colOff>0</xdr:colOff>
      <xdr:row>5</xdr:row>
      <xdr:rowOff>0</xdr:rowOff>
    </xdr:from>
    <xdr:to>
      <xdr:col>22</xdr:col>
      <xdr:colOff>342901</xdr:colOff>
      <xdr:row>5</xdr:row>
      <xdr:rowOff>514800</xdr:rowOff>
    </xdr:to>
    <xdr:grpSp>
      <xdr:nvGrpSpPr>
        <xdr:cNvPr id="3" name="Grupp 2">
          <a:extLst>
            <a:ext uri="{FF2B5EF4-FFF2-40B4-BE49-F238E27FC236}">
              <a16:creationId xmlns:a16="http://schemas.microsoft.com/office/drawing/2014/main" id="{525BE628-06C8-4DB6-8F8E-04F207E08DE9}"/>
            </a:ext>
          </a:extLst>
        </xdr:cNvPr>
        <xdr:cNvGrpSpPr/>
      </xdr:nvGrpSpPr>
      <xdr:grpSpPr>
        <a:xfrm>
          <a:off x="0" y="1193800"/>
          <a:ext cx="14592301" cy="514800"/>
          <a:chOff x="0" y="1076325"/>
          <a:chExt cx="12496801" cy="514800"/>
        </a:xfrm>
      </xdr:grpSpPr>
      <xdr:sp macro="" textlink="">
        <xdr:nvSpPr>
          <xdr:cNvPr id="4" name="Rektangel 3">
            <a:hlinkClick xmlns:r="http://schemas.openxmlformats.org/officeDocument/2006/relationships" r:id="rId2"/>
            <a:extLst>
              <a:ext uri="{FF2B5EF4-FFF2-40B4-BE49-F238E27FC236}">
                <a16:creationId xmlns:a16="http://schemas.microsoft.com/office/drawing/2014/main" id="{62C1C1BA-DCA9-A4DD-3B6C-3B472B1631C3}"/>
              </a:ext>
            </a:extLst>
          </xdr:cNvPr>
          <xdr:cNvSpPr/>
        </xdr:nvSpPr>
        <xdr:spPr bwMode="auto">
          <a:xfrm>
            <a:off x="88473" y="1076325"/>
            <a:ext cx="147761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Introduktion</a:t>
            </a:r>
          </a:p>
        </xdr:txBody>
      </xdr:sp>
      <xdr:sp macro="" textlink="">
        <xdr:nvSpPr>
          <xdr:cNvPr id="5" name="Rektangel 4">
            <a:hlinkClick xmlns:r="http://schemas.openxmlformats.org/officeDocument/2006/relationships" r:id="rId3"/>
            <a:extLst>
              <a:ext uri="{FF2B5EF4-FFF2-40B4-BE49-F238E27FC236}">
                <a16:creationId xmlns:a16="http://schemas.microsoft.com/office/drawing/2014/main" id="{71C13735-4666-3CF7-B79D-FF0DB151D353}"/>
              </a:ext>
            </a:extLst>
          </xdr:cNvPr>
          <xdr:cNvSpPr/>
        </xdr:nvSpPr>
        <xdr:spPr bwMode="auto">
          <a:xfrm>
            <a:off x="15240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A1</a:t>
            </a:r>
          </a:p>
        </xdr:txBody>
      </xdr:sp>
      <xdr:sp macro="" textlink="">
        <xdr:nvSpPr>
          <xdr:cNvPr id="6" name="Rektangel 5">
            <a:hlinkClick xmlns:r="http://schemas.openxmlformats.org/officeDocument/2006/relationships" r:id="rId4"/>
            <a:extLst>
              <a:ext uri="{FF2B5EF4-FFF2-40B4-BE49-F238E27FC236}">
                <a16:creationId xmlns:a16="http://schemas.microsoft.com/office/drawing/2014/main" id="{EF589F2F-7EC3-8D3D-F2D2-79FAC529D78B}"/>
              </a:ext>
            </a:extLst>
          </xdr:cNvPr>
          <xdr:cNvSpPr/>
        </xdr:nvSpPr>
        <xdr:spPr bwMode="auto">
          <a:xfrm>
            <a:off x="4952999" y="1076325"/>
            <a:ext cx="131445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Kalkyl-parametrar</a:t>
            </a:r>
          </a:p>
        </xdr:txBody>
      </xdr:sp>
      <xdr:sp macro="" textlink="">
        <xdr:nvSpPr>
          <xdr:cNvPr id="7" name="Rektangel 6">
            <a:hlinkClick xmlns:r="http://schemas.openxmlformats.org/officeDocument/2006/relationships" r:id="rId5"/>
            <a:extLst>
              <a:ext uri="{FF2B5EF4-FFF2-40B4-BE49-F238E27FC236}">
                <a16:creationId xmlns:a16="http://schemas.microsoft.com/office/drawing/2014/main" id="{39CA3E21-958B-FFB2-FC05-7B36E289381D}"/>
              </a:ext>
            </a:extLst>
          </xdr:cNvPr>
          <xdr:cNvSpPr/>
        </xdr:nvSpPr>
        <xdr:spPr bwMode="auto">
          <a:xfrm>
            <a:off x="6276973" y="1076325"/>
            <a:ext cx="1838327"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Reduktionsfaktorer styrning</a:t>
            </a:r>
          </a:p>
        </xdr:txBody>
      </xdr:sp>
      <xdr:sp macro="" textlink="">
        <xdr:nvSpPr>
          <xdr:cNvPr id="8" name="Rektangel 7">
            <a:hlinkClick xmlns:r="http://schemas.openxmlformats.org/officeDocument/2006/relationships" r:id="rId6"/>
            <a:extLst>
              <a:ext uri="{FF2B5EF4-FFF2-40B4-BE49-F238E27FC236}">
                <a16:creationId xmlns:a16="http://schemas.microsoft.com/office/drawing/2014/main" id="{D3902D7C-BA15-9001-BDB0-1FED04D0CC67}"/>
              </a:ext>
            </a:extLst>
          </xdr:cNvPr>
          <xdr:cNvSpPr/>
        </xdr:nvSpPr>
        <xdr:spPr bwMode="auto">
          <a:xfrm>
            <a:off x="8124824" y="1076325"/>
            <a:ext cx="2047876"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Beräkningsfaktorer klimatpåverkan</a:t>
            </a:r>
          </a:p>
        </xdr:txBody>
      </xdr:sp>
      <xdr:sp macro="" textlink="">
        <xdr:nvSpPr>
          <xdr:cNvPr id="9" name="Rektangel 8">
            <a:hlinkClick xmlns:r="http://schemas.openxmlformats.org/officeDocument/2006/relationships" r:id="rId7"/>
            <a:extLst>
              <a:ext uri="{FF2B5EF4-FFF2-40B4-BE49-F238E27FC236}">
                <a16:creationId xmlns:a16="http://schemas.microsoft.com/office/drawing/2014/main" id="{0235D7C3-F15D-EB8F-608F-E32524A8ACE5}"/>
              </a:ext>
            </a:extLst>
          </xdr:cNvPr>
          <xdr:cNvSpPr/>
        </xdr:nvSpPr>
        <xdr:spPr bwMode="auto">
          <a:xfrm>
            <a:off x="10182224" y="1076325"/>
            <a:ext cx="952501"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Resultat</a:t>
            </a:r>
          </a:p>
        </xdr:txBody>
      </xdr:sp>
      <xdr:sp macro="" textlink="">
        <xdr:nvSpPr>
          <xdr:cNvPr id="10" name="Rektangel 9">
            <a:hlinkClick xmlns:r="http://schemas.openxmlformats.org/officeDocument/2006/relationships" r:id="rId8"/>
            <a:extLst>
              <a:ext uri="{FF2B5EF4-FFF2-40B4-BE49-F238E27FC236}">
                <a16:creationId xmlns:a16="http://schemas.microsoft.com/office/drawing/2014/main" id="{DD8A1E6B-7DC5-E787-85D6-1BC29560E257}"/>
              </a:ext>
            </a:extLst>
          </xdr:cNvPr>
          <xdr:cNvSpPr/>
        </xdr:nvSpPr>
        <xdr:spPr bwMode="auto">
          <a:xfrm>
            <a:off x="11144249" y="1076325"/>
            <a:ext cx="1352552" cy="514800"/>
          </a:xfrm>
          <a:prstGeom prst="rect">
            <a:avLst/>
          </a:prstGeom>
          <a:solidFill>
            <a:srgbClr val="471F65"/>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Svarsformulär</a:t>
            </a:r>
          </a:p>
        </xdr:txBody>
      </xdr:sp>
      <xdr:sp macro="" textlink="">
        <xdr:nvSpPr>
          <xdr:cNvPr id="11" name="Rektangel 10">
            <a:extLst>
              <a:ext uri="{FF2B5EF4-FFF2-40B4-BE49-F238E27FC236}">
                <a16:creationId xmlns:a16="http://schemas.microsoft.com/office/drawing/2014/main" id="{F4F61D40-56B0-8735-4D5D-3C16C464468F}"/>
              </a:ext>
            </a:extLst>
          </xdr:cNvPr>
          <xdr:cNvSpPr/>
        </xdr:nvSpPr>
        <xdr:spPr bwMode="auto">
          <a:xfrm>
            <a:off x="0" y="1085851"/>
            <a:ext cx="533400" cy="47625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sv-SE" sz="1100"/>
          </a:p>
        </xdr:txBody>
      </xdr:sp>
      <xdr:sp macro="" textlink="">
        <xdr:nvSpPr>
          <xdr:cNvPr id="12" name="Rektangel 11">
            <a:hlinkClick xmlns:r="http://schemas.openxmlformats.org/officeDocument/2006/relationships" r:id="rId9"/>
            <a:extLst>
              <a:ext uri="{FF2B5EF4-FFF2-40B4-BE49-F238E27FC236}">
                <a16:creationId xmlns:a16="http://schemas.microsoft.com/office/drawing/2014/main" id="{372F0543-6377-F95D-5057-3BE5FE76A62A}"/>
              </a:ext>
            </a:extLst>
          </xdr:cNvPr>
          <xdr:cNvSpPr/>
        </xdr:nvSpPr>
        <xdr:spPr bwMode="auto">
          <a:xfrm>
            <a:off x="23812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A2</a:t>
            </a:r>
          </a:p>
        </xdr:txBody>
      </xdr:sp>
      <xdr:sp macro="" textlink="">
        <xdr:nvSpPr>
          <xdr:cNvPr id="13" name="Rektangel 12">
            <a:hlinkClick xmlns:r="http://schemas.openxmlformats.org/officeDocument/2006/relationships" r:id="rId10"/>
            <a:extLst>
              <a:ext uri="{FF2B5EF4-FFF2-40B4-BE49-F238E27FC236}">
                <a16:creationId xmlns:a16="http://schemas.microsoft.com/office/drawing/2014/main" id="{06C22D64-FA06-0D58-CF78-2D08FB238BC7}"/>
              </a:ext>
            </a:extLst>
          </xdr:cNvPr>
          <xdr:cNvSpPr/>
        </xdr:nvSpPr>
        <xdr:spPr bwMode="auto">
          <a:xfrm>
            <a:off x="323850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A3</a:t>
            </a:r>
          </a:p>
        </xdr:txBody>
      </xdr:sp>
      <xdr:sp macro="" textlink="">
        <xdr:nvSpPr>
          <xdr:cNvPr id="14" name="Rektangel 13">
            <a:hlinkClick xmlns:r="http://schemas.openxmlformats.org/officeDocument/2006/relationships" r:id="rId11"/>
            <a:extLst>
              <a:ext uri="{FF2B5EF4-FFF2-40B4-BE49-F238E27FC236}">
                <a16:creationId xmlns:a16="http://schemas.microsoft.com/office/drawing/2014/main" id="{393111FE-D10D-EC4D-1202-1E0BA8BA9486}"/>
              </a:ext>
            </a:extLst>
          </xdr:cNvPr>
          <xdr:cNvSpPr/>
        </xdr:nvSpPr>
        <xdr:spPr bwMode="auto">
          <a:xfrm>
            <a:off x="4095750" y="1076325"/>
            <a:ext cx="847725" cy="514800"/>
          </a:xfrm>
          <a:prstGeom prst="rect">
            <a:avLst/>
          </a:prstGeom>
          <a:solidFill>
            <a:srgbClr val="6B2879"/>
          </a:solidFill>
          <a:ln w="9525" cap="flat" cmpd="sng" algn="ctr">
            <a:noFill/>
            <a:prstDash val="solid"/>
            <a:round/>
            <a:headEnd type="none" w="med" len="med"/>
            <a:tailEnd type="none" w="med" len="med"/>
          </a:ln>
          <a:effectLst/>
        </xdr:spPr>
        <xdr:txBody>
          <a:bodyPr vertOverflow="clip" horzOverflow="clip" wrap="square" lIns="18288" tIns="0" rIns="0" bIns="0" rtlCol="0" anchor="ctr" upright="1"/>
          <a:lstStyle/>
          <a:p>
            <a:pPr algn="ctr"/>
            <a:r>
              <a:rPr lang="sv-SE" sz="1600" b="1">
                <a:solidFill>
                  <a:schemeClr val="bg1"/>
                </a:solidFill>
                <a:latin typeface="Corbel" panose="020B0503020204020204" pitchFamily="34" charset="0"/>
              </a:rPr>
              <a:t>LCC-kalkyl A4</a:t>
            </a:r>
          </a:p>
        </xdr:txBody>
      </xdr:sp>
    </xdr:grp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BC9/Delade%20dokument/LCC/Arkiv/LCC-dokument%20Mikael.xlsx" TargetMode="External"/><Relationship Id="rId2" Type="http://schemas.openxmlformats.org/officeDocument/2006/relationships/externalLinkPath" Target="https://auralight.sharepoint.com/teams/ABC9/Delade%20dokument/LCC/Arkiv/LCC-dokument%20Mikael.xlsx" TargetMode="External"/><Relationship Id="rId1" Type="http://schemas.openxmlformats.org/officeDocument/2006/relationships/externalLinkPath" Target="/teams/ABC9/Delade%20dokument/LCC/Arkiv/LCC-dokument%20Mika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Introduktion"/>
      <sheetName val="Förutsättningar"/>
      <sheetName val="1. LCC Befintlig Installation"/>
      <sheetName val="2. LCC Ny Installation"/>
      <sheetName val="2. LCC A3"/>
      <sheetName val="2. LCC A4"/>
      <sheetName val="3. Kalkylparametrar"/>
      <sheetName val="4. Reduktionsfaktorer, LENI-tal"/>
      <sheetName val="5. Beräkningsfaktorer klimat"/>
      <sheetName val="6. Resultat"/>
      <sheetName val="Sammanfattning"/>
      <sheetName val="Blad2"/>
      <sheetName val="Lasttabeller"/>
      <sheetName val="7. Svarsformulär"/>
    </sheetNames>
    <sheetDataSet>
      <sheetData sheetId="0"/>
      <sheetData sheetId="1"/>
      <sheetData sheetId="2"/>
      <sheetData sheetId="3"/>
      <sheetData sheetId="4"/>
      <sheetData sheetId="5"/>
      <sheetData sheetId="6"/>
      <sheetData sheetId="7">
        <row r="13">
          <cell r="S13" t="str">
            <v>Sporthall</v>
          </cell>
        </row>
      </sheetData>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Emil Gustavsson" id="{6A3003CC-4F71-B142-AF84-C93C812AE4A8}" userId="S::emgus@auralight.com::849e498f-4ea1-4133-8252-f1d5d48419c2"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Lightbulb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70C6DA-4DB3-48C4-9CDC-90AD43D2C176}" name="tblDefaults" displayName="tblDefaults" ref="B12:D16" totalsRowShown="0">
  <autoFilter ref="B12:D16" xr:uid="{7970C6DA-4DB3-48C4-9CDC-90AD43D2C176}"/>
  <tableColumns count="3">
    <tableColumn id="1" xr3:uid="{89636816-7E62-4FE3-9000-70C07DE2E226}" name="Region"/>
    <tableColumn id="2" xr3:uid="{C5BF3736-3583-4340-8DDC-164644C780A0}" name="Price/kWh"/>
    <tableColumn id="3" xr3:uid="{15ED63B6-FBE3-420F-A178-98D6B12FD8CB}" name="CO2_kg_kW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B2F3E2-0762-46FB-9818-E010F6998867}" name="tblStrings" displayName="tblStrings" ref="A1:G556" totalsRowShown="0">
  <autoFilter ref="A1:G556" xr:uid="{00000000-0001-0000-0000-000000000000}"/>
  <sortState xmlns:xlrd2="http://schemas.microsoft.com/office/spreadsheetml/2017/richdata2" ref="A259:G520">
    <sortCondition ref="D1:D540"/>
  </sortState>
  <tableColumns count="7">
    <tableColumn id="1" xr3:uid="{F3156977-E56A-409E-B83B-566FDAA4F872}" name="Key" dataDxfId="35" dataCellStyle="Normal 5"/>
    <tableColumn id="2" xr3:uid="{E7114D11-A592-4EFA-9CCF-81A9482804F7}" name="SE" dataCellStyle="Normal 5"/>
    <tableColumn id="3" xr3:uid="{EC1A27FD-344E-4367-903E-797F0173DEE2}" name="Sheet" dataDxfId="34" dataCellStyle="Normal 5"/>
    <tableColumn id="4" xr3:uid="{9FBA1115-EEDE-46EB-9875-C552E7988DC0}" name="Cell" dataDxfId="33" dataCellStyle="Normal 5"/>
    <tableColumn id="5" xr3:uid="{DA1536A8-039C-4377-873C-52A3F6F31AD8}" name="NO" dataCellStyle="Normal 5"/>
    <tableColumn id="6" xr3:uid="{94E146B2-2883-4BB4-9BCA-BDF1CDB9CE7C}" name="DE" dataDxfId="32" dataCellStyle="Normal 5"/>
    <tableColumn id="7" xr3:uid="{7C743148-428E-4D11-9C64-C1B271570D88}" name="EN" dataDxfId="31" dataCellStyle="Normal 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C9C931-A134-4218-A2B1-CA7F1541DACD}" name="Tabell1" displayName="Tabell1" ref="B1:N12" totalsRowCount="1">
  <autoFilter ref="B1:N11" xr:uid="{BAC9C931-A134-4218-A2B1-CA7F1541DACD}"/>
  <tableColumns count="13">
    <tableColumn id="1" xr3:uid="{A32A8062-EF82-47CD-BEDF-65077F6D3042}" name="Rum" totalsRowLabel="Summa" dataDxfId="30">
      <calculatedColumnFormula>IF(G38&lt;&gt;0,C38,"")</calculatedColumnFormula>
    </tableColumn>
    <tableColumn id="2" xr3:uid="{F9CA53F6-4F0E-40ED-944B-41A7343BFC35}" name="Installationskostnader " totalsRowFunction="sum" dataDxfId="29" totalsRowDxfId="28" totalsRowCellStyle="Tusental">
      <calculatedColumnFormula>IF(D38 &lt;&gt; 0,D38,"")</calculatedColumnFormula>
    </tableColumn>
    <tableColumn id="3" xr3:uid="{7FD3EB16-B551-44F4-BAF6-837EE542982B}" name="Energiåtgång " totalsRowFunction="sum" dataDxfId="27" totalsRowDxfId="26" totalsRowCellStyle="Tusental">
      <calculatedColumnFormula>IF(E38 &lt;&gt; 0,E38,"")</calculatedColumnFormula>
    </tableColumn>
    <tableColumn id="12" xr3:uid="{888E4572-01C2-4118-9D51-C9FA0F726A08}" name="Energikostnader" totalsRowFunction="sum" dataDxfId="25" totalsRowDxfId="24" totalsRowCellStyle="Tusental">
      <calculatedColumnFormula>IF(G38 &lt;&gt; 0,G38,"")</calculatedColumnFormula>
    </tableColumn>
    <tableColumn id="4" xr3:uid="{0DF8DD1A-77C0-478A-8D48-2DF7B595EBBE}" name="Klimatpåverkan " totalsRowFunction="custom" dataDxfId="23" totalsRowDxfId="22">
      <calculatedColumnFormula>IF(F38&lt;&gt;0,F38,"")</calculatedColumnFormula>
      <totalsRowFormula>SUM(Tabell1[[Klimatpåverkan ]])</totalsRowFormula>
    </tableColumn>
    <tableColumn id="5" xr3:uid="{1BC96696-F0E1-43FC-931E-4EC897C6829A}" name="Installationskostnader" totalsRowFunction="sum" dataDxfId="21" totalsRowDxfId="20">
      <calculatedColumnFormula>IF(D51 &lt;&gt; 0,D51,"")</calculatedColumnFormula>
    </tableColumn>
    <tableColumn id="6" xr3:uid="{3FDAC0A2-AA64-4534-9DC4-DB297A6F0D38}" name="Energiåtgång 2" totalsRowFunction="sum" dataDxfId="19" totalsRowDxfId="18">
      <calculatedColumnFormula>IF(E51&lt;&gt; 0,E51,"")</calculatedColumnFormula>
    </tableColumn>
    <tableColumn id="13" xr3:uid="{996D8A82-2BC4-42CB-8CAB-416BE62C170A}" name="Energikostnader2" totalsRowFunction="sum" dataDxfId="17" totalsRowDxfId="16">
      <calculatedColumnFormula>IF(G51&lt;&gt; 0,G51,"")</calculatedColumnFormula>
    </tableColumn>
    <tableColumn id="7" xr3:uid="{9347365E-3121-4348-AACD-57FF69C181D2}" name="Klimatpåverkan" totalsRowFunction="sum" dataDxfId="15" totalsRowDxfId="14">
      <calculatedColumnFormula>IF(F51&lt;&gt; 0,F51,"")</calculatedColumnFormula>
    </tableColumn>
    <tableColumn id="8" xr3:uid="{8AD75E85-A954-4599-AC3C-C5FE19019A01}" name="#NAMN?5"/>
    <tableColumn id="9" xr3:uid="{48F5F280-EE98-496D-835B-455A1181CA65}" name="#NAMN?6"/>
    <tableColumn id="10" xr3:uid="{90ADB09A-D266-4590-AEBF-9F124A4759FE}" name="#NAMN?7"/>
    <tableColumn id="11" xr3:uid="{EAB1CF72-5E4D-49C2-A44A-D09B1FCA04AC}" name="#NAMN?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5183E7-ADCC-4927-B920-4E95E40136F4}" name="Tabell2" displayName="Tabell2" ref="B15:F25" totalsRowShown="0">
  <autoFilter ref="B15:F25" xr:uid="{6C5183E7-ADCC-4927-B920-4E95E40136F4}"/>
  <tableColumns count="5">
    <tableColumn id="1" xr3:uid="{7CBCA2A7-9AEC-4FCE-A25F-CC3529CFC2AB}" name="Kolumn1">
      <calculatedColumnFormula>IF(C38&lt;&gt; 0,C38,"")</calculatedColumnFormula>
    </tableColumn>
    <tableColumn id="2" xr3:uid="{97688E95-BE22-4AA5-8F8D-D7B4409E0C11}" name="Installationskostnader" dataDxfId="13">
      <calculatedColumnFormula>IF(C2&lt;&gt; "",C2-G2,"")</calculatedColumnFormula>
    </tableColumn>
    <tableColumn id="3" xr3:uid="{F132B769-06C0-4440-98AF-0A10AE6831B9}" name="Energikonsumption" dataDxfId="12">
      <calculatedColumnFormula>IF(D2&lt;&gt;"",D2-H2,"")</calculatedColumnFormula>
    </tableColumn>
    <tableColumn id="4" xr3:uid="{9E0F8236-59B6-40F9-8BF0-7A498BCA80B1}" name="Klimatpåverkan" dataDxfId="11">
      <calculatedColumnFormula>IF(F2&lt;&gt;"",F2-J2,"")</calculatedColumnFormula>
    </tableColumn>
    <tableColumn id="5" xr3:uid="{2C6FF1FB-14CF-493F-9AAB-2269E8B750CE}" name="Energikostnader" dataDxfId="10">
      <calculatedColumnFormula>IF(E2&lt;&gt;"",E2-I2,"")</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03ACF2-2564-4689-8115-F69B32D01CC8}" name="Tabell3" displayName="Tabell3" ref="G26:Q28" totalsRowShown="0">
  <autoFilter ref="G26:Q28" xr:uid="{AC03ACF2-2564-4689-8115-F69B32D01CC8}"/>
  <tableColumns count="11">
    <tableColumn id="1" xr3:uid="{799F7649-D8F7-4215-B377-E14891218BA2}" name="Kolumn1"/>
    <tableColumn id="2" xr3:uid="{A5FDB6E8-258C-4FF1-91FE-99809EFB4F19}" name="0" dataDxfId="9">
      <calculatedColumnFormula>SUM(F15:F17)</calculatedColumnFormula>
    </tableColumn>
    <tableColumn id="3" xr3:uid="{D8603D59-5C8A-48A8-BAAD-F059F90C7B7A}" name="År 2" dataDxfId="8">
      <calculatedColumnFormula>$H$28*2</calculatedColumnFormula>
    </tableColumn>
    <tableColumn id="4" xr3:uid="{5B20820C-0198-4EC1-A727-FA3E2C579D4C}" name="År 3" dataDxfId="7">
      <calculatedColumnFormula>$H$28+I27</calculatedColumnFormula>
    </tableColumn>
    <tableColumn id="5" xr3:uid="{0207891B-7F3E-46A5-84EA-53B4AC736631}" name="År 4" dataDxfId="6">
      <calculatedColumnFormula>$H$28+J27</calculatedColumnFormula>
    </tableColumn>
    <tableColumn id="6" xr3:uid="{393C6D94-1DEC-4126-8184-5F68B44221BF}" name="År 5" dataDxfId="5">
      <calculatedColumnFormula>$H$28+K27</calculatedColumnFormula>
    </tableColumn>
    <tableColumn id="7" xr3:uid="{BB6652E2-8966-4EB2-BCA2-15E18A5300CF}" name="År 6" dataDxfId="4">
      <calculatedColumnFormula>$H$28+L27</calculatedColumnFormula>
    </tableColumn>
    <tableColumn id="8" xr3:uid="{04B6BCC4-C7AC-4ABA-9DA0-29B861DFDEDB}" name="År 7" dataDxfId="3">
      <calculatedColumnFormula>$H$28+M27</calculatedColumnFormula>
    </tableColumn>
    <tableColumn id="9" xr3:uid="{3C750F9F-7E7E-4A16-BF56-014CB09DF652}" name="År 8" dataDxfId="2">
      <calculatedColumnFormula>$H$28+N27</calculatedColumnFormula>
    </tableColumn>
    <tableColumn id="10" xr3:uid="{17A36747-1F04-4ADD-ACCE-1533FD55BAC9}" name="År 9" dataDxfId="1">
      <calculatedColumnFormula>$H$28+O27</calculatedColumnFormula>
    </tableColumn>
    <tableColumn id="11" xr3:uid="{AAB40300-CF2C-444F-A764-A9E5C37A7B3A}" name="År 10" dataDxfId="0">
      <calculatedColumnFormula>$H$28+P27</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A42" dT="2025-08-22T10:14:55.36" personId="{6A3003CC-4F71-B142-AF84-C93C812AE4A8}" id="{46249B53-61B7-4801-94B8-3B6CB09B7CE8}">
    <text xml:space="preserve">Tabellerna har källan ändrats, då formateringen ovan förstördes
</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upphandlingsmyndigheten.se/om-hallbar-upphandling/ekonomiskt-hallbar-upphandling/lcc-for-langsiktigt-hallbara-inkop/"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hyperlink" Target="https://eur02.safelinks.protection.outlook.com/?url=https%3A%2F%2Fei.se%2Fbransch%2Fursprungsmarkning-av-el%2Fresidualmix&amp;data=05%7C02%7Cemma.karlsson%40wsp.com%7C1538c83fc5dc43b3ad7d08dcf36e6fb2%7C3d234255e20f420588a59658a402999b%7C1%7C0%7C638652902846330502%7CUnknown%7CTWFpbGZsb3d8eyJWIjoiMC4wLjAwMDAiLCJQIjoiV2luMzIiLCJBTiI6Ik1haWwiLCJXVCI6Mn0%3D%7C0%7C%7C%7C&amp;sdata=oa8c10bmbziwiJcIEUo5YolYIMSfOUJemQT1dvxMMXA%3D&amp;reserved=0" TargetMode="External"/><Relationship Id="rId7" Type="http://schemas.openxmlformats.org/officeDocument/2006/relationships/drawing" Target="../drawings/drawing9.xml"/><Relationship Id="rId2" Type="http://schemas.openxmlformats.org/officeDocument/2006/relationships/hyperlink" Target="https://klimatdatabasen.boverket.se/detaljer/2/6000000008" TargetMode="External"/><Relationship Id="rId1" Type="http://schemas.openxmlformats.org/officeDocument/2006/relationships/hyperlink" Target="https://naturvardsverket.diva-portal.org/smash/get/diva2:1540012/FULLTEXT01.pdf" TargetMode="External"/><Relationship Id="rId6" Type="http://schemas.openxmlformats.org/officeDocument/2006/relationships/printerSettings" Target="../printerSettings/printerSettings9.bin"/><Relationship Id="rId5" Type="http://schemas.openxmlformats.org/officeDocument/2006/relationships/hyperlink" Target="https://www.ivl.se/vart-erbjudande/vara-omraden/hallbart-samhallsbyggande/anvisningar-lca-berakning-byggprojekt.html" TargetMode="External"/><Relationship Id="rId4" Type="http://schemas.openxmlformats.org/officeDocument/2006/relationships/hyperlink" Target="https://eur02.safelinks.protection.outlook.com/?url=https%3A%2F%2Fwww.eea.europa.eu%2Fen%2Fanalysis%2Findicators%2Fgreenhouse-gas-emission-intensity-of-1&amp;data=05%7C02%7Cemma.karlsson%40wsp.com%7C1538c83fc5dc43b3ad7d08dcf36e6fb2%7C3d234255e20f420588a59658a402999b%7C1%7C0%7C638652902846344004%7CUnknown%7CTWFpbGZsb3d8eyJWIjoiMC4wLjAwMDAiLCJQIjoiV2luMzIiLCJBTiI6Ik1haWwiLCJXVCI6Mn0%3D%7C0%7C%7C%7C&amp;sdata=mhCt8fxAHqgfx4kn%2BJr7TyOanPrPyqq5yzeqp%2FjdB28%3D&amp;reserved=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microsoft.com/office/2017/10/relationships/threadedComment" Target="../threadedComments/threadedComment1.xml"/><Relationship Id="rId5" Type="http://schemas.openxmlformats.org/officeDocument/2006/relationships/comments" Target="../comments7.xml"/><Relationship Id="rId4"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806F0-EC2D-4072-8CF2-DD2D1F0AC522}">
  <sheetPr codeName="Blad1">
    <tabColor rgb="FF6B2879"/>
  </sheetPr>
  <dimension ref="A1:W175"/>
  <sheetViews>
    <sheetView workbookViewId="0"/>
  </sheetViews>
  <sheetFormatPr baseColWidth="10" defaultColWidth="9.1640625" defaultRowHeight="14"/>
  <cols>
    <col min="1" max="19" width="8.5" style="98" customWidth="1"/>
    <col min="20" max="16384" width="9.1640625" style="98"/>
  </cols>
  <sheetData>
    <row r="1" spans="1:23" s="13" customFormat="1">
      <c r="A1" s="269" t="s">
        <v>0</v>
      </c>
    </row>
    <row r="2" spans="1:23" s="13" customFormat="1" ht="38">
      <c r="G2" s="92" t="s">
        <v>1</v>
      </c>
    </row>
    <row r="3" spans="1:23" s="13" customFormat="1">
      <c r="G3" s="13" t="s">
        <v>2</v>
      </c>
      <c r="H3" s="273"/>
      <c r="I3" s="273"/>
      <c r="J3" s="273"/>
    </row>
    <row r="4" spans="1:23" s="13" customFormat="1">
      <c r="G4" s="13" t="s">
        <v>3</v>
      </c>
      <c r="H4" s="273"/>
      <c r="I4" s="273"/>
      <c r="J4" s="273"/>
    </row>
    <row r="5" spans="1:23" s="13" customFormat="1"/>
    <row r="6" spans="1:23" s="6" customFormat="1" ht="41.25" customHeight="1">
      <c r="B6" s="607"/>
      <c r="C6" s="607"/>
      <c r="D6" s="607"/>
      <c r="E6" s="607"/>
      <c r="F6" s="607"/>
      <c r="G6" s="607"/>
      <c r="H6" s="607"/>
      <c r="I6" s="607"/>
      <c r="J6" s="607"/>
      <c r="K6" s="607"/>
      <c r="L6" s="607"/>
      <c r="M6" s="607"/>
      <c r="N6" s="607"/>
      <c r="O6" s="607"/>
      <c r="P6" s="607"/>
      <c r="Q6" s="607"/>
      <c r="R6" s="607"/>
      <c r="S6" s="607"/>
      <c r="T6" s="607"/>
      <c r="U6" s="607"/>
      <c r="V6" s="607"/>
      <c r="W6" s="607"/>
    </row>
    <row r="7" spans="1:23" s="13" customFormat="1"/>
    <row r="8" spans="1:23" s="13" customFormat="1"/>
    <row r="9" spans="1:23" s="13" customFormat="1" ht="26">
      <c r="B9" s="608" t="s">
        <v>4</v>
      </c>
      <c r="C9" s="608"/>
      <c r="D9" s="608"/>
      <c r="E9" s="608"/>
    </row>
    <row r="10" spans="1:23" s="13" customFormat="1">
      <c r="G10" s="38"/>
      <c r="H10" s="50"/>
    </row>
    <row r="11" spans="1:23" s="13" customFormat="1">
      <c r="B11" s="609" t="s">
        <v>5</v>
      </c>
      <c r="C11" s="610"/>
      <c r="D11" s="610"/>
      <c r="E11" s="610"/>
      <c r="G11" s="38"/>
    </row>
    <row r="12" spans="1:23" s="13" customFormat="1">
      <c r="B12" s="610"/>
      <c r="C12" s="610"/>
      <c r="D12" s="610"/>
      <c r="E12" s="610"/>
      <c r="G12" s="38"/>
    </row>
    <row r="13" spans="1:23" s="13" customFormat="1">
      <c r="B13" s="32"/>
      <c r="G13" s="38"/>
    </row>
    <row r="14" spans="1:23" s="13" customFormat="1" ht="26">
      <c r="B14" s="608" t="s">
        <v>6</v>
      </c>
      <c r="C14" s="608"/>
      <c r="D14" s="608"/>
      <c r="E14" s="608"/>
      <c r="G14" s="38"/>
    </row>
    <row r="15" spans="1:23" s="13" customFormat="1">
      <c r="B15" s="314"/>
      <c r="G15" s="38"/>
    </row>
    <row r="16" spans="1:23" s="13" customFormat="1" ht="13" customHeight="1">
      <c r="B16" s="612" t="s">
        <v>7</v>
      </c>
      <c r="C16" s="612"/>
      <c r="D16" s="612"/>
      <c r="E16" s="612"/>
      <c r="F16" s="275"/>
      <c r="G16" s="275"/>
      <c r="H16" s="275"/>
      <c r="I16" s="275"/>
      <c r="J16" s="275"/>
      <c r="K16" s="275"/>
      <c r="L16" s="275"/>
      <c r="M16" s="275"/>
      <c r="N16" s="275"/>
      <c r="O16" s="275"/>
    </row>
    <row r="17" spans="2:21" s="13" customFormat="1">
      <c r="B17" s="612"/>
      <c r="C17" s="612"/>
      <c r="D17" s="612"/>
      <c r="E17" s="612"/>
      <c r="F17" s="275"/>
      <c r="G17" s="275"/>
      <c r="H17" s="275"/>
      <c r="I17" s="275"/>
      <c r="J17" s="275"/>
      <c r="K17" s="275"/>
      <c r="L17" s="275"/>
      <c r="M17" s="275"/>
      <c r="N17" s="275"/>
      <c r="O17" s="275"/>
    </row>
    <row r="18" spans="2:21" s="13" customFormat="1">
      <c r="G18" s="38"/>
    </row>
    <row r="19" spans="2:21" s="13" customFormat="1" ht="13" customHeight="1">
      <c r="B19" s="598" t="s">
        <v>8</v>
      </c>
      <c r="C19" s="598"/>
      <c r="D19" s="598"/>
      <c r="E19" s="598"/>
      <c r="F19" s="272"/>
      <c r="G19" s="272"/>
      <c r="H19" s="272"/>
      <c r="I19" s="272"/>
      <c r="J19" s="272"/>
      <c r="K19" s="272"/>
      <c r="L19" s="272"/>
      <c r="M19" s="272"/>
      <c r="N19" s="272"/>
      <c r="O19" s="272"/>
    </row>
    <row r="20" spans="2:21" s="13" customFormat="1">
      <c r="B20" s="598"/>
      <c r="C20" s="598"/>
      <c r="D20" s="598"/>
      <c r="E20" s="598"/>
      <c r="G20" s="38"/>
    </row>
    <row r="21" spans="2:21" s="13" customFormat="1">
      <c r="B21" s="598"/>
      <c r="C21" s="598"/>
      <c r="D21" s="598"/>
      <c r="E21" s="598"/>
      <c r="G21" s="38"/>
    </row>
    <row r="22" spans="2:21" s="13" customFormat="1" ht="21">
      <c r="B22" s="598"/>
      <c r="C22" s="598"/>
      <c r="D22" s="598"/>
      <c r="E22" s="598"/>
      <c r="G22" s="38"/>
      <c r="H22" s="316"/>
      <c r="R22" s="50"/>
      <c r="S22" s="50"/>
    </row>
    <row r="23" spans="2:21" s="13" customFormat="1" ht="21">
      <c r="B23" s="598"/>
      <c r="C23" s="598"/>
      <c r="D23" s="598"/>
      <c r="E23" s="598"/>
      <c r="G23" s="38"/>
      <c r="H23" s="611" t="s">
        <v>9</v>
      </c>
      <c r="I23" s="611"/>
    </row>
    <row r="24" spans="2:21" s="13" customFormat="1" ht="39" customHeight="1">
      <c r="B24" s="598"/>
      <c r="C24" s="598"/>
      <c r="D24" s="598"/>
      <c r="E24" s="598"/>
      <c r="G24" s="38"/>
      <c r="H24" s="598" t="s">
        <v>10</v>
      </c>
      <c r="I24" s="598"/>
      <c r="J24" s="598"/>
      <c r="K24" s="598"/>
      <c r="L24" s="598"/>
      <c r="M24" s="598"/>
      <c r="N24" s="598"/>
      <c r="O24" s="598"/>
      <c r="P24" s="598"/>
      <c r="Q24" s="598"/>
      <c r="R24" s="598"/>
      <c r="S24" s="598"/>
      <c r="T24" s="598"/>
      <c r="U24" s="598"/>
    </row>
    <row r="25" spans="2:21" s="13" customFormat="1" ht="18.5" customHeight="1">
      <c r="B25" s="598"/>
      <c r="C25" s="598"/>
      <c r="D25" s="598"/>
      <c r="E25" s="598"/>
      <c r="G25" s="38"/>
      <c r="H25" s="33" t="s">
        <v>11</v>
      </c>
    </row>
    <row r="26" spans="2:21" s="13" customFormat="1" ht="4.5" customHeight="1">
      <c r="B26" s="598"/>
      <c r="C26" s="598"/>
      <c r="D26" s="598"/>
      <c r="E26" s="598"/>
      <c r="G26" s="38"/>
    </row>
    <row r="27" spans="2:21" s="13" customFormat="1" ht="21">
      <c r="B27" s="598"/>
      <c r="C27" s="598"/>
      <c r="D27" s="598"/>
      <c r="E27" s="598"/>
      <c r="G27" s="38"/>
      <c r="H27" s="601" t="s">
        <v>12</v>
      </c>
      <c r="I27" s="601"/>
      <c r="J27" s="601"/>
      <c r="K27" s="601"/>
      <c r="L27" s="601"/>
      <c r="M27" s="601"/>
    </row>
    <row r="28" spans="2:21" s="13" customFormat="1" ht="156.5" customHeight="1">
      <c r="B28" s="598"/>
      <c r="C28" s="598"/>
      <c r="D28" s="598"/>
      <c r="E28" s="598"/>
      <c r="G28" s="38"/>
      <c r="H28" s="598" t="s">
        <v>13</v>
      </c>
      <c r="I28" s="598"/>
      <c r="J28" s="598"/>
      <c r="K28" s="598"/>
      <c r="L28" s="598"/>
      <c r="M28" s="598"/>
      <c r="N28" s="598"/>
      <c r="O28" s="598"/>
      <c r="P28" s="598"/>
      <c r="Q28" s="598"/>
      <c r="R28" s="598"/>
      <c r="S28" s="598"/>
      <c r="T28" s="598"/>
      <c r="U28" s="598"/>
    </row>
    <row r="29" spans="2:21" s="13" customFormat="1" ht="64.5" customHeight="1">
      <c r="B29" s="599" t="s">
        <v>14</v>
      </c>
      <c r="C29" s="599"/>
      <c r="D29" s="599"/>
      <c r="E29" s="599"/>
      <c r="G29" s="38"/>
      <c r="H29" s="598" t="s">
        <v>15</v>
      </c>
      <c r="I29" s="598"/>
      <c r="J29" s="598"/>
      <c r="K29" s="598"/>
      <c r="L29" s="598"/>
      <c r="M29" s="598"/>
      <c r="N29" s="598"/>
      <c r="O29" s="598"/>
      <c r="P29" s="598"/>
      <c r="Q29" s="598"/>
      <c r="R29" s="598"/>
      <c r="S29" s="598"/>
      <c r="T29" s="598"/>
      <c r="U29" s="598"/>
    </row>
    <row r="30" spans="2:21" s="13" customFormat="1" ht="13" customHeight="1">
      <c r="B30" s="315" t="s">
        <v>16</v>
      </c>
      <c r="C30" s="66"/>
      <c r="D30" s="66"/>
      <c r="E30" s="66"/>
      <c r="G30" s="38"/>
      <c r="H30" s="66"/>
      <c r="I30" s="66"/>
      <c r="J30" s="66"/>
      <c r="K30" s="66"/>
      <c r="L30" s="66"/>
      <c r="M30" s="66"/>
      <c r="N30" s="66"/>
      <c r="O30" s="66"/>
      <c r="P30" s="66"/>
      <c r="Q30" s="66"/>
      <c r="R30" s="66"/>
      <c r="S30" s="66"/>
      <c r="T30" s="66"/>
      <c r="U30" s="66"/>
    </row>
    <row r="31" spans="2:21" s="13" customFormat="1" ht="17.5" customHeight="1">
      <c r="C31" s="276"/>
      <c r="D31" s="276"/>
      <c r="E31" s="276"/>
      <c r="G31" s="38"/>
      <c r="H31" s="601" t="s">
        <v>17</v>
      </c>
      <c r="I31" s="601"/>
      <c r="J31" s="601"/>
      <c r="K31" s="601"/>
      <c r="L31" s="601"/>
      <c r="M31" s="601"/>
      <c r="N31" s="601"/>
    </row>
    <row r="32" spans="2:21" s="13" customFormat="1" ht="364" customHeight="1">
      <c r="B32" s="600"/>
      <c r="C32" s="600"/>
      <c r="D32" s="600"/>
      <c r="E32" s="600"/>
      <c r="G32" s="38"/>
      <c r="H32" s="602" t="s">
        <v>18</v>
      </c>
      <c r="I32" s="602"/>
      <c r="J32" s="602"/>
      <c r="K32" s="602"/>
      <c r="L32" s="602"/>
      <c r="M32" s="602"/>
      <c r="N32" s="602"/>
      <c r="O32" s="602"/>
      <c r="P32" s="602"/>
      <c r="Q32" s="602"/>
      <c r="R32" s="602"/>
      <c r="S32" s="602"/>
      <c r="T32" s="602"/>
      <c r="U32" s="602"/>
    </row>
    <row r="33" spans="7:23" s="13" customFormat="1" ht="21">
      <c r="G33" s="38"/>
      <c r="H33" s="601" t="s">
        <v>19</v>
      </c>
      <c r="I33" s="601"/>
      <c r="J33" s="601"/>
    </row>
    <row r="34" spans="7:23" s="13" customFormat="1" ht="51.75" customHeight="1">
      <c r="G34" s="38"/>
      <c r="H34" s="602" t="s">
        <v>20</v>
      </c>
      <c r="I34" s="603"/>
      <c r="J34" s="603"/>
      <c r="K34" s="603"/>
      <c r="L34" s="603"/>
      <c r="M34" s="603"/>
      <c r="N34" s="603"/>
      <c r="O34" s="603"/>
      <c r="P34" s="603"/>
      <c r="Q34" s="603"/>
      <c r="R34" s="603"/>
      <c r="S34" s="603"/>
      <c r="T34" s="603"/>
      <c r="U34" s="603"/>
    </row>
    <row r="35" spans="7:23" s="13" customFormat="1" ht="20" customHeight="1">
      <c r="G35" s="38"/>
      <c r="H35" s="604"/>
      <c r="I35" s="604"/>
      <c r="J35" s="604"/>
      <c r="K35" s="604"/>
      <c r="L35" s="604"/>
      <c r="M35" s="604"/>
      <c r="N35" s="604"/>
      <c r="O35" s="604"/>
      <c r="P35" s="604"/>
      <c r="Q35" s="604"/>
      <c r="R35" s="604"/>
      <c r="S35" s="604"/>
      <c r="T35" s="604"/>
      <c r="U35" s="604"/>
      <c r="V35" s="604"/>
      <c r="W35" s="604"/>
    </row>
    <row r="36" spans="7:23" s="13" customFormat="1" ht="17" customHeight="1">
      <c r="G36" s="38"/>
    </row>
    <row r="37" spans="7:23" s="13" customFormat="1" ht="43.5" customHeight="1">
      <c r="G37" s="38"/>
    </row>
    <row r="38" spans="7:23" s="13" customFormat="1" ht="15" customHeight="1">
      <c r="G38" s="38"/>
    </row>
    <row r="39" spans="7:23" s="13" customFormat="1">
      <c r="G39" s="38"/>
    </row>
    <row r="40" spans="7:23" s="13" customFormat="1">
      <c r="G40" s="38"/>
      <c r="H40" s="605"/>
      <c r="I40" s="605"/>
      <c r="J40" s="605"/>
      <c r="K40" s="605"/>
      <c r="L40" s="605"/>
      <c r="M40" s="605"/>
      <c r="N40" s="605"/>
      <c r="O40" s="605"/>
      <c r="P40" s="605"/>
      <c r="Q40" s="605"/>
      <c r="R40" s="605"/>
      <c r="S40" s="605"/>
      <c r="T40" s="605"/>
    </row>
    <row r="41" spans="7:23" s="13" customFormat="1">
      <c r="G41" s="38"/>
    </row>
    <row r="42" spans="7:23" s="13" customFormat="1" ht="21">
      <c r="G42" s="38"/>
      <c r="H42" s="601"/>
      <c r="I42" s="601"/>
      <c r="J42" s="601"/>
      <c r="K42" s="601"/>
      <c r="L42" s="601"/>
      <c r="M42" s="601"/>
    </row>
    <row r="43" spans="7:23" s="13" customFormat="1">
      <c r="G43" s="38"/>
      <c r="H43" s="66"/>
      <c r="I43" s="66"/>
      <c r="J43" s="66"/>
      <c r="K43" s="66"/>
      <c r="L43" s="66"/>
      <c r="M43" s="66"/>
      <c r="N43" s="66"/>
      <c r="O43" s="66"/>
      <c r="P43" s="66"/>
      <c r="Q43" s="66"/>
      <c r="R43" s="66"/>
      <c r="S43" s="66"/>
      <c r="T43" s="66"/>
      <c r="U43" s="66"/>
    </row>
    <row r="44" spans="7:23" s="13" customFormat="1">
      <c r="G44" s="38"/>
      <c r="H44" s="66"/>
      <c r="I44" s="66"/>
      <c r="J44" s="66"/>
      <c r="K44" s="66"/>
      <c r="L44" s="66"/>
      <c r="M44" s="66"/>
      <c r="N44" s="66"/>
      <c r="O44" s="66"/>
      <c r="P44" s="66"/>
      <c r="Q44" s="66"/>
      <c r="R44" s="66"/>
      <c r="S44" s="66"/>
      <c r="T44" s="66"/>
      <c r="U44" s="66"/>
    </row>
    <row r="45" spans="7:23" s="13" customFormat="1">
      <c r="G45" s="38"/>
      <c r="H45" s="66"/>
      <c r="I45" s="66"/>
      <c r="J45" s="66"/>
      <c r="K45" s="66"/>
      <c r="L45" s="66"/>
      <c r="M45" s="66"/>
      <c r="N45" s="66"/>
      <c r="O45" s="66"/>
      <c r="P45" s="66"/>
      <c r="Q45" s="66"/>
      <c r="R45" s="66"/>
      <c r="S45" s="66"/>
      <c r="T45" s="66"/>
      <c r="U45" s="66"/>
    </row>
    <row r="46" spans="7:23" s="13" customFormat="1">
      <c r="G46" s="38"/>
      <c r="H46" s="66"/>
      <c r="I46" s="66"/>
      <c r="J46" s="66"/>
      <c r="K46" s="66"/>
      <c r="L46" s="66"/>
      <c r="M46" s="66"/>
      <c r="N46" s="66"/>
      <c r="O46" s="66"/>
      <c r="P46" s="66"/>
      <c r="Q46" s="66"/>
      <c r="R46" s="66"/>
      <c r="S46" s="66"/>
      <c r="T46" s="66"/>
      <c r="U46" s="66"/>
    </row>
    <row r="47" spans="7:23" s="13" customFormat="1">
      <c r="G47" s="38"/>
      <c r="H47" s="66"/>
      <c r="I47" s="66"/>
      <c r="J47" s="66"/>
      <c r="K47" s="66"/>
      <c r="L47" s="66"/>
      <c r="M47" s="66"/>
      <c r="N47" s="66"/>
      <c r="O47" s="66"/>
      <c r="P47" s="66"/>
      <c r="Q47" s="66"/>
      <c r="R47" s="66"/>
      <c r="S47" s="66"/>
      <c r="T47" s="66"/>
      <c r="U47" s="66"/>
    </row>
    <row r="48" spans="7:23" s="13" customFormat="1">
      <c r="G48" s="38"/>
      <c r="H48" s="66"/>
      <c r="I48" s="66"/>
      <c r="J48" s="66"/>
      <c r="K48" s="66"/>
      <c r="L48" s="66"/>
      <c r="M48" s="66"/>
      <c r="N48" s="66"/>
      <c r="O48" s="66"/>
      <c r="P48" s="66"/>
      <c r="Q48" s="66"/>
      <c r="R48" s="66"/>
      <c r="S48" s="66"/>
      <c r="T48" s="66"/>
      <c r="U48" s="66"/>
    </row>
    <row r="49" spans="7:21" s="13" customFormat="1">
      <c r="G49" s="38"/>
      <c r="H49" s="66"/>
      <c r="I49" s="66"/>
      <c r="J49" s="66"/>
      <c r="K49" s="66"/>
      <c r="L49" s="66"/>
      <c r="M49" s="66"/>
      <c r="N49" s="66"/>
      <c r="O49" s="66"/>
      <c r="P49" s="66"/>
      <c r="Q49" s="66"/>
      <c r="R49" s="66"/>
      <c r="S49" s="66"/>
      <c r="T49" s="66"/>
      <c r="U49" s="66"/>
    </row>
    <row r="50" spans="7:21" s="13" customFormat="1">
      <c r="G50" s="38"/>
      <c r="H50" s="66"/>
      <c r="I50" s="66"/>
      <c r="J50" s="66"/>
      <c r="K50" s="66"/>
      <c r="L50" s="66"/>
      <c r="M50" s="66"/>
      <c r="N50" s="66"/>
      <c r="O50" s="66"/>
      <c r="P50" s="66"/>
      <c r="Q50" s="66"/>
      <c r="R50" s="66"/>
      <c r="S50" s="66"/>
      <c r="T50" s="66"/>
      <c r="U50" s="66"/>
    </row>
    <row r="51" spans="7:21" s="13" customFormat="1">
      <c r="G51" s="38"/>
      <c r="H51" s="66"/>
      <c r="I51" s="66"/>
      <c r="J51" s="66"/>
      <c r="K51" s="66"/>
      <c r="L51" s="66"/>
      <c r="M51" s="66"/>
      <c r="N51" s="66"/>
      <c r="O51" s="66"/>
      <c r="P51" s="66"/>
      <c r="Q51" s="66"/>
      <c r="R51" s="66"/>
      <c r="S51" s="66"/>
      <c r="T51" s="66"/>
      <c r="U51" s="66"/>
    </row>
    <row r="52" spans="7:21" s="13" customFormat="1">
      <c r="G52" s="38"/>
      <c r="H52" s="66"/>
      <c r="I52" s="66"/>
      <c r="J52" s="66"/>
      <c r="K52" s="66"/>
      <c r="L52" s="66"/>
      <c r="M52" s="66"/>
      <c r="N52" s="66"/>
      <c r="O52" s="66"/>
      <c r="P52" s="66"/>
      <c r="Q52" s="66"/>
      <c r="R52" s="66"/>
      <c r="S52" s="66"/>
      <c r="T52" s="66"/>
      <c r="U52" s="66"/>
    </row>
    <row r="53" spans="7:21" s="13" customFormat="1">
      <c r="G53" s="38"/>
      <c r="H53" s="66"/>
      <c r="I53" s="66"/>
      <c r="J53" s="66"/>
      <c r="K53" s="66"/>
      <c r="L53" s="66"/>
      <c r="M53" s="66"/>
      <c r="N53" s="66"/>
      <c r="O53" s="66"/>
      <c r="P53" s="66"/>
      <c r="Q53" s="66"/>
      <c r="R53" s="66"/>
      <c r="S53" s="66"/>
      <c r="T53" s="66"/>
      <c r="U53" s="66"/>
    </row>
    <row r="54" spans="7:21" s="13" customFormat="1">
      <c r="G54" s="38"/>
      <c r="H54" s="606"/>
      <c r="I54" s="606"/>
      <c r="J54" s="606"/>
      <c r="K54" s="606"/>
      <c r="L54" s="606"/>
      <c r="M54" s="606"/>
      <c r="N54" s="606"/>
      <c r="O54" s="606"/>
      <c r="P54" s="606"/>
      <c r="Q54" s="606"/>
      <c r="R54" s="606"/>
      <c r="S54" s="606"/>
      <c r="T54" s="606"/>
      <c r="U54" s="606"/>
    </row>
    <row r="55" spans="7:21" s="13" customFormat="1">
      <c r="G55" s="38"/>
      <c r="H55" s="66"/>
      <c r="I55" s="66"/>
      <c r="J55" s="66"/>
      <c r="K55" s="66"/>
      <c r="L55" s="66"/>
      <c r="M55" s="66"/>
      <c r="N55" s="66"/>
      <c r="O55" s="66"/>
      <c r="P55" s="66"/>
      <c r="Q55" s="66"/>
      <c r="R55" s="66"/>
      <c r="S55" s="66"/>
      <c r="T55" s="66"/>
      <c r="U55" s="66"/>
    </row>
    <row r="56" spans="7:21" s="13" customFormat="1">
      <c r="G56" s="38"/>
      <c r="H56" s="66"/>
      <c r="I56" s="66"/>
      <c r="J56" s="66"/>
      <c r="K56" s="66"/>
      <c r="L56" s="66"/>
      <c r="M56" s="66"/>
      <c r="N56" s="66"/>
      <c r="O56" s="66"/>
      <c r="P56" s="66"/>
      <c r="Q56" s="66"/>
      <c r="R56" s="66"/>
      <c r="S56" s="66"/>
      <c r="T56" s="66"/>
      <c r="U56" s="66"/>
    </row>
    <row r="57" spans="7:21" s="13" customFormat="1">
      <c r="G57" s="38"/>
      <c r="H57" s="66"/>
      <c r="I57" s="66"/>
      <c r="J57" s="66"/>
      <c r="K57" s="66"/>
      <c r="L57" s="66"/>
      <c r="M57" s="66"/>
      <c r="N57" s="66"/>
      <c r="O57" s="66"/>
      <c r="P57" s="66"/>
      <c r="Q57" s="66"/>
      <c r="R57" s="66"/>
      <c r="S57" s="66"/>
      <c r="T57" s="66"/>
      <c r="U57" s="66"/>
    </row>
    <row r="58" spans="7:21" s="13" customFormat="1">
      <c r="G58" s="38"/>
      <c r="H58" s="66"/>
      <c r="I58" s="66"/>
      <c r="J58" s="66"/>
      <c r="K58" s="66"/>
      <c r="L58" s="66"/>
      <c r="M58" s="66"/>
      <c r="N58" s="66"/>
      <c r="O58" s="66"/>
      <c r="P58" s="66"/>
      <c r="Q58" s="66"/>
      <c r="R58" s="66"/>
      <c r="S58" s="66"/>
      <c r="T58" s="66"/>
      <c r="U58" s="66"/>
    </row>
    <row r="59" spans="7:21" s="13" customFormat="1">
      <c r="G59" s="38"/>
      <c r="H59" s="66"/>
      <c r="I59" s="66"/>
      <c r="J59" s="66"/>
      <c r="K59" s="66"/>
      <c r="L59" s="66"/>
      <c r="M59" s="66"/>
      <c r="N59" s="66"/>
      <c r="O59" s="66"/>
      <c r="P59" s="66"/>
      <c r="Q59" s="66"/>
      <c r="R59" s="66"/>
      <c r="S59" s="66"/>
      <c r="T59" s="66"/>
      <c r="U59" s="66"/>
    </row>
    <row r="60" spans="7:21" s="13" customFormat="1">
      <c r="G60" s="38"/>
      <c r="H60" s="66"/>
      <c r="I60" s="66"/>
      <c r="J60" s="66"/>
      <c r="K60" s="66"/>
      <c r="L60" s="66"/>
      <c r="M60" s="66"/>
      <c r="N60" s="66"/>
      <c r="O60" s="66"/>
      <c r="P60" s="66"/>
      <c r="Q60" s="66"/>
      <c r="R60" s="66"/>
      <c r="S60" s="66"/>
      <c r="T60" s="66"/>
      <c r="U60" s="66"/>
    </row>
    <row r="61" spans="7:21" s="13" customFormat="1">
      <c r="G61" s="38"/>
      <c r="H61" s="66"/>
      <c r="I61" s="66"/>
      <c r="J61" s="66"/>
      <c r="K61" s="66"/>
      <c r="L61" s="66"/>
      <c r="M61" s="66"/>
      <c r="N61" s="66"/>
      <c r="O61" s="66"/>
      <c r="P61" s="66"/>
      <c r="Q61" s="66"/>
      <c r="R61" s="66"/>
      <c r="S61" s="66"/>
      <c r="T61" s="66"/>
      <c r="U61" s="66"/>
    </row>
    <row r="62" spans="7:21" s="13" customFormat="1">
      <c r="G62" s="38"/>
      <c r="H62" s="66"/>
      <c r="I62" s="66"/>
      <c r="J62" s="66"/>
      <c r="K62" s="66"/>
      <c r="L62" s="66"/>
      <c r="M62" s="66"/>
      <c r="N62" s="66"/>
      <c r="O62" s="66"/>
      <c r="P62" s="66"/>
      <c r="Q62" s="66"/>
      <c r="R62" s="66"/>
      <c r="S62" s="66"/>
      <c r="T62" s="66"/>
      <c r="U62" s="66"/>
    </row>
    <row r="63" spans="7:21" s="13" customFormat="1">
      <c r="G63" s="38"/>
      <c r="H63" s="66"/>
      <c r="I63" s="66"/>
      <c r="J63" s="66"/>
      <c r="K63" s="66"/>
      <c r="L63" s="66"/>
      <c r="M63" s="66"/>
      <c r="N63" s="66"/>
      <c r="O63" s="66"/>
      <c r="P63" s="66"/>
      <c r="Q63" s="66"/>
      <c r="R63" s="66"/>
      <c r="S63" s="66"/>
      <c r="T63" s="66"/>
      <c r="U63" s="66"/>
    </row>
    <row r="64" spans="7:21" s="13" customFormat="1">
      <c r="G64" s="38"/>
      <c r="H64" s="66"/>
      <c r="I64" s="66"/>
      <c r="J64" s="66"/>
      <c r="K64" s="66"/>
      <c r="L64" s="66"/>
      <c r="M64" s="66"/>
      <c r="N64" s="66"/>
      <c r="O64" s="66"/>
      <c r="P64" s="66"/>
      <c r="Q64" s="66"/>
      <c r="R64" s="66"/>
      <c r="S64" s="66"/>
      <c r="T64" s="66"/>
      <c r="U64" s="66"/>
    </row>
    <row r="65" spans="7:21" s="13" customFormat="1">
      <c r="G65" s="38"/>
      <c r="H65" s="66"/>
      <c r="I65" s="66"/>
      <c r="J65" s="66"/>
      <c r="K65" s="66"/>
      <c r="L65" s="66"/>
      <c r="M65" s="66"/>
      <c r="N65" s="66"/>
      <c r="O65" s="66"/>
      <c r="P65" s="66"/>
      <c r="Q65" s="66"/>
      <c r="R65" s="66"/>
      <c r="S65" s="66"/>
      <c r="T65" s="66"/>
      <c r="U65" s="66"/>
    </row>
    <row r="66" spans="7:21" s="13" customFormat="1">
      <c r="G66" s="38"/>
      <c r="H66" s="66"/>
      <c r="I66" s="66"/>
      <c r="J66" s="66"/>
      <c r="K66" s="66"/>
      <c r="L66" s="66"/>
      <c r="M66" s="66"/>
      <c r="N66" s="66"/>
      <c r="O66" s="66"/>
      <c r="P66" s="66"/>
      <c r="Q66" s="66"/>
      <c r="R66" s="66"/>
      <c r="S66" s="66"/>
      <c r="T66" s="66"/>
      <c r="U66" s="66"/>
    </row>
    <row r="67" spans="7:21" s="13" customFormat="1">
      <c r="G67" s="38"/>
      <c r="H67" s="66"/>
      <c r="I67" s="66"/>
      <c r="J67" s="66"/>
      <c r="K67" s="66"/>
      <c r="L67" s="66"/>
      <c r="M67" s="66"/>
      <c r="N67" s="66"/>
      <c r="O67" s="66"/>
      <c r="P67" s="66"/>
      <c r="Q67" s="66"/>
      <c r="R67" s="66"/>
      <c r="S67" s="66"/>
      <c r="T67" s="66"/>
      <c r="U67" s="66"/>
    </row>
    <row r="68" spans="7:21" s="13" customFormat="1">
      <c r="G68" s="38"/>
      <c r="H68" s="66"/>
      <c r="I68" s="66"/>
      <c r="J68" s="66"/>
      <c r="K68" s="66"/>
      <c r="L68" s="66"/>
      <c r="M68" s="66"/>
      <c r="N68" s="66"/>
      <c r="O68" s="66"/>
      <c r="P68" s="66"/>
      <c r="Q68" s="66"/>
      <c r="R68" s="66"/>
      <c r="S68" s="66"/>
      <c r="T68" s="66"/>
      <c r="U68" s="66"/>
    </row>
    <row r="69" spans="7:21" s="13" customFormat="1">
      <c r="G69" s="38"/>
      <c r="H69" s="66"/>
      <c r="I69" s="66"/>
      <c r="J69" s="66"/>
      <c r="K69" s="66"/>
      <c r="L69" s="66"/>
      <c r="M69" s="66"/>
      <c r="N69" s="66"/>
      <c r="O69" s="66"/>
      <c r="P69" s="66"/>
      <c r="Q69" s="66"/>
      <c r="R69" s="66"/>
      <c r="S69" s="66"/>
      <c r="T69" s="66"/>
      <c r="U69" s="66"/>
    </row>
    <row r="70" spans="7:21" s="13" customFormat="1">
      <c r="G70" s="38"/>
      <c r="H70" s="66"/>
      <c r="I70" s="66"/>
      <c r="J70" s="66"/>
      <c r="K70" s="66"/>
      <c r="L70" s="66"/>
      <c r="M70" s="66"/>
      <c r="N70" s="66"/>
      <c r="O70" s="66"/>
      <c r="P70" s="66"/>
      <c r="Q70" s="66"/>
      <c r="R70" s="66"/>
      <c r="S70" s="66"/>
      <c r="T70" s="66"/>
      <c r="U70" s="66"/>
    </row>
    <row r="71" spans="7:21" s="13" customFormat="1">
      <c r="G71" s="38"/>
      <c r="H71" s="66"/>
      <c r="I71" s="66"/>
      <c r="J71" s="66"/>
      <c r="K71" s="66"/>
      <c r="L71" s="66"/>
      <c r="M71" s="66"/>
      <c r="N71" s="66"/>
      <c r="O71" s="66"/>
      <c r="P71" s="66"/>
      <c r="Q71" s="66"/>
      <c r="R71" s="66"/>
      <c r="S71" s="66"/>
      <c r="T71" s="66"/>
      <c r="U71" s="66"/>
    </row>
    <row r="72" spans="7:21" s="13" customFormat="1">
      <c r="G72" s="38"/>
      <c r="H72" s="66"/>
      <c r="I72" s="66"/>
      <c r="J72" s="66"/>
      <c r="K72" s="66"/>
      <c r="L72" s="66"/>
      <c r="M72" s="66"/>
      <c r="N72" s="66"/>
      <c r="O72" s="66"/>
      <c r="P72" s="66"/>
      <c r="Q72" s="66"/>
      <c r="R72" s="66"/>
      <c r="S72" s="66"/>
      <c r="T72" s="66"/>
      <c r="U72" s="66"/>
    </row>
    <row r="73" spans="7:21" s="13" customFormat="1">
      <c r="G73" s="38"/>
      <c r="H73" s="66"/>
      <c r="I73" s="66"/>
      <c r="J73" s="66"/>
      <c r="K73" s="66"/>
      <c r="L73" s="66"/>
      <c r="M73" s="66"/>
      <c r="N73" s="66"/>
      <c r="O73" s="66"/>
      <c r="P73" s="66"/>
      <c r="Q73" s="66"/>
      <c r="R73" s="66"/>
      <c r="S73" s="66"/>
      <c r="T73" s="66"/>
      <c r="U73" s="66"/>
    </row>
    <row r="74" spans="7:21" s="13" customFormat="1">
      <c r="G74" s="38"/>
      <c r="H74" s="66"/>
      <c r="I74" s="66"/>
      <c r="J74" s="66"/>
      <c r="K74" s="66"/>
      <c r="L74" s="66"/>
      <c r="M74" s="66"/>
      <c r="N74" s="66"/>
      <c r="O74" s="66"/>
      <c r="P74" s="66"/>
      <c r="Q74" s="66"/>
      <c r="R74" s="66"/>
      <c r="S74" s="66"/>
      <c r="T74" s="66"/>
      <c r="U74" s="66"/>
    </row>
    <row r="75" spans="7:21" s="13" customFormat="1">
      <c r="G75" s="38"/>
      <c r="H75" s="66"/>
      <c r="I75" s="66"/>
      <c r="J75" s="66"/>
      <c r="K75" s="66"/>
      <c r="L75" s="66"/>
      <c r="M75" s="66"/>
      <c r="N75" s="66"/>
      <c r="O75" s="66"/>
      <c r="P75" s="66"/>
      <c r="Q75" s="66"/>
      <c r="R75" s="66"/>
      <c r="S75" s="66"/>
      <c r="T75" s="66"/>
      <c r="U75" s="66"/>
    </row>
    <row r="76" spans="7:21" s="13" customFormat="1">
      <c r="G76" s="38"/>
      <c r="H76" s="66"/>
      <c r="I76" s="66"/>
      <c r="J76" s="66"/>
      <c r="K76" s="66"/>
      <c r="L76" s="66"/>
      <c r="M76" s="66"/>
      <c r="N76" s="66"/>
      <c r="O76" s="66"/>
      <c r="P76" s="66"/>
      <c r="Q76" s="66"/>
      <c r="R76" s="66"/>
      <c r="S76" s="66"/>
      <c r="T76" s="66"/>
      <c r="U76" s="66"/>
    </row>
    <row r="77" spans="7:21" s="13" customFormat="1">
      <c r="G77" s="38"/>
      <c r="H77" s="66"/>
      <c r="I77" s="66"/>
      <c r="J77" s="66"/>
      <c r="K77" s="66"/>
      <c r="L77" s="66"/>
      <c r="M77" s="66"/>
      <c r="N77" s="66"/>
      <c r="O77" s="66"/>
      <c r="P77" s="66"/>
      <c r="Q77" s="66"/>
      <c r="R77" s="66"/>
      <c r="S77" s="66"/>
      <c r="T77" s="66"/>
      <c r="U77" s="66"/>
    </row>
    <row r="78" spans="7:21" s="13" customFormat="1" ht="21">
      <c r="G78" s="38"/>
      <c r="H78" s="601"/>
      <c r="I78" s="601"/>
      <c r="J78" s="601"/>
      <c r="K78" s="601"/>
      <c r="L78" s="601"/>
      <c r="M78" s="601"/>
      <c r="N78" s="66"/>
      <c r="O78" s="66"/>
      <c r="P78" s="66"/>
      <c r="Q78" s="66"/>
      <c r="R78" s="66"/>
      <c r="S78" s="66"/>
      <c r="T78" s="66"/>
      <c r="U78" s="66"/>
    </row>
    <row r="79" spans="7:21" s="13" customFormat="1">
      <c r="G79" s="38"/>
      <c r="H79" s="66"/>
      <c r="I79" s="66"/>
      <c r="J79" s="66"/>
      <c r="K79" s="66"/>
      <c r="L79" s="66"/>
      <c r="M79" s="66"/>
      <c r="N79" s="66"/>
      <c r="O79" s="66"/>
      <c r="P79" s="66"/>
      <c r="Q79" s="66"/>
      <c r="R79" s="66"/>
      <c r="S79" s="66"/>
      <c r="T79" s="66"/>
      <c r="U79" s="66"/>
    </row>
    <row r="80" spans="7:21" s="13" customFormat="1">
      <c r="G80" s="38"/>
      <c r="H80" s="66"/>
      <c r="I80" s="66"/>
      <c r="J80" s="66"/>
      <c r="K80" s="66"/>
      <c r="L80" s="66"/>
      <c r="M80" s="66"/>
      <c r="N80" s="66"/>
      <c r="O80" s="66"/>
      <c r="P80" s="66"/>
      <c r="Q80" s="66"/>
      <c r="R80" s="66"/>
      <c r="S80" s="66"/>
      <c r="T80" s="66"/>
      <c r="U80" s="66"/>
    </row>
    <row r="81" spans="7:21" s="13" customFormat="1">
      <c r="G81" s="38"/>
      <c r="H81" s="66"/>
      <c r="I81" s="66"/>
      <c r="J81" s="66"/>
      <c r="K81" s="66"/>
      <c r="L81" s="66"/>
      <c r="M81" s="66"/>
      <c r="N81" s="66"/>
      <c r="O81" s="66"/>
      <c r="P81" s="66"/>
      <c r="Q81" s="66"/>
      <c r="R81" s="66"/>
      <c r="S81" s="66"/>
      <c r="T81" s="66"/>
      <c r="U81" s="66"/>
    </row>
    <row r="82" spans="7:21" s="13" customFormat="1">
      <c r="G82" s="38"/>
      <c r="H82" s="66"/>
      <c r="I82" s="66"/>
      <c r="J82" s="66"/>
      <c r="K82" s="66"/>
      <c r="L82" s="66"/>
      <c r="M82" s="66"/>
      <c r="N82" s="66"/>
      <c r="O82" s="66"/>
      <c r="P82" s="66"/>
      <c r="Q82" s="66"/>
      <c r="R82" s="66"/>
      <c r="S82" s="66"/>
      <c r="T82" s="66"/>
      <c r="U82" s="66"/>
    </row>
    <row r="83" spans="7:21" s="13" customFormat="1">
      <c r="G83" s="38"/>
      <c r="H83" s="66"/>
      <c r="I83" s="66"/>
      <c r="J83" s="66"/>
      <c r="K83" s="66"/>
      <c r="L83" s="66"/>
      <c r="M83" s="66"/>
      <c r="N83" s="66"/>
      <c r="O83" s="66"/>
      <c r="P83" s="66"/>
      <c r="Q83" s="66"/>
      <c r="R83" s="66"/>
      <c r="S83" s="66"/>
      <c r="T83" s="66"/>
      <c r="U83" s="66"/>
    </row>
    <row r="84" spans="7:21" s="13" customFormat="1">
      <c r="G84" s="38"/>
      <c r="H84" s="66"/>
      <c r="I84" s="66"/>
      <c r="J84" s="66"/>
      <c r="K84" s="66"/>
      <c r="L84" s="66"/>
      <c r="M84" s="66"/>
      <c r="N84" s="66"/>
      <c r="O84" s="66"/>
      <c r="P84" s="66"/>
      <c r="Q84" s="66"/>
      <c r="R84" s="66"/>
      <c r="S84" s="66"/>
      <c r="T84" s="66"/>
      <c r="U84" s="66"/>
    </row>
    <row r="85" spans="7:21" s="13" customFormat="1">
      <c r="G85" s="38"/>
      <c r="H85" s="66"/>
      <c r="I85" s="66"/>
      <c r="J85" s="66"/>
      <c r="K85" s="66"/>
      <c r="L85" s="66"/>
      <c r="M85" s="66"/>
      <c r="N85" s="66"/>
      <c r="O85" s="66"/>
      <c r="P85" s="66"/>
      <c r="Q85" s="66"/>
      <c r="R85" s="66"/>
      <c r="S85" s="66"/>
      <c r="T85" s="66"/>
      <c r="U85" s="66"/>
    </row>
    <row r="86" spans="7:21" s="13" customFormat="1">
      <c r="G86" s="38"/>
      <c r="H86" s="66"/>
      <c r="I86" s="66"/>
      <c r="J86" s="66"/>
      <c r="K86" s="66"/>
      <c r="L86" s="66"/>
      <c r="M86" s="66"/>
      <c r="N86" s="66"/>
      <c r="O86" s="66"/>
      <c r="P86" s="66"/>
      <c r="Q86" s="66"/>
      <c r="R86" s="66"/>
      <c r="S86" s="66"/>
      <c r="T86" s="66"/>
      <c r="U86" s="66"/>
    </row>
    <row r="87" spans="7:21" s="13" customFormat="1">
      <c r="G87" s="38"/>
      <c r="H87" s="66"/>
      <c r="I87" s="66"/>
      <c r="J87" s="66"/>
      <c r="K87" s="66"/>
      <c r="L87" s="66"/>
      <c r="M87" s="66"/>
      <c r="N87" s="66"/>
      <c r="O87" s="66"/>
      <c r="P87" s="66"/>
      <c r="Q87" s="66"/>
      <c r="R87" s="66"/>
      <c r="S87" s="66"/>
      <c r="T87" s="66"/>
      <c r="U87" s="66"/>
    </row>
    <row r="88" spans="7:21" s="13" customFormat="1" ht="15" customHeight="1">
      <c r="G88" s="38"/>
      <c r="H88" s="66"/>
      <c r="I88" s="66"/>
      <c r="J88" s="66"/>
      <c r="K88" s="66"/>
      <c r="L88" s="66"/>
      <c r="M88" s="66"/>
      <c r="N88" s="66"/>
      <c r="O88" s="66"/>
      <c r="P88" s="66"/>
      <c r="Q88" s="66"/>
      <c r="R88" s="66"/>
      <c r="S88" s="66"/>
      <c r="T88" s="66"/>
      <c r="U88" s="66"/>
    </row>
    <row r="89" spans="7:21" s="13" customFormat="1">
      <c r="G89" s="38"/>
      <c r="H89" s="66"/>
      <c r="I89" s="66"/>
      <c r="J89" s="66"/>
      <c r="K89" s="66"/>
      <c r="L89" s="66"/>
      <c r="M89" s="66"/>
      <c r="N89" s="66"/>
      <c r="O89" s="66"/>
      <c r="P89" s="66"/>
      <c r="Q89" s="66"/>
      <c r="R89" s="66"/>
      <c r="S89" s="66"/>
      <c r="T89" s="66"/>
      <c r="U89" s="66"/>
    </row>
    <row r="90" spans="7:21" s="13" customFormat="1">
      <c r="G90" s="38"/>
      <c r="H90" s="66"/>
      <c r="I90" s="66"/>
      <c r="J90" s="66"/>
      <c r="K90" s="66"/>
      <c r="L90" s="66"/>
      <c r="M90" s="66"/>
      <c r="N90" s="66"/>
      <c r="O90" s="66"/>
      <c r="P90" s="66"/>
      <c r="Q90" s="66"/>
      <c r="R90" s="66"/>
      <c r="S90" s="66"/>
      <c r="T90" s="66"/>
      <c r="U90" s="66"/>
    </row>
    <row r="91" spans="7:21" s="13" customFormat="1">
      <c r="G91" s="38"/>
      <c r="H91" s="66"/>
      <c r="I91" s="66"/>
      <c r="J91" s="66"/>
      <c r="K91" s="66"/>
      <c r="L91" s="66"/>
      <c r="M91" s="66"/>
      <c r="N91" s="66"/>
      <c r="O91" s="66"/>
      <c r="P91" s="66"/>
      <c r="Q91" s="66"/>
      <c r="R91" s="66"/>
      <c r="S91" s="66"/>
      <c r="T91" s="66"/>
      <c r="U91" s="66"/>
    </row>
    <row r="92" spans="7:21" s="13" customFormat="1">
      <c r="G92" s="38"/>
      <c r="H92" s="66"/>
      <c r="I92" s="66"/>
      <c r="J92" s="66"/>
      <c r="K92" s="66"/>
      <c r="L92" s="66"/>
      <c r="M92" s="66"/>
      <c r="N92" s="66"/>
      <c r="O92" s="66"/>
      <c r="P92" s="66"/>
      <c r="Q92" s="66"/>
      <c r="R92" s="66"/>
      <c r="S92" s="66"/>
      <c r="T92" s="66"/>
      <c r="U92" s="66"/>
    </row>
    <row r="93" spans="7:21" s="13" customFormat="1">
      <c r="G93" s="38"/>
      <c r="H93" s="66"/>
      <c r="I93" s="66"/>
      <c r="J93" s="66"/>
      <c r="K93" s="66"/>
      <c r="L93" s="66"/>
      <c r="M93" s="66"/>
      <c r="N93" s="66"/>
      <c r="O93" s="66"/>
      <c r="P93" s="66"/>
      <c r="Q93" s="66"/>
      <c r="R93" s="66"/>
      <c r="S93" s="66"/>
      <c r="T93" s="66"/>
      <c r="U93" s="66"/>
    </row>
    <row r="94" spans="7:21" s="13" customFormat="1">
      <c r="G94" s="38"/>
      <c r="H94" s="66"/>
      <c r="I94" s="66"/>
      <c r="J94" s="66"/>
      <c r="K94" s="66"/>
      <c r="L94" s="66"/>
      <c r="M94" s="66"/>
      <c r="N94" s="66"/>
      <c r="O94" s="66"/>
      <c r="P94" s="66"/>
      <c r="Q94" s="66"/>
      <c r="R94" s="66"/>
      <c r="S94" s="66"/>
      <c r="T94" s="66"/>
      <c r="U94" s="66"/>
    </row>
    <row r="95" spans="7:21" s="13" customFormat="1">
      <c r="G95" s="38"/>
      <c r="H95" s="66"/>
      <c r="I95" s="66"/>
      <c r="J95" s="66"/>
      <c r="K95" s="66"/>
      <c r="L95" s="66"/>
      <c r="M95" s="66"/>
      <c r="N95" s="66"/>
      <c r="O95" s="66"/>
      <c r="P95" s="66"/>
      <c r="Q95" s="66"/>
      <c r="R95" s="66"/>
      <c r="S95" s="66"/>
      <c r="T95" s="66"/>
      <c r="U95" s="66"/>
    </row>
    <row r="96" spans="7:21" s="13" customFormat="1">
      <c r="G96" s="38"/>
      <c r="H96" s="66"/>
      <c r="I96" s="66"/>
      <c r="J96" s="66"/>
      <c r="K96" s="66"/>
      <c r="L96" s="66"/>
      <c r="M96" s="66"/>
      <c r="N96" s="66"/>
      <c r="O96" s="66"/>
      <c r="P96" s="66"/>
      <c r="Q96" s="66"/>
      <c r="R96" s="66"/>
      <c r="S96" s="66"/>
      <c r="T96" s="66"/>
      <c r="U96" s="66"/>
    </row>
    <row r="97" spans="6:21" s="13" customFormat="1">
      <c r="G97" s="38"/>
      <c r="H97" s="66"/>
      <c r="I97" s="66"/>
      <c r="J97" s="66"/>
      <c r="K97" s="66"/>
      <c r="L97" s="66"/>
      <c r="M97" s="66"/>
      <c r="N97" s="66"/>
      <c r="O97" s="66"/>
      <c r="P97" s="66"/>
      <c r="Q97" s="66"/>
      <c r="R97" s="66"/>
      <c r="S97" s="66"/>
      <c r="T97" s="66"/>
      <c r="U97" s="66"/>
    </row>
    <row r="98" spans="6:21" s="13" customFormat="1">
      <c r="G98" s="38"/>
      <c r="H98" s="66"/>
      <c r="I98" s="66"/>
      <c r="J98" s="66"/>
      <c r="K98" s="66"/>
      <c r="L98" s="66"/>
      <c r="M98" s="66"/>
      <c r="N98" s="66"/>
      <c r="O98" s="66"/>
      <c r="P98" s="66"/>
      <c r="Q98" s="66"/>
      <c r="R98" s="66"/>
      <c r="S98" s="66"/>
      <c r="T98" s="66"/>
      <c r="U98" s="66"/>
    </row>
    <row r="99" spans="6:21" s="13" customFormat="1">
      <c r="G99" s="38"/>
      <c r="H99" s="66"/>
      <c r="I99" s="66"/>
      <c r="J99" s="66"/>
      <c r="K99" s="66"/>
      <c r="L99" s="66"/>
      <c r="M99" s="66"/>
      <c r="N99" s="66"/>
      <c r="O99" s="66"/>
      <c r="P99" s="66"/>
      <c r="Q99" s="66"/>
      <c r="R99" s="66"/>
      <c r="S99" s="66"/>
      <c r="T99" s="66"/>
      <c r="U99" s="66"/>
    </row>
    <row r="100" spans="6:21" s="13" customFormat="1">
      <c r="G100" s="38"/>
      <c r="H100" s="66"/>
      <c r="I100" s="66"/>
      <c r="J100" s="66"/>
      <c r="K100" s="66"/>
      <c r="L100" s="66"/>
      <c r="M100" s="66"/>
      <c r="N100" s="66"/>
      <c r="O100" s="66"/>
      <c r="P100" s="66"/>
      <c r="Q100" s="66"/>
      <c r="R100" s="66"/>
      <c r="S100" s="66"/>
      <c r="T100" s="66"/>
      <c r="U100" s="66"/>
    </row>
    <row r="101" spans="6:21" s="13" customFormat="1">
      <c r="G101" s="38"/>
      <c r="H101" s="66"/>
      <c r="I101" s="66"/>
      <c r="J101" s="66"/>
      <c r="K101" s="66"/>
      <c r="L101" s="66"/>
      <c r="M101" s="66"/>
      <c r="N101" s="66"/>
      <c r="O101" s="66"/>
      <c r="P101" s="66"/>
      <c r="Q101" s="66"/>
      <c r="R101" s="66"/>
      <c r="S101" s="66"/>
      <c r="T101" s="66"/>
      <c r="U101" s="66"/>
    </row>
    <row r="102" spans="6:21" s="13" customFormat="1">
      <c r="G102" s="38"/>
      <c r="H102" s="66"/>
      <c r="I102" s="66"/>
      <c r="J102" s="66"/>
      <c r="K102" s="66"/>
      <c r="L102" s="66"/>
      <c r="M102" s="66"/>
      <c r="N102" s="66"/>
      <c r="O102" s="66"/>
      <c r="P102" s="66"/>
      <c r="Q102" s="66"/>
      <c r="R102" s="66"/>
      <c r="S102" s="66"/>
      <c r="T102" s="66"/>
      <c r="U102" s="66"/>
    </row>
    <row r="103" spans="6:21" s="13" customFormat="1">
      <c r="G103" s="38"/>
      <c r="H103" s="66"/>
      <c r="I103" s="66"/>
      <c r="J103" s="66"/>
      <c r="K103" s="66"/>
      <c r="L103" s="66"/>
      <c r="M103" s="66"/>
      <c r="N103" s="66"/>
      <c r="O103" s="66"/>
      <c r="P103" s="66"/>
      <c r="Q103" s="66"/>
      <c r="R103" s="66"/>
      <c r="S103" s="66"/>
      <c r="T103" s="66"/>
      <c r="U103" s="66"/>
    </row>
    <row r="104" spans="6:21" s="13" customFormat="1">
      <c r="G104" s="38"/>
      <c r="H104" s="66"/>
      <c r="I104" s="66"/>
      <c r="J104" s="66"/>
      <c r="K104" s="66"/>
      <c r="L104" s="66"/>
      <c r="M104" s="66"/>
      <c r="N104" s="66"/>
      <c r="O104" s="66"/>
      <c r="P104" s="66"/>
      <c r="Q104" s="66"/>
      <c r="R104" s="66"/>
      <c r="S104" s="66"/>
      <c r="T104" s="66"/>
      <c r="U104" s="66"/>
    </row>
    <row r="105" spans="6:21" s="13" customFormat="1">
      <c r="G105" s="38"/>
      <c r="H105" s="66"/>
      <c r="I105" s="66"/>
      <c r="J105" s="66"/>
      <c r="K105" s="66"/>
      <c r="L105" s="66"/>
      <c r="M105" s="66"/>
      <c r="N105" s="66"/>
      <c r="O105" s="66"/>
      <c r="P105" s="66"/>
      <c r="Q105" s="66"/>
      <c r="R105" s="66"/>
      <c r="S105" s="66"/>
      <c r="T105" s="66"/>
      <c r="U105" s="66"/>
    </row>
    <row r="106" spans="6:21" s="13" customFormat="1">
      <c r="G106" s="38"/>
      <c r="H106" s="66"/>
      <c r="I106" s="66"/>
      <c r="J106" s="66"/>
      <c r="K106" s="66"/>
      <c r="L106" s="66"/>
      <c r="M106" s="66"/>
      <c r="N106" s="66"/>
      <c r="O106" s="66"/>
      <c r="P106" s="66"/>
      <c r="Q106" s="66"/>
      <c r="R106" s="66"/>
      <c r="S106" s="66"/>
      <c r="T106" s="66"/>
      <c r="U106" s="66"/>
    </row>
    <row r="107" spans="6:21" s="13" customFormat="1">
      <c r="G107" s="38"/>
      <c r="H107" s="66"/>
      <c r="I107" s="66"/>
      <c r="J107" s="66"/>
      <c r="K107" s="66"/>
      <c r="L107" s="66"/>
      <c r="M107" s="66"/>
      <c r="N107" s="66"/>
      <c r="O107" s="66"/>
      <c r="P107" s="66"/>
      <c r="Q107" s="66"/>
      <c r="R107" s="66"/>
      <c r="S107" s="66"/>
      <c r="T107" s="66"/>
      <c r="U107" s="66"/>
    </row>
    <row r="108" spans="6:21" s="13" customFormat="1">
      <c r="F108" s="99"/>
      <c r="H108" s="66"/>
      <c r="I108" s="66"/>
      <c r="J108" s="66"/>
      <c r="K108" s="66"/>
      <c r="L108" s="66"/>
      <c r="M108" s="66"/>
      <c r="N108" s="66"/>
      <c r="O108" s="66"/>
      <c r="P108" s="66"/>
      <c r="Q108" s="66"/>
      <c r="R108" s="66"/>
      <c r="S108" s="66"/>
      <c r="T108" s="66"/>
      <c r="U108" s="66"/>
    </row>
    <row r="109" spans="6:21" s="13" customFormat="1">
      <c r="F109" s="99"/>
      <c r="H109" s="66"/>
      <c r="I109" s="66"/>
      <c r="J109" s="66"/>
      <c r="K109" s="66"/>
      <c r="L109" s="66"/>
      <c r="M109" s="66"/>
      <c r="N109" s="66"/>
      <c r="O109" s="66"/>
      <c r="P109" s="66"/>
      <c r="Q109" s="66"/>
      <c r="R109" s="66"/>
      <c r="S109" s="66"/>
      <c r="T109" s="66"/>
      <c r="U109" s="66"/>
    </row>
    <row r="110" spans="6:21" s="13" customFormat="1">
      <c r="F110" s="99"/>
      <c r="H110" s="66"/>
      <c r="I110" s="66"/>
      <c r="J110" s="66"/>
      <c r="K110" s="66"/>
      <c r="L110" s="66"/>
      <c r="M110" s="66"/>
      <c r="N110" s="66"/>
      <c r="O110" s="66"/>
      <c r="P110" s="66"/>
      <c r="Q110" s="66"/>
      <c r="R110" s="66"/>
      <c r="S110" s="66"/>
      <c r="T110" s="66"/>
      <c r="U110" s="66"/>
    </row>
    <row r="111" spans="6:21" s="13" customFormat="1">
      <c r="F111" s="99"/>
      <c r="H111" s="66"/>
      <c r="I111" s="66"/>
      <c r="J111" s="66"/>
      <c r="K111" s="66"/>
      <c r="L111" s="66"/>
      <c r="M111" s="66"/>
      <c r="N111" s="66"/>
      <c r="O111" s="66"/>
      <c r="P111" s="66"/>
      <c r="Q111" s="66"/>
      <c r="R111" s="66"/>
      <c r="S111" s="66"/>
      <c r="T111" s="66"/>
      <c r="U111" s="66"/>
    </row>
    <row r="112" spans="6:21" s="13" customFormat="1">
      <c r="F112" s="99"/>
      <c r="H112" s="66"/>
      <c r="I112" s="66"/>
      <c r="J112" s="66"/>
      <c r="K112" s="66"/>
      <c r="L112" s="66"/>
      <c r="M112" s="66"/>
      <c r="N112" s="66"/>
      <c r="O112" s="66"/>
      <c r="P112" s="66"/>
      <c r="Q112" s="66"/>
      <c r="R112" s="66"/>
      <c r="S112" s="66"/>
      <c r="T112" s="66"/>
      <c r="U112" s="66"/>
    </row>
    <row r="113" spans="6:21" s="13" customFormat="1">
      <c r="F113" s="99"/>
      <c r="H113" s="66"/>
      <c r="I113" s="66"/>
      <c r="J113" s="66"/>
      <c r="K113" s="66"/>
      <c r="L113" s="66"/>
      <c r="M113" s="66"/>
      <c r="N113" s="66"/>
      <c r="O113" s="66"/>
      <c r="P113" s="66"/>
      <c r="Q113" s="66"/>
      <c r="R113" s="66"/>
      <c r="S113" s="66"/>
      <c r="T113" s="66"/>
      <c r="U113" s="66"/>
    </row>
    <row r="114" spans="6:21" s="13" customFormat="1">
      <c r="F114" s="99"/>
      <c r="H114" s="66"/>
      <c r="I114" s="66"/>
      <c r="J114" s="66"/>
      <c r="K114" s="66"/>
      <c r="L114" s="66"/>
      <c r="M114" s="66"/>
      <c r="N114" s="66"/>
      <c r="O114" s="66"/>
      <c r="P114" s="66"/>
      <c r="Q114" s="66"/>
      <c r="R114" s="66"/>
      <c r="S114" s="66"/>
      <c r="T114" s="66"/>
      <c r="U114" s="66"/>
    </row>
    <row r="115" spans="6:21" s="13" customFormat="1">
      <c r="F115" s="99"/>
      <c r="H115" s="66"/>
      <c r="I115" s="66"/>
      <c r="J115" s="66"/>
      <c r="K115" s="66"/>
      <c r="L115" s="66"/>
      <c r="M115" s="66"/>
      <c r="N115" s="66"/>
      <c r="O115" s="66"/>
      <c r="P115" s="66"/>
      <c r="Q115" s="66"/>
      <c r="R115" s="66"/>
      <c r="S115" s="66"/>
      <c r="T115" s="66"/>
      <c r="U115" s="66"/>
    </row>
    <row r="116" spans="6:21" s="13" customFormat="1">
      <c r="F116" s="99"/>
      <c r="H116" s="66"/>
      <c r="I116" s="66"/>
      <c r="J116" s="66"/>
      <c r="K116" s="66"/>
      <c r="L116" s="66"/>
      <c r="M116" s="66"/>
      <c r="N116" s="66"/>
      <c r="O116" s="66"/>
      <c r="P116" s="66"/>
      <c r="Q116" s="66"/>
      <c r="R116" s="66"/>
      <c r="S116" s="66"/>
      <c r="T116" s="66"/>
      <c r="U116" s="66"/>
    </row>
    <row r="117" spans="6:21" s="13" customFormat="1">
      <c r="F117" s="99"/>
      <c r="H117" s="66"/>
      <c r="I117" s="66"/>
      <c r="J117" s="66"/>
      <c r="K117" s="66"/>
      <c r="L117" s="66"/>
      <c r="M117" s="66"/>
      <c r="N117" s="66"/>
      <c r="O117" s="66"/>
      <c r="P117" s="66"/>
      <c r="Q117" s="66"/>
      <c r="R117" s="66"/>
      <c r="S117" s="66"/>
      <c r="T117" s="66"/>
      <c r="U117" s="66"/>
    </row>
    <row r="118" spans="6:21" s="13" customFormat="1">
      <c r="F118" s="99"/>
      <c r="H118" s="66"/>
      <c r="I118" s="66"/>
      <c r="J118" s="66"/>
      <c r="K118" s="66"/>
      <c r="L118" s="66"/>
      <c r="M118" s="66"/>
      <c r="N118" s="66"/>
      <c r="O118" s="66"/>
      <c r="P118" s="66"/>
      <c r="Q118" s="66"/>
      <c r="R118" s="66"/>
      <c r="S118" s="66"/>
      <c r="T118" s="66"/>
      <c r="U118" s="66"/>
    </row>
    <row r="119" spans="6:21" s="13" customFormat="1">
      <c r="F119" s="99"/>
      <c r="H119" s="66"/>
      <c r="I119" s="66"/>
      <c r="J119" s="66"/>
      <c r="K119" s="66"/>
      <c r="L119" s="66"/>
      <c r="M119" s="66"/>
      <c r="N119" s="66"/>
      <c r="O119" s="66"/>
      <c r="P119" s="66"/>
      <c r="Q119" s="66"/>
      <c r="R119" s="66"/>
      <c r="S119" s="66"/>
      <c r="T119" s="66"/>
      <c r="U119" s="66"/>
    </row>
    <row r="120" spans="6:21" s="13" customFormat="1">
      <c r="F120" s="99"/>
      <c r="H120" s="66"/>
      <c r="I120" s="66"/>
      <c r="J120" s="66"/>
      <c r="K120" s="66"/>
      <c r="L120" s="66"/>
      <c r="M120" s="66"/>
      <c r="N120" s="66"/>
      <c r="O120" s="66"/>
      <c r="P120" s="66"/>
      <c r="Q120" s="66"/>
      <c r="R120" s="66"/>
      <c r="S120" s="66"/>
      <c r="T120" s="66"/>
      <c r="U120" s="66"/>
    </row>
    <row r="121" spans="6:21" s="13" customFormat="1">
      <c r="F121" s="99"/>
      <c r="H121" s="66"/>
      <c r="I121" s="66"/>
      <c r="J121" s="66"/>
      <c r="K121" s="66"/>
      <c r="L121" s="66"/>
      <c r="M121" s="66"/>
      <c r="N121" s="66"/>
      <c r="O121" s="66"/>
      <c r="P121" s="66"/>
      <c r="Q121" s="66"/>
      <c r="R121" s="66"/>
      <c r="S121" s="66"/>
      <c r="T121" s="66"/>
      <c r="U121" s="66"/>
    </row>
    <row r="122" spans="6:21" s="13" customFormat="1">
      <c r="F122" s="99"/>
      <c r="H122" s="66"/>
      <c r="I122" s="66"/>
      <c r="J122" s="66"/>
      <c r="K122" s="66"/>
      <c r="L122" s="66"/>
      <c r="M122" s="66"/>
      <c r="N122" s="66"/>
      <c r="O122" s="66"/>
      <c r="P122" s="66"/>
      <c r="Q122" s="66"/>
      <c r="R122" s="66"/>
      <c r="S122" s="66"/>
      <c r="T122" s="66"/>
      <c r="U122" s="66"/>
    </row>
    <row r="123" spans="6:21" s="13" customFormat="1">
      <c r="F123" s="99"/>
      <c r="H123" s="66"/>
      <c r="I123" s="66"/>
      <c r="J123" s="66"/>
      <c r="K123" s="66"/>
      <c r="L123" s="66"/>
      <c r="M123" s="66"/>
      <c r="N123" s="66"/>
      <c r="O123" s="66"/>
      <c r="P123" s="66"/>
      <c r="Q123" s="66"/>
      <c r="R123" s="66"/>
      <c r="S123" s="66"/>
      <c r="T123" s="66"/>
      <c r="U123" s="66"/>
    </row>
    <row r="124" spans="6:21" s="13" customFormat="1">
      <c r="F124" s="99"/>
      <c r="H124" s="66"/>
      <c r="I124" s="66"/>
      <c r="J124" s="66"/>
      <c r="K124" s="66"/>
      <c r="L124" s="66"/>
      <c r="M124" s="66"/>
      <c r="N124" s="66"/>
      <c r="O124" s="66"/>
      <c r="P124" s="66"/>
      <c r="Q124" s="66"/>
      <c r="R124" s="66"/>
      <c r="S124" s="66"/>
      <c r="T124" s="66"/>
      <c r="U124" s="66"/>
    </row>
    <row r="125" spans="6:21" s="13" customFormat="1">
      <c r="F125" s="99"/>
      <c r="H125" s="66"/>
      <c r="I125" s="66"/>
      <c r="J125" s="66"/>
      <c r="K125" s="66"/>
      <c r="L125" s="66"/>
      <c r="M125" s="66"/>
      <c r="N125" s="66"/>
      <c r="O125" s="66"/>
      <c r="P125" s="66"/>
      <c r="Q125" s="66"/>
      <c r="R125" s="66"/>
      <c r="S125" s="66"/>
      <c r="T125" s="66"/>
      <c r="U125" s="66"/>
    </row>
    <row r="126" spans="6:21" s="13" customFormat="1">
      <c r="F126" s="99"/>
      <c r="H126" s="66"/>
      <c r="I126" s="66"/>
      <c r="J126" s="66"/>
      <c r="K126" s="66"/>
      <c r="L126" s="66"/>
      <c r="M126" s="66"/>
      <c r="N126" s="66"/>
      <c r="O126" s="66"/>
      <c r="P126" s="66"/>
      <c r="Q126" s="66"/>
      <c r="R126" s="66"/>
      <c r="S126" s="66"/>
      <c r="T126" s="66"/>
      <c r="U126" s="66"/>
    </row>
    <row r="127" spans="6:21" s="13" customFormat="1">
      <c r="F127" s="99"/>
      <c r="H127" s="66"/>
      <c r="I127" s="66"/>
      <c r="J127" s="66"/>
      <c r="K127" s="66"/>
      <c r="L127" s="66"/>
      <c r="M127" s="66"/>
      <c r="N127" s="66"/>
      <c r="O127" s="66"/>
      <c r="P127" s="66"/>
      <c r="Q127" s="66"/>
      <c r="R127" s="66"/>
      <c r="S127" s="66"/>
      <c r="T127" s="66"/>
      <c r="U127" s="66"/>
    </row>
    <row r="128" spans="6:21" s="13" customFormat="1">
      <c r="F128" s="99"/>
      <c r="H128" s="66"/>
      <c r="I128" s="66"/>
      <c r="J128" s="66"/>
      <c r="K128" s="66"/>
      <c r="L128" s="66"/>
      <c r="M128" s="66"/>
      <c r="N128" s="66"/>
      <c r="O128" s="66"/>
      <c r="P128" s="66"/>
      <c r="Q128" s="66"/>
      <c r="R128" s="66"/>
      <c r="S128" s="66"/>
      <c r="T128" s="66"/>
      <c r="U128" s="66"/>
    </row>
    <row r="129" spans="6:21" s="13" customFormat="1">
      <c r="F129" s="99"/>
      <c r="H129" s="66"/>
      <c r="I129" s="66"/>
      <c r="J129" s="66"/>
      <c r="K129" s="66"/>
      <c r="L129" s="66"/>
      <c r="M129" s="66"/>
      <c r="N129" s="66"/>
      <c r="O129" s="66"/>
      <c r="P129" s="66"/>
      <c r="Q129" s="66"/>
      <c r="R129" s="66"/>
      <c r="S129" s="66"/>
      <c r="T129" s="66"/>
      <c r="U129" s="66"/>
    </row>
    <row r="130" spans="6:21" s="13" customFormat="1">
      <c r="F130" s="99"/>
      <c r="H130" s="66"/>
      <c r="I130" s="66"/>
      <c r="J130" s="66"/>
      <c r="K130" s="66"/>
      <c r="L130" s="66"/>
      <c r="M130" s="66"/>
      <c r="N130" s="66"/>
      <c r="O130" s="66"/>
      <c r="P130" s="66"/>
      <c r="Q130" s="66"/>
      <c r="R130" s="66"/>
      <c r="S130" s="66"/>
      <c r="T130" s="66"/>
      <c r="U130" s="66"/>
    </row>
    <row r="131" spans="6:21" s="13" customFormat="1">
      <c r="F131" s="99"/>
      <c r="H131" s="66"/>
      <c r="I131" s="66"/>
      <c r="J131" s="66"/>
      <c r="K131" s="66"/>
      <c r="L131" s="66"/>
      <c r="M131" s="66"/>
      <c r="N131" s="66"/>
      <c r="O131" s="66"/>
      <c r="P131" s="66"/>
      <c r="Q131" s="66"/>
      <c r="R131" s="66"/>
      <c r="S131" s="66"/>
      <c r="T131" s="66"/>
      <c r="U131" s="66"/>
    </row>
    <row r="132" spans="6:21" s="13" customFormat="1">
      <c r="F132" s="99"/>
      <c r="H132" s="66"/>
      <c r="I132" s="66"/>
      <c r="J132" s="66"/>
      <c r="K132" s="66"/>
      <c r="L132" s="66"/>
      <c r="M132" s="66"/>
      <c r="N132" s="66"/>
      <c r="O132" s="66"/>
      <c r="P132" s="66"/>
      <c r="Q132" s="66"/>
      <c r="R132" s="66"/>
      <c r="S132" s="66"/>
      <c r="T132" s="66"/>
      <c r="U132" s="66"/>
    </row>
    <row r="133" spans="6:21" s="13" customFormat="1">
      <c r="F133" s="99"/>
      <c r="H133" s="66"/>
      <c r="I133" s="66"/>
      <c r="J133" s="66"/>
      <c r="K133" s="66"/>
      <c r="L133" s="66"/>
      <c r="M133" s="66"/>
      <c r="N133" s="66"/>
      <c r="O133" s="66"/>
      <c r="P133" s="66"/>
      <c r="Q133" s="66"/>
      <c r="R133" s="66"/>
      <c r="S133" s="66"/>
      <c r="T133" s="66"/>
      <c r="U133" s="66"/>
    </row>
    <row r="134" spans="6:21" s="13" customFormat="1">
      <c r="F134" s="99"/>
      <c r="H134" s="66"/>
      <c r="I134" s="66"/>
      <c r="J134" s="66"/>
      <c r="K134" s="66"/>
      <c r="L134" s="66"/>
      <c r="M134" s="66"/>
      <c r="N134" s="66"/>
      <c r="O134" s="66"/>
      <c r="P134" s="66"/>
      <c r="Q134" s="66"/>
      <c r="R134" s="66"/>
      <c r="S134" s="66"/>
      <c r="T134" s="66"/>
      <c r="U134" s="66"/>
    </row>
    <row r="135" spans="6:21" s="13" customFormat="1">
      <c r="F135" s="99"/>
      <c r="H135" s="66"/>
      <c r="I135" s="66"/>
      <c r="J135" s="66"/>
      <c r="K135" s="66"/>
      <c r="L135" s="66"/>
      <c r="M135" s="66"/>
      <c r="N135" s="66"/>
      <c r="O135" s="66"/>
      <c r="P135" s="66"/>
      <c r="Q135" s="66"/>
      <c r="R135" s="66"/>
      <c r="S135" s="66"/>
      <c r="T135" s="66"/>
      <c r="U135" s="66"/>
    </row>
    <row r="136" spans="6:21" s="13" customFormat="1">
      <c r="F136" s="99"/>
      <c r="H136" s="66"/>
      <c r="I136" s="66"/>
      <c r="J136" s="66"/>
      <c r="K136" s="66"/>
      <c r="L136" s="66"/>
      <c r="M136" s="66"/>
      <c r="N136" s="66"/>
      <c r="O136" s="66"/>
      <c r="P136" s="66"/>
      <c r="Q136" s="66"/>
      <c r="R136" s="66"/>
      <c r="S136" s="66"/>
      <c r="T136" s="66"/>
      <c r="U136" s="66"/>
    </row>
    <row r="137" spans="6:21" s="13" customFormat="1">
      <c r="F137" s="99"/>
      <c r="H137" s="66"/>
      <c r="I137" s="66"/>
      <c r="J137" s="66"/>
      <c r="K137" s="66"/>
      <c r="L137" s="66"/>
      <c r="M137" s="66"/>
      <c r="N137" s="66"/>
      <c r="O137" s="66"/>
      <c r="P137" s="66"/>
      <c r="Q137" s="66"/>
      <c r="R137" s="66"/>
      <c r="S137" s="66"/>
      <c r="T137" s="66"/>
      <c r="U137" s="66"/>
    </row>
    <row r="138" spans="6:21" s="13" customFormat="1">
      <c r="F138" s="99"/>
      <c r="H138" s="66"/>
      <c r="I138" s="66"/>
      <c r="J138" s="66"/>
      <c r="K138" s="66"/>
      <c r="L138" s="66"/>
      <c r="M138" s="66"/>
      <c r="N138" s="66"/>
      <c r="O138" s="66"/>
      <c r="P138" s="66"/>
      <c r="Q138" s="66"/>
      <c r="R138" s="66"/>
      <c r="S138" s="66"/>
      <c r="T138" s="66"/>
      <c r="U138" s="66"/>
    </row>
    <row r="139" spans="6:21" s="13" customFormat="1" ht="21">
      <c r="F139" s="99"/>
      <c r="H139" s="601"/>
      <c r="I139" s="601"/>
      <c r="J139" s="601"/>
      <c r="K139" s="601"/>
      <c r="L139" s="601"/>
      <c r="M139" s="601"/>
      <c r="N139" s="66"/>
      <c r="O139" s="66"/>
      <c r="P139" s="66"/>
      <c r="Q139" s="66"/>
      <c r="R139" s="66"/>
      <c r="S139" s="66"/>
      <c r="T139" s="66"/>
      <c r="U139" s="66"/>
    </row>
    <row r="140" spans="6:21" s="13" customFormat="1">
      <c r="F140" s="99"/>
      <c r="H140" s="66"/>
      <c r="I140" s="66"/>
      <c r="J140" s="66"/>
      <c r="K140" s="66"/>
      <c r="L140" s="66"/>
      <c r="M140" s="66"/>
      <c r="N140" s="66"/>
      <c r="O140" s="66"/>
      <c r="P140" s="66"/>
      <c r="Q140" s="66"/>
      <c r="R140" s="66"/>
      <c r="S140" s="66"/>
      <c r="T140" s="66"/>
      <c r="U140" s="66"/>
    </row>
    <row r="141" spans="6:21" s="13" customFormat="1">
      <c r="F141" s="99"/>
      <c r="H141" s="66"/>
      <c r="I141" s="66"/>
      <c r="J141" s="66"/>
      <c r="K141" s="66"/>
      <c r="L141" s="66"/>
      <c r="M141" s="66"/>
      <c r="N141" s="66"/>
      <c r="O141" s="66"/>
      <c r="P141" s="66"/>
      <c r="Q141" s="66"/>
      <c r="R141" s="66"/>
      <c r="S141" s="66"/>
      <c r="T141" s="66"/>
      <c r="U141" s="66"/>
    </row>
    <row r="142" spans="6:21" s="13" customFormat="1">
      <c r="F142" s="99"/>
      <c r="H142" s="598"/>
      <c r="I142" s="598"/>
      <c r="J142" s="598"/>
      <c r="K142" s="598"/>
      <c r="L142" s="598"/>
      <c r="M142" s="598"/>
      <c r="N142" s="598"/>
      <c r="O142" s="66"/>
      <c r="P142" s="66"/>
      <c r="Q142" s="66"/>
      <c r="R142" s="66"/>
      <c r="S142" s="66"/>
      <c r="T142" s="66"/>
      <c r="U142" s="66"/>
    </row>
    <row r="143" spans="6:21" s="13" customFormat="1">
      <c r="F143" s="99"/>
      <c r="H143" s="66"/>
      <c r="I143" s="66"/>
      <c r="J143" s="66"/>
      <c r="K143" s="66"/>
      <c r="L143" s="66"/>
      <c r="M143" s="66"/>
      <c r="N143" s="66"/>
      <c r="O143" s="66"/>
      <c r="P143" s="66"/>
      <c r="Q143" s="66"/>
      <c r="R143" s="66"/>
      <c r="S143" s="66"/>
      <c r="T143" s="66"/>
      <c r="U143" s="66"/>
    </row>
    <row r="144" spans="6:21" s="13" customFormat="1">
      <c r="F144" s="99"/>
      <c r="H144" s="66"/>
      <c r="I144" s="66"/>
      <c r="J144" s="66"/>
      <c r="K144" s="66"/>
      <c r="L144" s="66"/>
      <c r="M144" s="66"/>
      <c r="N144" s="66"/>
      <c r="O144" s="66"/>
      <c r="P144" s="66"/>
      <c r="Q144" s="66"/>
      <c r="R144" s="66"/>
      <c r="S144" s="66"/>
      <c r="T144" s="66"/>
      <c r="U144" s="66"/>
    </row>
    <row r="145" spans="6:21" s="13" customFormat="1">
      <c r="F145" s="99"/>
      <c r="H145" s="66"/>
      <c r="I145" s="66"/>
      <c r="J145" s="66"/>
      <c r="K145" s="66"/>
      <c r="L145" s="66"/>
      <c r="M145" s="66"/>
      <c r="N145" s="66"/>
      <c r="O145" s="66"/>
      <c r="P145" s="66"/>
      <c r="Q145" s="66"/>
      <c r="R145" s="66"/>
      <c r="S145" s="66"/>
      <c r="T145" s="66"/>
      <c r="U145" s="66"/>
    </row>
    <row r="146" spans="6:21" s="13" customFormat="1">
      <c r="F146" s="99"/>
      <c r="H146" s="66"/>
      <c r="I146" s="66"/>
      <c r="J146" s="66"/>
      <c r="K146" s="66"/>
      <c r="L146" s="66"/>
      <c r="M146" s="66"/>
      <c r="N146" s="66"/>
      <c r="O146" s="66"/>
      <c r="P146" s="66"/>
      <c r="Q146" s="66"/>
      <c r="R146" s="66"/>
      <c r="S146" s="66"/>
      <c r="T146" s="66"/>
      <c r="U146" s="66"/>
    </row>
    <row r="147" spans="6:21" s="13" customFormat="1">
      <c r="F147" s="99"/>
      <c r="H147" s="66"/>
      <c r="I147" s="66"/>
      <c r="J147" s="66"/>
      <c r="K147" s="66"/>
      <c r="L147" s="66"/>
      <c r="M147" s="66"/>
      <c r="N147" s="66"/>
      <c r="O147" s="66"/>
      <c r="P147" s="66"/>
      <c r="Q147" s="66"/>
      <c r="R147" s="66"/>
      <c r="S147" s="66"/>
      <c r="T147" s="66"/>
      <c r="U147" s="66"/>
    </row>
    <row r="148" spans="6:21" s="13" customFormat="1">
      <c r="F148" s="99"/>
      <c r="H148" s="66"/>
      <c r="I148" s="66"/>
      <c r="J148" s="66"/>
      <c r="K148" s="66"/>
      <c r="L148" s="66"/>
      <c r="M148" s="66"/>
      <c r="N148" s="66"/>
      <c r="O148" s="66"/>
      <c r="P148" s="66"/>
      <c r="Q148" s="66"/>
      <c r="R148" s="66"/>
      <c r="S148" s="66"/>
      <c r="T148" s="66"/>
      <c r="U148" s="66"/>
    </row>
    <row r="149" spans="6:21" s="13" customFormat="1">
      <c r="F149" s="99"/>
      <c r="H149" s="66"/>
      <c r="I149" s="66"/>
      <c r="J149" s="66"/>
      <c r="K149" s="66"/>
      <c r="L149" s="66"/>
      <c r="M149" s="66"/>
      <c r="N149" s="66"/>
      <c r="O149" s="66"/>
      <c r="P149" s="66"/>
      <c r="Q149" s="66"/>
      <c r="R149" s="66"/>
      <c r="S149" s="66"/>
      <c r="T149" s="66"/>
      <c r="U149" s="66"/>
    </row>
    <row r="150" spans="6:21" s="13" customFormat="1">
      <c r="F150" s="99"/>
      <c r="H150" s="66"/>
      <c r="I150" s="66"/>
      <c r="J150" s="66"/>
      <c r="K150" s="66"/>
      <c r="L150" s="66"/>
      <c r="M150" s="66"/>
      <c r="N150" s="66"/>
      <c r="O150" s="66"/>
      <c r="P150" s="66"/>
      <c r="Q150" s="66"/>
      <c r="R150" s="66"/>
      <c r="S150" s="66"/>
      <c r="T150" s="66"/>
      <c r="U150" s="66"/>
    </row>
    <row r="151" spans="6:21" s="13" customFormat="1">
      <c r="F151" s="99"/>
      <c r="H151" s="66"/>
      <c r="I151" s="66"/>
      <c r="J151" s="66"/>
      <c r="K151" s="66"/>
      <c r="L151" s="66"/>
      <c r="M151" s="66"/>
      <c r="N151" s="66"/>
      <c r="O151" s="66"/>
      <c r="P151" s="66"/>
      <c r="Q151" s="66"/>
      <c r="R151" s="66"/>
      <c r="S151" s="66"/>
      <c r="T151" s="66"/>
      <c r="U151" s="66"/>
    </row>
    <row r="152" spans="6:21" s="13" customFormat="1">
      <c r="F152" s="99"/>
      <c r="H152" s="66"/>
      <c r="I152" s="66"/>
      <c r="J152" s="66"/>
      <c r="K152" s="66"/>
      <c r="L152" s="66"/>
      <c r="M152" s="66"/>
      <c r="N152" s="66"/>
      <c r="O152" s="66"/>
      <c r="P152" s="66"/>
      <c r="Q152" s="66"/>
      <c r="R152" s="66"/>
      <c r="S152" s="66"/>
      <c r="T152" s="66"/>
      <c r="U152" s="66"/>
    </row>
    <row r="153" spans="6:21" s="13" customFormat="1">
      <c r="F153" s="99"/>
      <c r="H153" s="66"/>
      <c r="I153" s="66"/>
      <c r="J153" s="66"/>
      <c r="K153" s="66"/>
      <c r="L153" s="66"/>
      <c r="M153" s="66"/>
      <c r="N153" s="66"/>
      <c r="O153" s="66"/>
      <c r="P153" s="66"/>
      <c r="Q153" s="66"/>
      <c r="R153" s="66"/>
      <c r="S153" s="66"/>
      <c r="T153" s="66"/>
      <c r="U153" s="66"/>
    </row>
    <row r="154" spans="6:21" s="13" customFormat="1">
      <c r="F154" s="99"/>
      <c r="H154" s="66"/>
      <c r="I154" s="66"/>
      <c r="J154" s="66"/>
      <c r="K154" s="66"/>
      <c r="L154" s="66"/>
      <c r="M154" s="66"/>
      <c r="N154" s="66"/>
      <c r="O154" s="66"/>
      <c r="P154" s="66"/>
      <c r="Q154" s="66"/>
      <c r="R154" s="66"/>
      <c r="S154" s="66"/>
      <c r="T154" s="66"/>
      <c r="U154" s="66"/>
    </row>
    <row r="155" spans="6:21" s="13" customFormat="1">
      <c r="F155" s="99"/>
      <c r="H155" s="66"/>
      <c r="I155" s="66"/>
      <c r="J155" s="66"/>
      <c r="K155" s="66"/>
      <c r="L155" s="66"/>
      <c r="M155" s="66"/>
      <c r="N155" s="66"/>
      <c r="O155" s="66"/>
      <c r="P155" s="66"/>
      <c r="Q155" s="66"/>
      <c r="R155" s="66"/>
      <c r="S155" s="66"/>
      <c r="T155" s="66"/>
      <c r="U155" s="66"/>
    </row>
    <row r="156" spans="6:21" s="13" customFormat="1">
      <c r="F156" s="99"/>
      <c r="H156" s="66"/>
      <c r="I156" s="66"/>
      <c r="J156" s="66"/>
      <c r="K156" s="66"/>
      <c r="L156" s="66"/>
      <c r="M156" s="66"/>
      <c r="N156" s="66"/>
      <c r="O156" s="66"/>
      <c r="P156" s="66"/>
      <c r="Q156" s="66"/>
      <c r="R156" s="66"/>
      <c r="S156" s="66"/>
      <c r="T156" s="66"/>
      <c r="U156" s="66"/>
    </row>
    <row r="157" spans="6:21" s="13" customFormat="1">
      <c r="F157" s="99"/>
      <c r="H157" s="66"/>
      <c r="I157" s="66"/>
      <c r="J157" s="66"/>
      <c r="K157" s="66"/>
      <c r="L157" s="66"/>
      <c r="M157" s="66"/>
      <c r="N157" s="66"/>
      <c r="O157" s="66"/>
      <c r="P157" s="66"/>
      <c r="Q157" s="66"/>
      <c r="R157" s="66"/>
      <c r="S157" s="66"/>
      <c r="T157" s="66"/>
      <c r="U157" s="66"/>
    </row>
    <row r="158" spans="6:21" s="13" customFormat="1">
      <c r="F158" s="99"/>
      <c r="H158" s="66"/>
      <c r="I158" s="66"/>
      <c r="J158" s="66"/>
      <c r="K158" s="66"/>
      <c r="L158" s="66"/>
      <c r="M158" s="66"/>
      <c r="N158" s="66"/>
      <c r="O158" s="66"/>
      <c r="P158" s="66"/>
      <c r="Q158" s="66"/>
      <c r="R158" s="66"/>
      <c r="S158" s="66"/>
      <c r="T158" s="66"/>
      <c r="U158" s="66"/>
    </row>
    <row r="159" spans="6:21" s="13" customFormat="1">
      <c r="H159" s="66"/>
      <c r="I159" s="66"/>
      <c r="J159" s="66"/>
      <c r="K159" s="66"/>
      <c r="L159" s="66"/>
      <c r="M159" s="66"/>
      <c r="N159" s="66"/>
      <c r="O159" s="66"/>
      <c r="P159" s="66"/>
      <c r="Q159" s="66"/>
      <c r="R159" s="66"/>
      <c r="S159" s="66"/>
      <c r="T159" s="66"/>
      <c r="U159" s="66"/>
    </row>
    <row r="160" spans="6:21" s="13" customFormat="1">
      <c r="H160" s="66"/>
      <c r="I160" s="66"/>
      <c r="J160" s="66"/>
      <c r="K160" s="66"/>
      <c r="L160" s="66"/>
      <c r="M160" s="66"/>
      <c r="N160" s="66"/>
      <c r="O160" s="66"/>
      <c r="P160" s="66"/>
      <c r="Q160" s="66"/>
      <c r="R160" s="66"/>
      <c r="S160" s="66"/>
      <c r="T160" s="66"/>
      <c r="U160" s="66"/>
    </row>
    <row r="161" spans="8:21" s="13" customFormat="1">
      <c r="H161" s="66"/>
      <c r="I161" s="66"/>
      <c r="J161" s="66"/>
      <c r="K161" s="66"/>
      <c r="L161" s="66"/>
      <c r="M161" s="66"/>
      <c r="N161" s="66"/>
      <c r="O161" s="66"/>
      <c r="P161" s="66"/>
      <c r="Q161" s="66"/>
      <c r="R161" s="66"/>
      <c r="S161" s="66"/>
      <c r="T161" s="66"/>
      <c r="U161" s="66"/>
    </row>
    <row r="162" spans="8:21" s="13" customFormat="1">
      <c r="H162" s="66"/>
      <c r="I162" s="66"/>
      <c r="J162" s="66"/>
      <c r="K162" s="66"/>
      <c r="L162" s="66"/>
      <c r="M162" s="66"/>
      <c r="N162" s="66"/>
      <c r="O162" s="66"/>
      <c r="P162" s="66"/>
      <c r="Q162" s="66"/>
      <c r="R162" s="66"/>
      <c r="S162" s="66"/>
      <c r="T162" s="66"/>
      <c r="U162" s="66"/>
    </row>
    <row r="163" spans="8:21" s="13" customFormat="1">
      <c r="H163" s="66"/>
      <c r="I163" s="66"/>
      <c r="J163" s="66"/>
      <c r="K163" s="66"/>
      <c r="L163" s="66"/>
      <c r="M163" s="66"/>
      <c r="N163" s="66"/>
      <c r="O163" s="66"/>
      <c r="P163" s="66"/>
      <c r="Q163" s="66"/>
      <c r="R163" s="66"/>
      <c r="S163" s="66"/>
      <c r="T163" s="66"/>
      <c r="U163" s="66"/>
    </row>
    <row r="164" spans="8:21" s="13" customFormat="1">
      <c r="H164" s="66"/>
      <c r="I164" s="66"/>
      <c r="J164" s="66"/>
      <c r="K164" s="66"/>
      <c r="L164" s="66"/>
      <c r="M164" s="66"/>
      <c r="N164" s="66"/>
      <c r="O164" s="66"/>
      <c r="P164" s="66"/>
      <c r="Q164" s="66"/>
      <c r="R164" s="66"/>
      <c r="S164" s="66"/>
      <c r="T164" s="66"/>
      <c r="U164" s="66"/>
    </row>
    <row r="165" spans="8:21" s="13" customFormat="1">
      <c r="H165" s="66"/>
      <c r="I165" s="66"/>
      <c r="J165" s="66"/>
      <c r="K165" s="66"/>
      <c r="L165" s="66"/>
      <c r="M165" s="66"/>
      <c r="N165" s="66"/>
      <c r="O165" s="66"/>
      <c r="P165" s="66"/>
      <c r="Q165" s="66"/>
      <c r="R165" s="66"/>
      <c r="S165" s="66"/>
      <c r="T165" s="66"/>
      <c r="U165" s="66"/>
    </row>
    <row r="166" spans="8:21" s="13" customFormat="1">
      <c r="H166" s="66"/>
      <c r="I166" s="66"/>
      <c r="J166" s="66"/>
      <c r="K166" s="66"/>
      <c r="L166" s="66"/>
      <c r="M166" s="66"/>
      <c r="N166" s="66"/>
      <c r="O166" s="66"/>
      <c r="P166" s="66"/>
      <c r="Q166" s="66"/>
      <c r="R166" s="66"/>
      <c r="S166" s="66"/>
      <c r="T166" s="66"/>
      <c r="U166" s="66"/>
    </row>
    <row r="167" spans="8:21" s="13" customFormat="1">
      <c r="H167" s="66"/>
      <c r="I167" s="66"/>
      <c r="J167" s="66"/>
      <c r="K167" s="66"/>
      <c r="L167" s="66"/>
      <c r="M167" s="66"/>
      <c r="N167" s="66"/>
      <c r="O167" s="66"/>
      <c r="P167" s="66"/>
      <c r="Q167" s="66"/>
      <c r="R167" s="66"/>
      <c r="S167" s="66"/>
      <c r="T167" s="66"/>
      <c r="U167" s="66"/>
    </row>
    <row r="168" spans="8:21" s="13" customFormat="1">
      <c r="H168" s="66"/>
      <c r="I168" s="66"/>
      <c r="J168" s="66"/>
      <c r="K168" s="66"/>
      <c r="L168" s="66"/>
      <c r="M168" s="66"/>
      <c r="N168" s="66"/>
      <c r="O168" s="66"/>
      <c r="P168" s="66"/>
      <c r="Q168" s="66"/>
      <c r="R168" s="66"/>
      <c r="S168" s="66"/>
      <c r="T168" s="66"/>
      <c r="U168" s="66"/>
    </row>
    <row r="169" spans="8:21" s="13" customFormat="1">
      <c r="H169" s="66"/>
      <c r="I169" s="66"/>
      <c r="J169" s="66"/>
      <c r="K169" s="66"/>
      <c r="L169" s="66"/>
      <c r="M169" s="66"/>
      <c r="N169" s="66"/>
      <c r="O169" s="66"/>
      <c r="P169" s="66"/>
      <c r="Q169" s="66"/>
      <c r="R169" s="66"/>
      <c r="S169" s="66"/>
      <c r="T169" s="66"/>
      <c r="U169" s="66"/>
    </row>
    <row r="170" spans="8:21" s="13" customFormat="1">
      <c r="H170" s="66"/>
      <c r="I170" s="66"/>
      <c r="J170" s="66"/>
      <c r="K170" s="66"/>
      <c r="L170" s="66"/>
      <c r="M170" s="66"/>
      <c r="N170" s="66"/>
      <c r="O170" s="66"/>
      <c r="P170" s="66"/>
      <c r="Q170" s="66"/>
      <c r="R170" s="66"/>
      <c r="S170" s="66"/>
      <c r="T170" s="66"/>
      <c r="U170" s="66"/>
    </row>
    <row r="171" spans="8:21" s="13" customFormat="1" ht="11.25" customHeight="1">
      <c r="H171" s="66"/>
      <c r="I171" s="66"/>
      <c r="J171" s="66"/>
      <c r="K171" s="66"/>
      <c r="L171" s="66"/>
      <c r="M171" s="66"/>
      <c r="N171" s="66"/>
      <c r="O171" s="66"/>
      <c r="P171" s="66"/>
      <c r="Q171" s="66"/>
      <c r="R171" s="66"/>
      <c r="S171" s="66"/>
      <c r="T171" s="66"/>
      <c r="U171" s="66"/>
    </row>
    <row r="172" spans="8:21" s="13" customFormat="1">
      <c r="H172" s="66"/>
      <c r="I172" s="66"/>
      <c r="J172" s="66"/>
      <c r="K172" s="66"/>
      <c r="L172" s="66"/>
      <c r="M172" s="66"/>
      <c r="N172" s="66"/>
      <c r="O172" s="66"/>
      <c r="P172" s="66"/>
      <c r="Q172" s="66"/>
      <c r="R172" s="66"/>
      <c r="S172" s="66"/>
      <c r="T172" s="66"/>
      <c r="U172" s="66"/>
    </row>
    <row r="173" spans="8:21" s="13" customFormat="1">
      <c r="H173" s="66"/>
      <c r="I173" s="66"/>
      <c r="J173" s="66"/>
      <c r="K173" s="66"/>
      <c r="L173" s="66"/>
      <c r="M173" s="66"/>
      <c r="N173" s="66"/>
      <c r="O173" s="66"/>
      <c r="P173" s="66"/>
      <c r="Q173" s="66"/>
      <c r="R173" s="66"/>
      <c r="S173" s="66"/>
      <c r="T173" s="66"/>
      <c r="U173" s="66"/>
    </row>
    <row r="174" spans="8:21" s="13" customFormat="1">
      <c r="H174" s="66"/>
      <c r="I174" s="66"/>
      <c r="J174" s="66"/>
      <c r="K174" s="66"/>
      <c r="L174" s="66"/>
      <c r="M174" s="66"/>
      <c r="N174" s="66"/>
      <c r="O174" s="66"/>
      <c r="P174" s="66"/>
      <c r="Q174" s="66"/>
      <c r="R174" s="66"/>
      <c r="S174" s="66"/>
      <c r="T174" s="66"/>
      <c r="U174" s="66"/>
    </row>
    <row r="175" spans="8:21" s="13" customFormat="1">
      <c r="H175" s="66"/>
      <c r="I175" s="66"/>
      <c r="J175" s="66"/>
      <c r="K175" s="66"/>
      <c r="L175" s="66"/>
      <c r="M175" s="66"/>
      <c r="N175" s="66"/>
      <c r="O175" s="66"/>
      <c r="P175" s="66"/>
      <c r="Q175" s="66"/>
      <c r="R175" s="66"/>
      <c r="S175" s="66"/>
      <c r="T175" s="66"/>
      <c r="U175" s="66"/>
    </row>
  </sheetData>
  <mergeCells count="29">
    <mergeCell ref="P6:S6"/>
    <mergeCell ref="T6:W6"/>
    <mergeCell ref="H27:M27"/>
    <mergeCell ref="B6:C6"/>
    <mergeCell ref="D6:F6"/>
    <mergeCell ref="G6:K6"/>
    <mergeCell ref="L6:O6"/>
    <mergeCell ref="B9:E9"/>
    <mergeCell ref="B11:E12"/>
    <mergeCell ref="H23:I23"/>
    <mergeCell ref="H24:U24"/>
    <mergeCell ref="B14:E14"/>
    <mergeCell ref="B16:E17"/>
    <mergeCell ref="B19:E28"/>
    <mergeCell ref="H29:U29"/>
    <mergeCell ref="B29:E29"/>
    <mergeCell ref="B32:E32"/>
    <mergeCell ref="H142:N142"/>
    <mergeCell ref="H28:U28"/>
    <mergeCell ref="H31:N31"/>
    <mergeCell ref="H32:U32"/>
    <mergeCell ref="H33:J33"/>
    <mergeCell ref="H34:U34"/>
    <mergeCell ref="H35:W35"/>
    <mergeCell ref="H40:T40"/>
    <mergeCell ref="H42:M42"/>
    <mergeCell ref="H54:U54"/>
    <mergeCell ref="H78:M78"/>
    <mergeCell ref="H139:M139"/>
  </mergeCells>
  <hyperlinks>
    <hyperlink ref="H25" r:id="rId1" xr:uid="{408784F7-98A3-44FE-8AE7-21F8B216BF7A}"/>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0FCA3-08E0-4C2A-B9B9-EEBA1D29443A}">
  <sheetPr codeName="Blad4"/>
  <dimension ref="A1:W30"/>
  <sheetViews>
    <sheetView tabSelected="1" topLeftCell="K12" zoomScale="97" zoomScaleNormal="97" workbookViewId="0">
      <selection activeCell="Y18" sqref="Y18"/>
    </sheetView>
  </sheetViews>
  <sheetFormatPr baseColWidth="10" defaultColWidth="8.83203125" defaultRowHeight="13"/>
  <cols>
    <col min="1" max="1" width="16" style="169" hidden="1" customWidth="1"/>
    <col min="2" max="16384" width="8.83203125" style="169"/>
  </cols>
  <sheetData>
    <row r="1" spans="1:1">
      <c r="A1" s="553">
        <f ca="1">NOW()</f>
        <v>46147.725825462963</v>
      </c>
    </row>
    <row r="17" spans="15:23" ht="14" thickBot="1"/>
    <row r="18" spans="15:23" ht="14" thickBot="1">
      <c r="O18" s="429"/>
      <c r="P18" s="429"/>
      <c r="Q18" s="429"/>
      <c r="R18" s="429"/>
      <c r="S18" s="429"/>
      <c r="T18" s="429"/>
      <c r="U18" s="429" t="s">
        <v>409</v>
      </c>
      <c r="V18" s="572" t="s">
        <v>410</v>
      </c>
      <c r="W18" s="429"/>
    </row>
    <row r="19" spans="15:23" ht="23">
      <c r="O19" s="429"/>
      <c r="P19" s="617" t="str" cm="1">
        <f t="array" aca="1" ref="P19" ca="1">IFERROR(
  INDEX(
    tblStrings[],
    MATCH(
      1,
      (tblStrings[Cell]=SUBSTITUTE(CELL("adress",INDIRECT("RC",FALSE)),"$","")) *
      (tblStrings[Sheet]=AllStrings!$C$354),
      0
    ),
    MATCH(Språkval, tblStrings[#Headers], 0)
  ),
  ""
)</f>
        <v>Kalkylförutsättningar</v>
      </c>
      <c r="Q19" s="618"/>
      <c r="R19" s="618"/>
      <c r="S19" s="618"/>
      <c r="T19" s="618"/>
      <c r="U19" s="618"/>
      <c r="V19" s="430"/>
      <c r="W19" s="429"/>
    </row>
    <row r="20" spans="15:23" ht="16">
      <c r="O20" s="429"/>
      <c r="P20" s="615" t="str" cm="1">
        <f t="array" aca="1" ref="P20" ca="1">IFERROR(
  INDEX(
    tblStrings[],
    MATCH(
      1,
      (tblStrings[Cell]=SUBSTITUTE(CELL("adress",INDIRECT("RC",FALSE)),"$","")) *
      (tblStrings[Sheet]=AllStrings!$C$354),
      0
    ),
    MATCH(Språkval, tblStrings[#Headers], 0)
  ),
  ""
)</f>
        <v>Projekt:</v>
      </c>
      <c r="Q20" s="615"/>
      <c r="R20" s="615"/>
      <c r="S20" s="616"/>
      <c r="T20" s="616"/>
      <c r="U20" s="616"/>
      <c r="V20" s="616"/>
      <c r="W20" s="429"/>
    </row>
    <row r="21" spans="15:23" ht="16">
      <c r="O21" s="429"/>
      <c r="P21" s="615" t="str" cm="1">
        <f t="array" aca="1" ref="P21" ca="1">IFERROR(
  INDEX(
    tblStrings[],
    MATCH(
      1,
      (tblStrings[Cell]=SUBSTITUTE(CELL("adress",INDIRECT("RC",FALSE)),"$","")) *
      (tblStrings[Sheet]=AllStrings!$C$354),
      0
    ),
    MATCH(Språkval, tblStrings[#Headers], 0)
  ),
  ""
)</f>
        <v>Datum:</v>
      </c>
      <c r="Q21" s="615"/>
      <c r="R21" s="615"/>
      <c r="S21" s="619"/>
      <c r="T21" s="619"/>
      <c r="U21" s="619"/>
      <c r="V21" s="619"/>
      <c r="W21" s="429"/>
    </row>
    <row r="22" spans="15:23" ht="16">
      <c r="O22" s="429"/>
      <c r="P22" s="615" t="str" cm="1">
        <f t="array" aca="1" ref="P22" ca="1">IFERROR(
  INDEX(
    tblStrings[],
    MATCH(
      1,
      (tblStrings[Cell]=SUBSTITUTE(CELL("adress",INDIRECT("RC",FALSE)),"$","")) *
      (tblStrings[Sheet]=AllStrings!$C$354),
      0
    ),
    MATCH(Språkval, tblStrings[#Headers], 0)
  ),
  ""
)</f>
        <v>Handläggare:</v>
      </c>
      <c r="Q22" s="615"/>
      <c r="R22" s="615"/>
      <c r="S22" s="616"/>
      <c r="T22" s="616"/>
      <c r="U22" s="616"/>
      <c r="V22" s="616"/>
      <c r="W22" s="429"/>
    </row>
    <row r="23" spans="15:23" ht="14">
      <c r="O23" s="429"/>
      <c r="P23" s="614"/>
      <c r="Q23" s="614"/>
      <c r="R23" s="614"/>
      <c r="S23" s="614"/>
      <c r="T23" s="614"/>
      <c r="U23" s="614"/>
      <c r="V23" s="431"/>
      <c r="W23" s="429"/>
    </row>
    <row r="24" spans="15:23">
      <c r="O24" s="432" t="s">
        <v>25</v>
      </c>
      <c r="P24" s="613" t="str" cm="1">
        <f t="array" aca="1" ref="P24" ca="1">IFERROR(
  INDEX(
    tblStrings[],
    MATCH(
      1,
      (tblStrings[Cell]=SUBSTITUTE(CELL("adress",INDIRECT("RC",FALSE)),"$","")) *
      (tblStrings[Sheet]=AllStrings!$C$354),
      0
    ),
    MATCH(Språkval, tblStrings[#Headers], 0)
  ),
  ""
)</f>
        <v>Tid kalkylen omfattar</v>
      </c>
      <c r="Q24" s="613"/>
      <c r="R24" s="613"/>
      <c r="S24" s="613"/>
      <c r="T24" s="613"/>
      <c r="U24" s="434">
        <v>20</v>
      </c>
      <c r="V24" s="433" t="str" cm="1">
        <f t="array" aca="1" ref="V24" ca="1">IFERROR(
  INDEX(
    tblStrings[],
    MATCH(
      1,
      (tblStrings[Cell]=SUBSTITUTE(CELL("adress",INDIRECT("RC",FALSE)),"$","")) *
      (tblStrings[Sheet]=AllStrings!$C$354),
      0
    ),
    MATCH(Språkval, tblStrings[#Headers], 0)
  ),
  ""
)</f>
        <v>år</v>
      </c>
      <c r="W24" s="429"/>
    </row>
    <row r="25" spans="15:23">
      <c r="O25" s="432" t="s">
        <v>28</v>
      </c>
      <c r="P25" s="613" t="str" cm="1">
        <f t="array" aca="1" ref="P25" ca="1">IFERROR(
  INDEX(
    tblStrings[],
    MATCH(
      1,
      (tblStrings[Cell]=SUBSTITUTE(CELL("adress",INDIRECT("RC",FALSE)),"$","")) *
      (tblStrings[Sheet]=AllStrings!$C$354),
      0
    ),
    MATCH(Språkval, tblStrings[#Headers], 0)
  ),
  ""
)</f>
        <v>Kalkylränta</v>
      </c>
      <c r="Q25" s="613"/>
      <c r="R25" s="613"/>
      <c r="S25" s="613"/>
      <c r="T25" s="613"/>
      <c r="U25" s="486">
        <v>5</v>
      </c>
      <c r="V25" s="433" t="s">
        <v>30</v>
      </c>
      <c r="W25" s="429"/>
    </row>
    <row r="26" spans="15:23">
      <c r="O26" s="432" t="s">
        <v>31</v>
      </c>
      <c r="P26" s="613" t="str" cm="1">
        <f t="array" aca="1" ref="P26" ca="1">IFERROR(
  INDEX(
    tblStrings[],
    MATCH(
      1,
      (tblStrings[Cell]=SUBSTITUTE(CELL("adress",INDIRECT("RC",FALSE)),"$","")) *
      (tblStrings[Sheet]=AllStrings!$C$354),
      0
    ),
    MATCH(Språkval, tblStrings[#Headers], 0)
  ),
  ""
)</f>
        <v>Elpris</v>
      </c>
      <c r="Q26" s="613"/>
      <c r="R26" s="613"/>
      <c r="S26" s="613"/>
      <c r="T26" s="613"/>
      <c r="U26" s="435">
        <f>IF(
  D26="",
  _xlfn.XLOOKUP(Språkval, tblDefaults[Region],tblDefaults[Price/kWh]),
  D26
)</f>
        <v>3</v>
      </c>
      <c r="V26" s="433" t="str" cm="1">
        <f t="array" aca="1" ref="V26" ca="1">IFERROR(
  INDEX(
    tblStrings[],
    MATCH(
      1,
      (tblStrings[Cell]=SUBSTITUTE(CELL("adress",INDIRECT("RC",FALSE)),"$","")) *
      (tblStrings[Sheet]=AllStrings!$C$354),
      0
    ),
    MATCH(Språkval, tblStrings[#Headers], 0)
  ),
  ""
)</f>
        <v>kr/kWh</v>
      </c>
      <c r="W26" s="429"/>
    </row>
    <row r="27" spans="15:23">
      <c r="O27" s="432" t="s">
        <v>34</v>
      </c>
      <c r="P27" s="613" t="str" cm="1">
        <f t="array" aca="1" ref="P27" ca="1">IFERROR(
  INDEX(
    tblStrings[],
    MATCH(
      1,
      (tblStrings[Cell]=SUBSTITUTE(CELL("adress",INDIRECT("RC",FALSE)),"$","")) *
      (tblStrings[Sheet]=AllStrings!$C$354),
      0
    ),
    MATCH(Språkval, tblStrings[#Headers], 0)
  ),
  ""
)</f>
        <v>Årlig prisförändring energi (frivillig)</v>
      </c>
      <c r="Q27" s="613"/>
      <c r="R27" s="613"/>
      <c r="S27" s="613"/>
      <c r="T27" s="613"/>
      <c r="U27" s="486">
        <v>2</v>
      </c>
      <c r="V27" s="433" t="s">
        <v>30</v>
      </c>
      <c r="W27" s="429"/>
    </row>
    <row r="28" spans="15:23">
      <c r="O28" s="432" t="s">
        <v>36</v>
      </c>
      <c r="P28" s="613" t="str" cm="1">
        <f t="array" aca="1" ref="P28" ca="1">IFERROR(
  INDEX(
    tblStrings[],
    MATCH(
      1,
      (tblStrings[Cell]=SUBSTITUTE(CELL("adress",INDIRECT("RC",FALSE)),"$","")) *
      (tblStrings[Sheet]=AllStrings!$C$354),
      0
    ),
    MATCH(Språkval, tblStrings[#Headers], 0)
  ),
  ""
)</f>
        <v>Klimatpåverkan energianvändning (frivillig)</v>
      </c>
      <c r="Q28" s="613"/>
      <c r="R28" s="613"/>
      <c r="S28" s="613"/>
      <c r="T28" s="613"/>
      <c r="U28" s="435">
        <f>IF(
  D28="",
  _xlfn.XLOOKUP(Språkval, tblDefaults[Region],tblDefaults[CO2_kg_kWh]),
  D28
)</f>
        <v>0.02</v>
      </c>
      <c r="V28" s="433" t="str" cm="1">
        <f t="array" aca="1" ref="V28" ca="1">IFERROR(
  INDEX(
    tblStrings[],
    MATCH(
      1,
      (tblStrings[Cell]=SUBSTITUTE(CELL("adress",INDIRECT("RC",FALSE)),"$","")) *
      (tblStrings[Sheet]=AllStrings!$C$354),
      0
    ),
    MATCH(Språkval, tblStrings[#Headers], 0)
  ),
  ""
)</f>
        <v>kgCO₂/kwh</v>
      </c>
      <c r="W28" s="429"/>
    </row>
    <row r="29" spans="15:23">
      <c r="O29" s="432" t="s">
        <v>39</v>
      </c>
      <c r="P29" s="613" t="str" cm="1">
        <f t="array" aca="1" ref="P29" ca="1">IFERROR(
  INDEX(
    tblStrings[],
    MATCH(
      1,
      (tblStrings[Cell]=SUBSTITUTE(CELL("adress",INDIRECT("RC",FALSE)),"$","")) *
      (tblStrings[Sheet]=AllStrings!$C$354),
      0
    ),
    MATCH(Språkval, tblStrings[#Headers], 0)
  ),
  ""
)</f>
        <v>Drifttid</v>
      </c>
      <c r="Q29" s="613"/>
      <c r="R29" s="613"/>
      <c r="S29" s="613"/>
      <c r="T29" s="613"/>
      <c r="U29" s="436">
        <v>4000</v>
      </c>
      <c r="V29" s="433" t="str" cm="1">
        <f t="array" aca="1" ref="V29" ca="1">IFERROR(
  INDEX(
    tblStrings[],
    MATCH(
      1,
      (tblStrings[Cell]=SUBSTITUTE(CELL("adress",INDIRECT("RC",FALSE)),"$","")) *
      (tblStrings[Sheet]=AllStrings!$C$354),
      0
    ),
    MATCH(Språkval, tblStrings[#Headers], 0)
  ),
  ""
)</f>
        <v>h/år</v>
      </c>
      <c r="W29" s="429"/>
    </row>
    <row r="30" spans="15:23">
      <c r="O30" s="429"/>
      <c r="P30" s="429"/>
      <c r="Q30" s="429"/>
      <c r="R30" s="429"/>
      <c r="S30" s="429"/>
      <c r="T30" s="429"/>
      <c r="U30" s="429"/>
      <c r="V30" s="429"/>
      <c r="W30" s="429"/>
    </row>
  </sheetData>
  <sheetProtection selectLockedCells="1"/>
  <mergeCells count="14">
    <mergeCell ref="P22:R22"/>
    <mergeCell ref="S22:V22"/>
    <mergeCell ref="P19:U19"/>
    <mergeCell ref="P20:R20"/>
    <mergeCell ref="S20:V20"/>
    <mergeCell ref="P21:R21"/>
    <mergeCell ref="S21:V21"/>
    <mergeCell ref="P29:T29"/>
    <mergeCell ref="P23:U23"/>
    <mergeCell ref="P24:T24"/>
    <mergeCell ref="P25:T25"/>
    <mergeCell ref="P26:T26"/>
    <mergeCell ref="P27:T27"/>
    <mergeCell ref="P28:T28"/>
  </mergeCells>
  <dataValidations count="1">
    <dataValidation type="list" allowBlank="1" showInputMessage="1" showErrorMessage="1" sqref="V18" xr:uid="{A621FB6A-49EF-42CF-AC86-52D75B1394CE}">
      <formula1>"SE,NO,DE,EN"</formula1>
    </dataValidation>
  </dataValidations>
  <pageMargins left="0.7" right="0.7" top="0.75" bottom="0.75" header="0.3" footer="0.3"/>
  <pageSetup paperSize="9" orientation="portrait" horizontalDpi="1200" verticalDpi="12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3">
    <tabColor rgb="FF9B182F"/>
  </sheetPr>
  <dimension ref="A1:T235"/>
  <sheetViews>
    <sheetView topLeftCell="A16" zoomScaleNormal="100" workbookViewId="0">
      <pane ySplit="1" topLeftCell="A51" activePane="bottomLeft" state="frozen"/>
      <selection activeCell="Y51" sqref="Y51"/>
      <selection pane="bottomLeft" activeCell="J28" sqref="J28"/>
    </sheetView>
  </sheetViews>
  <sheetFormatPr baseColWidth="10" defaultColWidth="9.1640625" defaultRowHeight="16" outlineLevelRow="1"/>
  <cols>
    <col min="1" max="1" width="15.1640625" style="173" customWidth="1"/>
    <col min="2" max="2" width="12.5" style="173" customWidth="1"/>
    <col min="3" max="3" width="10.5" style="173" customWidth="1"/>
    <col min="4" max="4" width="8.5" style="173" customWidth="1"/>
    <col min="5" max="5" width="8.1640625" style="192" customWidth="1"/>
    <col min="6" max="6" width="10" style="192" customWidth="1"/>
    <col min="7" max="7" width="16.5" style="192" customWidth="1"/>
    <col min="8" max="8" width="11" style="192" customWidth="1"/>
    <col min="9" max="9" width="38.83203125" style="192" customWidth="1"/>
    <col min="10" max="10" width="20.5" style="192" customWidth="1"/>
    <col min="11" max="11" width="20.5" style="195" customWidth="1"/>
    <col min="12" max="18" width="20.5" style="192" customWidth="1"/>
    <col min="19" max="16384" width="9.1640625" style="173"/>
  </cols>
  <sheetData>
    <row r="1" spans="2:20" s="170" customFormat="1" ht="23" hidden="1">
      <c r="C1" s="4"/>
      <c r="D1" s="4"/>
      <c r="E1" s="4"/>
      <c r="F1" s="4"/>
      <c r="G1" s="4"/>
      <c r="H1" s="171"/>
      <c r="I1" s="171"/>
      <c r="J1" s="4"/>
      <c r="K1" s="4"/>
      <c r="L1" s="4"/>
      <c r="M1" s="4"/>
      <c r="N1" s="4"/>
      <c r="O1" s="4"/>
      <c r="P1" s="4"/>
      <c r="Q1" s="4"/>
      <c r="R1" s="4"/>
    </row>
    <row r="2" spans="2:20" s="170" customFormat="1" ht="26.25" hidden="1" customHeight="1">
      <c r="B2" s="390"/>
      <c r="C2" s="339" t="s">
        <v>42</v>
      </c>
      <c r="D2" s="340"/>
      <c r="E2" s="620" t="s">
        <v>43</v>
      </c>
      <c r="F2" s="620"/>
      <c r="G2" s="620"/>
      <c r="H2" s="391"/>
      <c r="I2" s="391"/>
      <c r="J2" s="340"/>
      <c r="K2" s="340"/>
      <c r="L2" s="340"/>
      <c r="M2" s="340"/>
      <c r="N2" s="340"/>
      <c r="O2" s="340"/>
      <c r="P2" s="340"/>
      <c r="Q2" s="340"/>
      <c r="R2" s="340"/>
      <c r="S2" s="340"/>
      <c r="T2" s="340"/>
    </row>
    <row r="3" spans="2:20" ht="15.75" hidden="1" customHeight="1">
      <c r="B3" s="129"/>
      <c r="C3" s="578"/>
      <c r="D3" s="578"/>
      <c r="E3" s="578"/>
      <c r="F3" s="578"/>
      <c r="G3" s="578"/>
      <c r="H3" s="578"/>
      <c r="I3" s="172"/>
      <c r="J3" s="129"/>
      <c r="K3" s="129"/>
      <c r="L3" s="129"/>
      <c r="M3" s="129"/>
      <c r="N3" s="129"/>
      <c r="O3" s="129"/>
      <c r="P3" s="129"/>
      <c r="Q3" s="129"/>
      <c r="R3" s="129"/>
      <c r="S3" s="129"/>
      <c r="T3" s="129"/>
    </row>
    <row r="4" spans="2:20" ht="23" hidden="1">
      <c r="B4" s="129"/>
      <c r="C4" s="579" t="s">
        <v>21</v>
      </c>
      <c r="D4" s="579"/>
      <c r="E4" s="579"/>
      <c r="F4" s="579"/>
      <c r="G4" s="579"/>
      <c r="H4" s="579"/>
      <c r="I4" s="166"/>
      <c r="J4" s="129"/>
      <c r="K4" s="129"/>
      <c r="L4" s="129"/>
      <c r="M4" s="129"/>
      <c r="N4" s="129"/>
      <c r="O4" s="129"/>
      <c r="P4" s="129"/>
      <c r="Q4" s="129"/>
      <c r="R4" s="129"/>
      <c r="S4" s="129"/>
      <c r="T4" s="129"/>
    </row>
    <row r="5" spans="2:20" s="174" customFormat="1" hidden="1">
      <c r="B5" s="129"/>
      <c r="C5" s="573" t="s">
        <v>22</v>
      </c>
      <c r="D5" s="573"/>
      <c r="E5" s="574"/>
      <c r="F5" s="575">
        <f>Förutsättningar!S20</f>
        <v>0</v>
      </c>
      <c r="G5" s="576"/>
      <c r="H5" s="576"/>
      <c r="I5" s="577"/>
      <c r="J5" s="129"/>
      <c r="K5" s="129"/>
      <c r="L5" s="129"/>
      <c r="M5" s="129"/>
      <c r="N5" s="129"/>
      <c r="O5" s="129"/>
      <c r="P5" s="129"/>
      <c r="Q5" s="129"/>
      <c r="R5" s="129"/>
      <c r="S5" s="129"/>
      <c r="T5" s="129"/>
    </row>
    <row r="6" spans="2:20" s="174" customFormat="1" hidden="1">
      <c r="B6" s="129"/>
      <c r="C6" s="573" t="s">
        <v>23</v>
      </c>
      <c r="D6" s="573"/>
      <c r="E6" s="574"/>
      <c r="F6" s="575">
        <f>Förutsättningar!S21</f>
        <v>0</v>
      </c>
      <c r="G6" s="576"/>
      <c r="H6" s="576"/>
      <c r="I6" s="577"/>
      <c r="J6" s="129"/>
      <c r="K6" s="129"/>
      <c r="L6" s="129"/>
      <c r="M6" s="129"/>
      <c r="N6" s="129"/>
      <c r="O6" s="129"/>
      <c r="P6" s="129"/>
      <c r="Q6" s="129"/>
      <c r="R6" s="129"/>
      <c r="S6" s="129"/>
      <c r="T6" s="129"/>
    </row>
    <row r="7" spans="2:20" s="174" customFormat="1" hidden="1">
      <c r="B7" s="129"/>
      <c r="C7" s="573" t="s">
        <v>24</v>
      </c>
      <c r="D7" s="573"/>
      <c r="E7" s="574"/>
      <c r="F7" s="575">
        <f>Förutsättningar!S22</f>
        <v>0</v>
      </c>
      <c r="G7" s="576"/>
      <c r="H7" s="576"/>
      <c r="I7" s="577"/>
      <c r="J7" s="129"/>
      <c r="K7" s="129"/>
      <c r="L7" s="129"/>
      <c r="M7" s="129"/>
      <c r="N7" s="129"/>
      <c r="O7" s="129"/>
      <c r="P7" s="129"/>
      <c r="Q7" s="129"/>
      <c r="R7" s="129"/>
      <c r="S7" s="129"/>
      <c r="T7" s="129"/>
    </row>
    <row r="8" spans="2:20" ht="15" hidden="1">
      <c r="B8" s="129"/>
      <c r="C8" s="581"/>
      <c r="D8" s="581"/>
      <c r="E8" s="581"/>
      <c r="F8" s="581"/>
      <c r="G8" s="581"/>
      <c r="H8" s="581"/>
      <c r="I8" s="172"/>
      <c r="J8" s="129"/>
      <c r="K8" s="129"/>
      <c r="L8" s="129"/>
      <c r="M8" s="129"/>
      <c r="N8" s="129"/>
      <c r="O8" s="129"/>
      <c r="P8" s="129"/>
      <c r="Q8" s="129"/>
      <c r="R8" s="129"/>
      <c r="S8" s="129"/>
      <c r="T8" s="129"/>
    </row>
    <row r="9" spans="2:20" s="174" customFormat="1" hidden="1">
      <c r="B9" s="111" t="s">
        <v>25</v>
      </c>
      <c r="C9" s="582" t="s">
        <v>26</v>
      </c>
      <c r="D9" s="582"/>
      <c r="E9" s="582"/>
      <c r="F9" s="582"/>
      <c r="G9" s="583"/>
      <c r="H9" s="357">
        <f>Förutsättningar!U24</f>
        <v>20</v>
      </c>
      <c r="I9" s="468" t="s">
        <v>27</v>
      </c>
      <c r="J9" s="129"/>
      <c r="K9" s="129"/>
      <c r="L9" s="129"/>
      <c r="M9" s="129"/>
      <c r="N9" s="129"/>
      <c r="O9" s="129"/>
      <c r="P9" s="129"/>
      <c r="Q9" s="129"/>
      <c r="R9" s="129"/>
      <c r="S9" s="129"/>
      <c r="T9" s="129"/>
    </row>
    <row r="10" spans="2:20" s="174" customFormat="1" hidden="1">
      <c r="B10" s="111" t="s">
        <v>28</v>
      </c>
      <c r="C10" s="582" t="s">
        <v>29</v>
      </c>
      <c r="D10" s="582"/>
      <c r="E10" s="582"/>
      <c r="F10" s="582"/>
      <c r="G10" s="583"/>
      <c r="H10" s="358">
        <f>Förutsättningar!U25</f>
        <v>5</v>
      </c>
      <c r="I10" s="176"/>
      <c r="J10" s="129"/>
      <c r="K10" s="129"/>
      <c r="L10" s="129"/>
      <c r="M10" s="129"/>
      <c r="N10" s="129"/>
      <c r="O10" s="129"/>
      <c r="P10" s="129"/>
      <c r="Q10" s="129"/>
      <c r="R10" s="129"/>
      <c r="S10" s="129"/>
      <c r="T10" s="129"/>
    </row>
    <row r="11" spans="2:20" s="174" customFormat="1" hidden="1">
      <c r="B11" s="111" t="s">
        <v>31</v>
      </c>
      <c r="C11" s="582" t="s">
        <v>32</v>
      </c>
      <c r="D11" s="582"/>
      <c r="E11" s="582"/>
      <c r="F11" s="582"/>
      <c r="G11" s="583"/>
      <c r="H11" s="358">
        <f>Förutsättningar!U26</f>
        <v>3</v>
      </c>
      <c r="I11" s="468" t="s">
        <v>33</v>
      </c>
      <c r="J11" s="129"/>
      <c r="K11" s="129"/>
      <c r="L11" s="129"/>
      <c r="M11" s="129"/>
      <c r="N11" s="129"/>
      <c r="O11" s="129"/>
      <c r="P11" s="129"/>
      <c r="Q11" s="129"/>
      <c r="R11" s="129"/>
      <c r="S11" s="129"/>
      <c r="T11" s="129"/>
    </row>
    <row r="12" spans="2:20" s="174" customFormat="1" hidden="1">
      <c r="B12" s="111" t="s">
        <v>34</v>
      </c>
      <c r="C12" s="582" t="s">
        <v>35</v>
      </c>
      <c r="D12" s="582"/>
      <c r="E12" s="582"/>
      <c r="F12" s="582"/>
      <c r="G12" s="583"/>
      <c r="H12" s="358">
        <f>Förutsättningar!U27</f>
        <v>2</v>
      </c>
      <c r="I12" s="176"/>
      <c r="J12" s="129"/>
      <c r="K12" s="129"/>
      <c r="L12" s="129"/>
      <c r="M12" s="129"/>
      <c r="N12" s="129"/>
      <c r="O12" s="129"/>
      <c r="P12" s="129"/>
      <c r="Q12" s="129"/>
      <c r="R12" s="129"/>
      <c r="S12" s="129"/>
      <c r="T12" s="129"/>
    </row>
    <row r="13" spans="2:20" s="174" customFormat="1" hidden="1">
      <c r="B13" s="111" t="s">
        <v>36</v>
      </c>
      <c r="C13" s="582" t="s">
        <v>37</v>
      </c>
      <c r="D13" s="582"/>
      <c r="E13" s="582"/>
      <c r="F13" s="582"/>
      <c r="G13" s="583"/>
      <c r="H13" s="358">
        <f>Förutsättningar!U28</f>
        <v>0.02</v>
      </c>
      <c r="I13" s="176" t="s">
        <v>38</v>
      </c>
      <c r="J13" s="129"/>
      <c r="K13" s="129"/>
      <c r="L13" s="129"/>
      <c r="M13" s="129"/>
      <c r="N13" s="129"/>
      <c r="O13" s="129"/>
      <c r="P13" s="129"/>
      <c r="Q13" s="129"/>
      <c r="R13" s="129"/>
      <c r="S13" s="129"/>
      <c r="T13" s="129"/>
    </row>
    <row r="14" spans="2:20" s="174" customFormat="1" hidden="1">
      <c r="B14" s="111" t="s">
        <v>39</v>
      </c>
      <c r="C14" s="582" t="s">
        <v>40</v>
      </c>
      <c r="D14" s="582"/>
      <c r="E14" s="582"/>
      <c r="F14" s="582"/>
      <c r="G14" s="583"/>
      <c r="H14" s="357">
        <f>Förutsättningar!U29</f>
        <v>4000</v>
      </c>
      <c r="I14" s="176" t="s">
        <v>41</v>
      </c>
      <c r="J14" s="129"/>
      <c r="K14" s="129"/>
      <c r="L14" s="129"/>
      <c r="M14" s="129"/>
      <c r="N14" s="129"/>
      <c r="O14" s="129"/>
      <c r="P14" s="129"/>
      <c r="Q14" s="129"/>
      <c r="R14" s="129"/>
      <c r="S14" s="129"/>
      <c r="T14" s="129"/>
    </row>
    <row r="15" spans="2:20" s="174" customFormat="1" ht="15.75" hidden="1" customHeight="1">
      <c r="B15" s="129"/>
      <c r="C15" s="580"/>
      <c r="D15" s="580"/>
      <c r="E15" s="580"/>
      <c r="F15" s="580"/>
      <c r="G15" s="580"/>
      <c r="H15" s="139"/>
      <c r="I15" s="178"/>
      <c r="J15" s="129"/>
      <c r="K15" s="129"/>
      <c r="L15" s="129"/>
      <c r="M15" s="129"/>
      <c r="N15" s="129"/>
      <c r="O15" s="129"/>
      <c r="P15" s="129"/>
      <c r="Q15" s="129"/>
      <c r="R15" s="129"/>
      <c r="S15" s="129"/>
      <c r="T15" s="129"/>
    </row>
    <row r="16" spans="2:20" s="174" customFormat="1" ht="30" customHeight="1">
      <c r="B16" s="392"/>
      <c r="C16" s="393" t="str" cm="1">
        <f t="array" aca="1" ref="C16" ca="1">IFERROR(
  INDEX(
    tblStrings[],
    MATCH(SUBSTITUTE(CELL("adress",C16),"$",""), tblStrings[Cell], 0),
    MATCH(Språkval, tblStrings[#Headers], 0)
  ),
  ""
)</f>
        <v>Beskrivning av anläggningen och belysningsförslag</v>
      </c>
      <c r="D16" s="394"/>
      <c r="E16" s="394"/>
      <c r="F16" s="394"/>
      <c r="G16" s="392"/>
      <c r="H16" s="392"/>
      <c r="I16" s="469"/>
      <c r="J16" s="469"/>
      <c r="K16" s="469"/>
      <c r="L16" s="469"/>
      <c r="M16" s="469"/>
      <c r="N16" s="469"/>
      <c r="O16" s="469"/>
      <c r="P16" s="469"/>
      <c r="Q16" s="469"/>
      <c r="R16" s="469"/>
      <c r="S16" s="392"/>
      <c r="T16" s="392"/>
    </row>
    <row r="17" spans="2:20" s="174" customFormat="1" ht="16.5" customHeight="1">
      <c r="B17" s="108"/>
      <c r="C17" s="109"/>
      <c r="D17" s="108"/>
      <c r="E17" s="108"/>
      <c r="F17" s="108"/>
      <c r="G17" s="108"/>
      <c r="H17" s="108"/>
      <c r="I17" s="470"/>
      <c r="J17" s="470"/>
      <c r="K17" s="470"/>
      <c r="L17" s="470"/>
      <c r="M17" s="470"/>
      <c r="N17" s="470"/>
      <c r="O17" s="470"/>
      <c r="P17" s="470"/>
      <c r="Q17" s="470"/>
      <c r="R17" s="470"/>
      <c r="S17" s="108"/>
      <c r="T17" s="108"/>
    </row>
    <row r="18" spans="2:20" s="174" customFormat="1" ht="16.5" customHeight="1">
      <c r="B18" s="108"/>
      <c r="C18" s="623" t="str" cm="1">
        <f t="array" aca="1" ref="C18" ca="1">IFERROR(
  INDEX(
    tblStrings[],
    MATCH(SUBSTITUTE(CELL("adress",C18),"$",""), tblStrings[Cell], 0),
    MATCH(Språkval, tblStrings[#Headers], 0)
  ),
  ""
)</f>
        <v>BESKRIVNING AV ANLÄGGNINGEN</v>
      </c>
      <c r="D18" s="623"/>
      <c r="E18" s="623"/>
      <c r="F18" s="623"/>
      <c r="G18" s="623"/>
      <c r="H18" s="623"/>
      <c r="I18" s="470"/>
      <c r="J18" s="470"/>
      <c r="K18" s="470"/>
      <c r="L18" s="470"/>
      <c r="M18" s="470"/>
      <c r="N18" s="470"/>
      <c r="O18" s="470"/>
      <c r="P18" s="470"/>
      <c r="Q18" s="470"/>
      <c r="R18" s="470"/>
      <c r="S18" s="108"/>
      <c r="T18" s="108"/>
    </row>
    <row r="19" spans="2:20" s="174" customFormat="1" ht="33" customHeight="1">
      <c r="B19" s="111"/>
      <c r="C19" s="112" t="str" cm="1">
        <f t="array" aca="1" ref="C19" ca="1">IFERROR(
  INDEX(
    tblStrings[],
    MATCH(
      1,
      (tblStrings[Cell]=SUBSTITUTE(CELL("adress",INDIRECT("RC",FALSE)),"$","")) *
      (tblStrings[Sheet]=AllStrings!$C$433),
      0
    ),
    MATCH(Språkval, tblStrings[#Headers], 0)
  ),
)</f>
        <v>Byggnadstyp</v>
      </c>
      <c r="D19" s="113"/>
      <c r="E19" s="113"/>
      <c r="F19" s="113"/>
      <c r="G19" s="114"/>
      <c r="H19" s="114"/>
      <c r="I19" s="438"/>
      <c r="J19" s="438"/>
      <c r="K19" s="438"/>
      <c r="L19" s="438"/>
      <c r="M19" s="438"/>
      <c r="N19" s="438"/>
      <c r="O19" s="438"/>
      <c r="P19" s="438"/>
      <c r="Q19" s="438"/>
      <c r="R19" s="438"/>
      <c r="S19" s="108"/>
      <c r="T19" s="108"/>
    </row>
    <row r="20" spans="2:20" s="174" customFormat="1" ht="16.5" hidden="1" customHeight="1">
      <c r="B20" s="111"/>
      <c r="C20" s="112" t="str" cm="1">
        <f t="array" aca="1" ref="C20" ca="1">IFERROR(
  INDEX(
    tblStrings[],
    MATCH(
      1,
      (tblStrings[Cell]=SUBSTITUTE(CELL("adress",INDIRECT("RC",FALSE)),"$","")) *
      (tblStrings[Sheet]=AllStrings!$C$433),
      0
    ),
    MATCH(Språkval, tblStrings[#Headers], 0)
  ),
)</f>
        <v>Byggnadstyp hjälprad</v>
      </c>
      <c r="D20" s="113"/>
      <c r="E20" s="113"/>
      <c r="F20" s="113"/>
      <c r="G20" s="114"/>
      <c r="H20" s="114"/>
      <c r="I20" s="439" t="str">
        <f>SUBSTITUTE(I19," ","_")</f>
        <v/>
      </c>
      <c r="J20" s="439" t="str">
        <f t="shared" ref="J20:R20" si="0">SUBSTITUTE(J19," ","_")</f>
        <v/>
      </c>
      <c r="K20" s="439" t="str">
        <f t="shared" si="0"/>
        <v/>
      </c>
      <c r="L20" s="439" t="str">
        <f t="shared" si="0"/>
        <v/>
      </c>
      <c r="M20" s="439" t="str">
        <f t="shared" si="0"/>
        <v/>
      </c>
      <c r="N20" s="439" t="str">
        <f t="shared" si="0"/>
        <v/>
      </c>
      <c r="O20" s="439" t="str">
        <f t="shared" si="0"/>
        <v/>
      </c>
      <c r="P20" s="439" t="str">
        <f t="shared" si="0"/>
        <v/>
      </c>
      <c r="Q20" s="439" t="str">
        <f t="shared" si="0"/>
        <v/>
      </c>
      <c r="R20" s="439" t="str">
        <f t="shared" si="0"/>
        <v/>
      </c>
      <c r="S20" s="108"/>
      <c r="T20" s="108"/>
    </row>
    <row r="21" spans="2:20" s="174" customFormat="1" ht="33" customHeight="1">
      <c r="B21" s="111"/>
      <c r="C21" s="627" t="str" cm="1">
        <f t="array" aca="1" ref="C21" ca="1">IFERROR(
  INDEX(
    tblStrings[],
    MATCH(
      1,
      (tblStrings[Cell]=SUBSTITUTE(CELL("adress",INDIRECT("RC",FALSE)),"$","")) *
      (tblStrings[Sheet]=AllStrings!$C$433),
      0
    ),
    MATCH(Språkval, tblStrings[#Headers], 0)
  ),
)</f>
        <v>Rumstyp (välj byggnadstyp ovan för att få lista med giltiga rumstyper)</v>
      </c>
      <c r="D21" s="628"/>
      <c r="E21" s="628"/>
      <c r="F21" s="628"/>
      <c r="G21" s="629"/>
      <c r="H21" s="114"/>
      <c r="I21" s="438"/>
      <c r="J21" s="438"/>
      <c r="K21" s="438"/>
      <c r="L21" s="438"/>
      <c r="M21" s="438"/>
      <c r="N21" s="438"/>
      <c r="O21" s="438"/>
      <c r="P21" s="438"/>
      <c r="Q21" s="438"/>
      <c r="R21" s="438"/>
      <c r="S21" s="108"/>
      <c r="T21" s="108"/>
    </row>
    <row r="22" spans="2:20" s="174" customFormat="1" ht="21" customHeight="1">
      <c r="B22" s="111"/>
      <c r="C22" s="112" t="str" cm="1">
        <f t="array" aca="1" ref="C22" ca="1">IFERROR(
  INDEX(
    tblStrings[],
    MATCH(
      1,
      (tblStrings[Cell]=SUBSTITUTE(CELL("adress",INDIRECT("RC",FALSE)),"$","")) *
      (tblStrings[Sheet]=AllStrings!$C$433),
      0
    ),
    MATCH(Språkval, tblStrings[#Headers], 0)
  ),
)</f>
        <v>Rumsbeteckning</v>
      </c>
      <c r="D22" s="113"/>
      <c r="E22" s="113"/>
      <c r="F22" s="113"/>
      <c r="G22" s="114"/>
      <c r="H22" s="114"/>
      <c r="I22" s="438"/>
      <c r="J22" s="438"/>
      <c r="K22" s="438"/>
      <c r="L22" s="438"/>
      <c r="M22" s="438"/>
      <c r="N22" s="438"/>
      <c r="O22" s="438"/>
      <c r="P22" s="438"/>
      <c r="Q22" s="438"/>
      <c r="R22" s="438"/>
      <c r="S22" s="108"/>
      <c r="T22" s="108"/>
    </row>
    <row r="23" spans="2:20" s="174" customFormat="1" ht="16.5" customHeight="1">
      <c r="B23" s="111"/>
      <c r="C23" s="112" t="str" cm="1">
        <f t="array" aca="1" ref="C23" ca="1">IFERROR(
  INDEX(
    tblStrings[],
    MATCH(
      1,
      (tblStrings[Cell]=SUBSTITUTE(CELL("adress",INDIRECT("RC",FALSE)),"$","")) *
      (tblStrings[Sheet]=AllStrings!$C$433),
      0
    ),
    MATCH(Språkval, tblStrings[#Headers], 0)
  ),
)</f>
        <v>Antal rum av samma typ</v>
      </c>
      <c r="D23" s="116"/>
      <c r="E23" s="116"/>
      <c r="F23" s="116"/>
      <c r="G23" s="117"/>
      <c r="H23" s="117" t="str" cm="1">
        <f t="array" aca="1" ref="H23" ca="1">IFERROR(
  INDEX(
    tblStrings[],
    MATCH(
      1,
      (tblStrings[Cell]=SUBSTITUTE(CELL("adress",INDIRECT("RC",FALSE)),"$","")) *
      (tblStrings[Sheet]=AllStrings!$C$433),
      0
    ),
    MATCH(Språkval, tblStrings[#Headers], 0)
  ),
)</f>
        <v>stk</v>
      </c>
      <c r="I23" s="440"/>
      <c r="J23" s="440"/>
      <c r="K23" s="440"/>
      <c r="L23" s="440"/>
      <c r="M23" s="440"/>
      <c r="N23" s="440"/>
      <c r="O23" s="440"/>
      <c r="P23" s="440"/>
      <c r="Q23" s="440"/>
      <c r="R23" s="440"/>
      <c r="S23" s="108"/>
      <c r="T23" s="108"/>
    </row>
    <row r="24" spans="2:20" s="174" customFormat="1" ht="16.5" customHeight="1">
      <c r="B24" s="111"/>
      <c r="C24" s="112" t="str" cm="1">
        <f t="array" aca="1" ref="C24" ca="1">IFERROR(
  INDEX(
    tblStrings[],
    MATCH(
      1,
      (tblStrings[Cell]=SUBSTITUTE(CELL("adress",INDIRECT("RC",FALSE)),"$","")) *
      (tblStrings[Sheet]=AllStrings!$C$433),
      0
    ),
    MATCH(Språkval, tblStrings[#Headers], 0)
  ),
)</f>
        <v>Antal kvadratmeter</v>
      </c>
      <c r="D24" s="116"/>
      <c r="E24" s="116"/>
      <c r="F24" s="116"/>
      <c r="G24" s="117"/>
      <c r="H24" s="117" t="str" cm="1">
        <f t="array" aca="1" ref="H24" ca="1">IFERROR(
  INDEX(
    tblStrings[],
    MATCH(
      1,
      (tblStrings[Cell]=SUBSTITUTE(CELL("adress",INDIRECT("RC",FALSE)),"$","")) *
      (tblStrings[Sheet]=AllStrings!$C$433),
      0
    ),
    MATCH(Språkval, tblStrings[#Headers], 0)
  ),
)</f>
        <v>m2/rum</v>
      </c>
      <c r="I24" s="440"/>
      <c r="J24" s="440"/>
      <c r="K24" s="440"/>
      <c r="L24" s="440"/>
      <c r="M24" s="440"/>
      <c r="N24" s="440"/>
      <c r="O24" s="440"/>
      <c r="P24" s="440"/>
      <c r="Q24" s="440"/>
      <c r="R24" s="440"/>
      <c r="S24" s="108"/>
      <c r="T24" s="108"/>
    </row>
    <row r="25" spans="2:20" s="174" customFormat="1" ht="22.5" customHeight="1">
      <c r="B25" s="111"/>
      <c r="C25" s="549" t="str" cm="1">
        <f t="array" aca="1" ref="C25" ca="1">IFERROR(
  INDEX(
    tblStrings[],
    MATCH(SUBSTITUTE(CELL("adress",C25),"$",""), tblStrings[Cell], 0),
    MATCH(Språkval, tblStrings[#Headers], 0)
  ),
  ""
)</f>
        <v>BELYSNINGSFÖRSLAG</v>
      </c>
      <c r="D25" s="550"/>
      <c r="E25" s="550"/>
      <c r="F25" s="550"/>
      <c r="G25" s="550"/>
      <c r="H25" s="550"/>
      <c r="I25" s="471"/>
      <c r="J25" s="471"/>
      <c r="K25" s="471"/>
      <c r="L25" s="471"/>
      <c r="M25" s="471"/>
      <c r="N25" s="471"/>
      <c r="O25" s="471"/>
      <c r="P25" s="471"/>
      <c r="Q25" s="471"/>
      <c r="R25" s="471"/>
      <c r="S25" s="108"/>
      <c r="T25" s="108"/>
    </row>
    <row r="26" spans="2:20" s="174" customFormat="1" ht="16.5" customHeight="1">
      <c r="B26" s="111"/>
      <c r="C26" s="554" t="str" cm="1">
        <f t="array" aca="1" ref="C26" ca="1">IFERROR(
  INDEX(
    tblStrings[],
    MATCH(
      1,
      (tblStrings[Cell]=SUBSTITUTE(CELL("adress",INDIRECT("RC",FALSE)),"$","")) *
      (tblStrings[Sheet]=AllStrings!$C$433),
      0
    ),
    MATCH(Språkval, tblStrings[#Headers], 0)
  ),
)</f>
        <v>Armaturbeteckning</v>
      </c>
      <c r="D26" s="118"/>
      <c r="E26" s="118"/>
      <c r="F26" s="118"/>
      <c r="G26" s="118"/>
      <c r="H26" s="118"/>
      <c r="I26" s="467"/>
      <c r="J26" s="467"/>
      <c r="K26" s="467"/>
      <c r="L26" s="467"/>
      <c r="M26" s="467"/>
      <c r="N26" s="467"/>
      <c r="O26" s="467"/>
      <c r="P26" s="467"/>
      <c r="Q26" s="467"/>
      <c r="R26" s="467"/>
      <c r="S26" s="108"/>
      <c r="T26" s="108"/>
    </row>
    <row r="27" spans="2:20" s="174" customFormat="1" ht="16.5" customHeight="1">
      <c r="B27" s="111" t="s">
        <v>58</v>
      </c>
      <c r="C27" s="554" t="str" cm="1">
        <f t="array" aca="1" ref="C27" ca="1">IFERROR(
  INDEX(
    tblStrings[],
    MATCH(
      1,
      (tblStrings[Cell]=SUBSTITUTE(CELL("adress",INDIRECT("RC",FALSE)),"$","")) *
      (tblStrings[Sheet]=AllStrings!$C$433),
      0
    ),
    MATCH(Språkval, tblStrings[#Headers], 0)
  ),
)</f>
        <v>Antal armaturer</v>
      </c>
      <c r="D27" s="116"/>
      <c r="E27" s="116"/>
      <c r="F27" s="116"/>
      <c r="G27" s="117"/>
      <c r="H27" s="117" t="str" cm="1">
        <f t="array" aca="1" ref="H27" ca="1">IFERROR(
  INDEX(
    tblStrings[],
    MATCH(
      1,
      (tblStrings[Cell]=SUBSTITUTE(CELL("adress",INDIRECT("RC",FALSE)),"$","")) *
      (tblStrings[Sheet]=AllStrings!$C$433),
      0
    ),
    MATCH(Språkval, tblStrings[#Headers], 0)
  ),
)</f>
        <v>stk</v>
      </c>
      <c r="I27" s="437"/>
      <c r="J27" s="437"/>
      <c r="K27" s="437"/>
      <c r="L27" s="437"/>
      <c r="M27" s="437"/>
      <c r="N27" s="437"/>
      <c r="O27" s="437"/>
      <c r="P27" s="437"/>
      <c r="Q27" s="437"/>
      <c r="R27" s="437"/>
      <c r="S27" s="108"/>
      <c r="T27" s="108"/>
    </row>
    <row r="28" spans="2:20" s="174" customFormat="1" ht="16.5" customHeight="1">
      <c r="B28" s="111" t="s">
        <v>60</v>
      </c>
      <c r="C28" s="554" t="str" cm="1">
        <f t="array" aca="1" ref="C28" ca="1">IFERROR(
  INDEX(
    tblStrings[],
    MATCH(
      1,
      (tblStrings[Cell]=SUBSTITUTE(CELL("adress",INDIRECT("RC",FALSE)),"$","")) *
      (tblStrings[Sheet]=AllStrings!$C$433),
      0
    ),
    MATCH(Språkval, tblStrings[#Headers], 0)
  ),
)</f>
        <v>Armaturpris</v>
      </c>
      <c r="D28" s="116"/>
      <c r="E28" s="116"/>
      <c r="F28" s="116"/>
      <c r="G28" s="117"/>
      <c r="H28" s="117" t="str" cm="1">
        <f t="array" aca="1" ref="H28" ca="1">IFERROR(
  INDEX(
    tblStrings[],
    MATCH(
      1,
      (tblStrings[Cell]=SUBSTITUTE(CELL("adress",INDIRECT("RC",FALSE)),"$","")) *
      (tblStrings[Sheet]=AllStrings!$C$433),
      0
    ),
    MATCH(Språkval, tblStrings[#Headers], 0)
  ),
)</f>
        <v>kr/stk</v>
      </c>
      <c r="I28" s="437"/>
      <c r="J28" s="437"/>
      <c r="K28" s="437"/>
      <c r="L28" s="437"/>
      <c r="M28" s="437"/>
      <c r="N28" s="437"/>
      <c r="O28" s="437"/>
      <c r="P28" s="437"/>
      <c r="Q28" s="437"/>
      <c r="R28" s="437"/>
      <c r="S28" s="108"/>
      <c r="T28" s="108"/>
    </row>
    <row r="29" spans="2:20" s="174" customFormat="1" ht="16.5" customHeight="1">
      <c r="B29" s="111" t="s">
        <v>63</v>
      </c>
      <c r="C29" s="554" t="str" cm="1">
        <f t="array" aca="1" ref="C29" ca="1">IFERROR(
  INDEX(
    tblStrings[],
    MATCH(
      1,
      (tblStrings[Cell]=SUBSTITUTE(CELL("adress",INDIRECT("RC",FALSE)),"$","")) *
      (tblStrings[Sheet]=AllStrings!$C$433),
      0
    ),
    MATCH(Språkval, tblStrings[#Headers], 0)
  ),
)</f>
        <v>Material- och arbetskostnader armatur</v>
      </c>
      <c r="D29" s="116"/>
      <c r="E29" s="116"/>
      <c r="F29" s="116"/>
      <c r="G29" s="117"/>
      <c r="H29" s="117" t="str" cm="1">
        <f t="array" aca="1" ref="H29" ca="1">IFERROR(
  INDEX(
    tblStrings[],
    MATCH(
      1,
      (tblStrings[Cell]=SUBSTITUTE(CELL("adress",INDIRECT("RC",FALSE)),"$","")) *
      (tblStrings[Sheet]=AllStrings!$C$433),
      0
    ),
    MATCH(Språkval, tblStrings[#Headers], 0)
  ),
)</f>
        <v>kr</v>
      </c>
      <c r="I29" s="437"/>
      <c r="J29" s="437"/>
      <c r="K29" s="437"/>
      <c r="L29" s="437"/>
      <c r="M29" s="437"/>
      <c r="N29" s="437"/>
      <c r="O29" s="437"/>
      <c r="P29" s="437"/>
      <c r="Q29" s="437"/>
      <c r="R29" s="437"/>
      <c r="S29" s="108"/>
      <c r="T29" s="108"/>
    </row>
    <row r="30" spans="2:20" s="174" customFormat="1" ht="16.5" customHeight="1">
      <c r="B30" s="111" t="s">
        <v>65</v>
      </c>
      <c r="C30" s="554" t="str" cm="1">
        <f t="array" aca="1" ref="C30" ca="1">IFERROR(
  INDEX(
    tblStrings[],
    MATCH(
      1,
      (tblStrings[Cell]=SUBSTITUTE(CELL("adress",INDIRECT("RC",FALSE)),"$","")) *
      (tblStrings[Sheet]=AllStrings!$C$433),
      0
    ),
    MATCH(Språkval, tblStrings[#Headers], 0)
  ),
)</f>
        <v>Effekt per armatur, inkl. driftsförluster</v>
      </c>
      <c r="D30" s="116"/>
      <c r="E30" s="116"/>
      <c r="F30" s="116"/>
      <c r="G30" s="117"/>
      <c r="H30" s="117" t="str" cm="1">
        <f t="array" aca="1" ref="H30" ca="1">IFERROR(
  INDEX(
    tblStrings[],
    MATCH(
      1,
      (tblStrings[Cell]=SUBSTITUTE(CELL("adress",INDIRECT("RC",FALSE)),"$","")) *
      (tblStrings[Sheet]=AllStrings!$C$433),
      0
    ),
    MATCH(Språkval, tblStrings[#Headers], 0)
  ),
)</f>
        <v>W/stk</v>
      </c>
      <c r="I30" s="437"/>
      <c r="J30" s="437"/>
      <c r="K30" s="437"/>
      <c r="L30" s="437"/>
      <c r="M30" s="437"/>
      <c r="N30" s="437"/>
      <c r="O30" s="437"/>
      <c r="P30" s="437"/>
      <c r="Q30" s="437"/>
      <c r="R30" s="437"/>
      <c r="S30" s="108"/>
      <c r="T30" s="108"/>
    </row>
    <row r="31" spans="2:20" s="174" customFormat="1" ht="30" customHeight="1">
      <c r="B31" s="111" t="s">
        <v>68</v>
      </c>
      <c r="C31" s="554" t="str" cm="1">
        <f t="array" aca="1" ref="C31" ca="1">IFERROR(
  INDEX(
    tblStrings[],
    MATCH(
      1,
      (tblStrings[Cell]=SUBSTITUTE(CELL("adress",INDIRECT("RC",FALSE)),"$","")) *
      (tblStrings[Sheet]=AllStrings!$C$433),
      0
    ),
    MATCH(Språkval, tblStrings[#Headers], 0)
  ),
)</f>
        <v>Typ av styrning</v>
      </c>
      <c r="D31" s="116"/>
      <c r="E31" s="116"/>
      <c r="F31" s="116"/>
      <c r="G31" s="117"/>
      <c r="H31" s="117"/>
      <c r="I31" s="437"/>
      <c r="J31" s="437"/>
      <c r="K31" s="437"/>
      <c r="L31" s="437"/>
      <c r="M31" s="437"/>
      <c r="N31" s="437"/>
      <c r="O31" s="437"/>
      <c r="P31" s="437"/>
      <c r="Q31" s="437"/>
      <c r="R31" s="437"/>
      <c r="S31" s="108"/>
      <c r="T31" s="108"/>
    </row>
    <row r="32" spans="2:20" s="174" customFormat="1" ht="28.5" hidden="1" customHeight="1" outlineLevel="1">
      <c r="B32" s="111" t="s">
        <v>71</v>
      </c>
      <c r="C32" s="554" t="str" cm="1">
        <f t="array" aca="1" ref="C32" ca="1">IFERROR(
  INDEX(
    tblStrings[],
    MATCH(
      1,
      (tblStrings[Cell]=SUBSTITUTE(CELL("adress",INDIRECT("RC",FALSE)),"$","")) *
      (tblStrings[Sheet]=AllStrings!$C$433),
      0
    ),
    MATCH(Språkval, tblStrings[#Headers], 0)
  ),
)</f>
        <v>Reduktionsfaktor manuell styrning</v>
      </c>
      <c r="D32" s="116"/>
      <c r="E32" s="116"/>
      <c r="F32" s="116"/>
      <c r="G32" s="117"/>
      <c r="H32" s="117" t="str" cm="1">
        <f t="array" aca="1" ref="H32" ca="1">IFERROR(
  INDEX(
    tblStrings[],
    MATCH(
      1,
      (tblStrings[Cell]=SUBSTITUTE(CELL("adress",INDIRECT("RC",FALSE)),"$","")) *
      (tblStrings[Sheet]=RIGHT(CELL("filnamn"),LEN(CELL("filnamn"))-SEARCH("]",CELL("filnamn")))),
      0
    ),
    MATCH(Språkval, tblStrings[#Headers], 0)
  ),
  ""
)</f>
        <v/>
      </c>
      <c r="I32" s="437" t="str" cm="1">
        <f t="array" aca="1" ref="I32"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32" s="437" t="str" cm="1">
        <f t="array" aca="1" ref="J32"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32" s="437" t="str" cm="1">
        <f t="array" aca="1" ref="K32"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32" s="437" t="str" cm="1">
        <f t="array" aca="1" ref="L32"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32" s="437" t="str" cm="1">
        <f t="array" aca="1" ref="M32"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32" s="437" t="str" cm="1">
        <f t="array" aca="1" ref="N32"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32" s="437" t="str" cm="1">
        <f t="array" aca="1" ref="O32"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32" s="437" t="str" cm="1">
        <f t="array" aca="1" ref="P32"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32" s="437" t="str" cm="1">
        <f t="array" aca="1" ref="Q32"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32" s="437" t="str" cm="1">
        <f t="array" aca="1" ref="R32"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32" s="108"/>
      <c r="T32" s="108"/>
    </row>
    <row r="33" spans="2:20" s="174" customFormat="1" ht="28.5" hidden="1" customHeight="1" outlineLevel="1">
      <c r="B33" s="111" t="s">
        <v>73</v>
      </c>
      <c r="C33" s="554" t="str" cm="1">
        <f t="array" aca="1" ref="C33" ca="1">IFERROR(
  INDEX(
    tblStrings[],
    MATCH(
      1,
      (tblStrings[Cell]=SUBSTITUTE(CELL("adress",INDIRECT("RC",FALSE)),"$","")) *
      (tblStrings[Sheet]=AllStrings!$C$433),
      0
    ),
    MATCH(Språkval, tblStrings[#Headers], 0)
  ),
)</f>
        <v>Reduktionsfaktor närvaro-/frånvarostyrning</v>
      </c>
      <c r="D33" s="116"/>
      <c r="E33" s="116"/>
      <c r="F33" s="116"/>
      <c r="G33" s="117"/>
      <c r="H33" s="117" t="str" cm="1">
        <f t="array" aca="1" ref="H33" ca="1">IFERROR(
  INDEX(
    tblStrings[],
    MATCH(
      1,
      (tblStrings[Cell]=SUBSTITUTE(CELL("adress",INDIRECT("RC",FALSE)),"$","")) *
      (tblStrings[Sheet]=RIGHT(CELL("filnamn"),LEN(CELL("filnamn"))-SEARCH("]",CELL("filnamn")))),
      0
    ),
    MATCH(Språkval, tblStrings[#Headers], 0)
  ),
  ""
)</f>
        <v/>
      </c>
      <c r="I33" s="437" t="str" cm="1">
        <f t="array" aca="1" ref="I33"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33" s="437" t="str" cm="1">
        <f t="array" aca="1" ref="J33"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33" s="437" t="str" cm="1">
        <f t="array" aca="1" ref="K33"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33" s="437" t="str" cm="1">
        <f t="array" aca="1" ref="L33"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33" s="437" t="str" cm="1">
        <f t="array" aca="1" ref="M33"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33" s="437" t="str" cm="1">
        <f t="array" aca="1" ref="N33"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33" s="437" t="str" cm="1">
        <f t="array" aca="1" ref="O33"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33" s="437" t="str" cm="1">
        <f t="array" aca="1" ref="P33"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33" s="437" t="str" cm="1">
        <f t="array" aca="1" ref="Q33"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33" s="437" t="str" cm="1">
        <f t="array" aca="1" ref="R33"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33" s="108"/>
      <c r="T33" s="108"/>
    </row>
    <row r="34" spans="2:20" s="174" customFormat="1" ht="28.5" hidden="1" customHeight="1" outlineLevel="1">
      <c r="B34" s="111" t="s">
        <v>75</v>
      </c>
      <c r="C34" s="554" t="str" cm="1">
        <f t="array" aca="1" ref="C34" ca="1">IFERROR(
  INDEX(
    tblStrings[],
    MATCH(
      1,
      (tblStrings[Cell]=SUBSTITUTE(CELL("adress",INDIRECT("RC",FALSE)),"$","")) *
      (tblStrings[Sheet]=AllStrings!$C$433),
      0
    ),
    MATCH(Språkval, tblStrings[#Headers], 0)
  ),
)</f>
        <v>Reduktionsfaktor dagsljusstyrning</v>
      </c>
      <c r="D34" s="116"/>
      <c r="E34" s="116"/>
      <c r="F34" s="116"/>
      <c r="G34" s="117"/>
      <c r="H34" s="117" t="str" cm="1">
        <f t="array" aca="1" ref="H34" ca="1">IFERROR(
  INDEX(
    tblStrings[],
    MATCH(
      1,
      (tblStrings[Cell]=SUBSTITUTE(CELL("adress",INDIRECT("RC",FALSE)),"$","")) *
      (tblStrings[Sheet]=RIGHT(CELL("filnamn"),LEN(CELL("filnamn"))-SEARCH("]",CELL("filnamn")))),
      0
    ),
    MATCH(Språkval, tblStrings[#Headers], 0)
  ),
  ""
)</f>
        <v/>
      </c>
      <c r="I34" s="437" t="str" cm="1">
        <f t="array" aca="1" ref="I34"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34" s="437" t="str" cm="1">
        <f t="array" aca="1" ref="J34"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34" s="437" t="str" cm="1">
        <f t="array" aca="1" ref="K34"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34" s="437" t="str" cm="1">
        <f t="array" aca="1" ref="L34"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34" s="437" t="str" cm="1">
        <f t="array" aca="1" ref="M34"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34" s="437" t="str" cm="1">
        <f t="array" aca="1" ref="N34"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34" s="437" t="str" cm="1">
        <f t="array" aca="1" ref="O34"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34" s="437" t="str" cm="1">
        <f t="array" aca="1" ref="P34"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34" s="437" t="str" cm="1">
        <f t="array" aca="1" ref="Q34"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34" s="437" t="str" cm="1">
        <f t="array" aca="1" ref="R34"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34" s="108"/>
      <c r="T34" s="108"/>
    </row>
    <row r="35" spans="2:20" s="174" customFormat="1" ht="16.5" customHeight="1" collapsed="1">
      <c r="B35" s="111" t="s">
        <v>77</v>
      </c>
      <c r="C35" s="554" t="str" cm="1">
        <f t="array" aca="1" ref="C35" ca="1">IFERROR(
  INDEX(
    tblStrings[],
    MATCH(
      1,
      (tblStrings[Cell]=SUBSTITUTE(CELL("adress",INDIRECT("RC",FALSE)),"$","")) *
      (tblStrings[Sheet]=AllStrings!$C$433),
      0
    ),
    MATCH(Språkval, tblStrings[#Headers], 0)
  ),
)</f>
        <v>Total reduktionsfaktor för styrning</v>
      </c>
      <c r="D35" s="116"/>
      <c r="E35" s="116"/>
      <c r="F35" s="116"/>
      <c r="G35" s="117"/>
      <c r="H35" s="117"/>
      <c r="I35" s="526">
        <f ca="1">IF(IF(I31=$I$233,I32,IF(I31=$I$234,I32*I33,IF(I31=$I$235,I32*I33*I34,1)))=0,"Fyll i 2.6-2.8",IF(I31=$I$233,I32,IF(I31=$I$234,I32*I33,IF(I31=$I$235,I32*I33*I34,1))))</f>
        <v>1</v>
      </c>
      <c r="J35" s="526">
        <f t="shared" ref="J35:R35" ca="1" si="1">IF(IF(J31=$I$233,J32,IF(J31=$I$234,J32*J33,IF(J31=$I$235,J32*J33*J34,1)))=0,"Fyll i 2.6-2.8",IF(J31=$I$233,J32,IF(J31=$I$234,J32*J33,IF(J31=$I$235,J32*J33*J34,1))))</f>
        <v>1</v>
      </c>
      <c r="K35" s="526">
        <f t="shared" ca="1" si="1"/>
        <v>1</v>
      </c>
      <c r="L35" s="526">
        <f t="shared" ca="1" si="1"/>
        <v>1</v>
      </c>
      <c r="M35" s="526">
        <f t="shared" ca="1" si="1"/>
        <v>1</v>
      </c>
      <c r="N35" s="526">
        <f t="shared" ca="1" si="1"/>
        <v>1</v>
      </c>
      <c r="O35" s="526">
        <f t="shared" ca="1" si="1"/>
        <v>1</v>
      </c>
      <c r="P35" s="526">
        <f t="shared" ca="1" si="1"/>
        <v>1</v>
      </c>
      <c r="Q35" s="526">
        <f t="shared" ca="1" si="1"/>
        <v>1</v>
      </c>
      <c r="R35" s="526">
        <f t="shared" ca="1" si="1"/>
        <v>1</v>
      </c>
      <c r="S35" s="108"/>
      <c r="T35" s="108"/>
    </row>
    <row r="36" spans="2:20" s="174" customFormat="1" ht="16.5" customHeight="1">
      <c r="B36" s="111" t="s">
        <v>79</v>
      </c>
      <c r="C36" s="554" t="str" cm="1">
        <f t="array" aca="1" ref="C36" ca="1">IFERROR(
  INDEX(
    tblStrings[],
    MATCH(
      1,
      (tblStrings[Cell]=SUBSTITUTE(CELL("adress",INDIRECT("RC",FALSE)),"$","")) *
      (tblStrings[Sheet]=AllStrings!$C$433),
      0
    ),
    MATCH(Språkval, tblStrings[#Headers], 0)
  ),
)</f>
        <v>Underhållskostnader</v>
      </c>
      <c r="D36" s="116"/>
      <c r="E36" s="116"/>
      <c r="F36" s="116"/>
      <c r="G36" s="117"/>
      <c r="H36" s="117" t="str" cm="1">
        <f t="array" aca="1" ref="H36" ca="1">IFERROR(
  INDEX(
    tblStrings[],
    MATCH(
      1,
      (tblStrings[Cell]=SUBSTITUTE(CELL("adress",INDIRECT("RC",FALSE)),"$","")) *
      (tblStrings[Sheet]=AllStrings!$C$433),
      0
    ),
    MATCH(Språkval, tblStrings[#Headers], 0)
  ),
)</f>
        <v>kr/år</v>
      </c>
      <c r="I36" s="437"/>
      <c r="J36" s="437"/>
      <c r="K36" s="437"/>
      <c r="L36" s="437"/>
      <c r="M36" s="437"/>
      <c r="N36" s="437"/>
      <c r="O36" s="437"/>
      <c r="P36" s="437"/>
      <c r="Q36" s="437"/>
      <c r="R36" s="437"/>
      <c r="S36" s="108"/>
      <c r="T36" s="108"/>
    </row>
    <row r="37" spans="2:20" s="174" customFormat="1" ht="16.5" customHeight="1">
      <c r="B37" s="111"/>
      <c r="C37" s="465"/>
      <c r="D37" s="465"/>
      <c r="E37" s="465"/>
      <c r="F37" s="465"/>
      <c r="G37" s="465"/>
      <c r="H37" s="465"/>
      <c r="I37" s="471"/>
      <c r="J37" s="471"/>
      <c r="K37" s="471"/>
      <c r="L37" s="471"/>
      <c r="M37" s="471"/>
      <c r="N37" s="471"/>
      <c r="O37" s="471"/>
      <c r="P37" s="471"/>
      <c r="Q37" s="471"/>
      <c r="R37" s="471"/>
      <c r="S37" s="108"/>
      <c r="T37" s="108"/>
    </row>
    <row r="38" spans="2:20" s="174" customFormat="1" ht="16.5" customHeight="1">
      <c r="B38" s="111"/>
      <c r="C38" s="115" t="str">
        <f ca="1">$C$26</f>
        <v>Armaturbeteckning</v>
      </c>
      <c r="D38" s="118"/>
      <c r="E38" s="118"/>
      <c r="F38" s="118"/>
      <c r="G38" s="118"/>
      <c r="H38" s="118"/>
      <c r="I38" s="437"/>
      <c r="J38" s="437"/>
      <c r="K38" s="437"/>
      <c r="L38" s="437"/>
      <c r="M38" s="437"/>
      <c r="N38" s="437"/>
      <c r="O38" s="437"/>
      <c r="P38" s="437"/>
      <c r="Q38" s="437"/>
      <c r="R38" s="437"/>
      <c r="S38" s="108"/>
      <c r="T38" s="108"/>
    </row>
    <row r="39" spans="2:20" s="174" customFormat="1" ht="16.5" customHeight="1">
      <c r="B39" s="111" t="s">
        <v>58</v>
      </c>
      <c r="C39" s="115" t="str">
        <f ca="1">$C$27</f>
        <v>Antal armaturer</v>
      </c>
      <c r="D39" s="116"/>
      <c r="E39" s="116"/>
      <c r="F39" s="116"/>
      <c r="G39" s="117"/>
      <c r="H39" s="117" t="str">
        <f ca="1">$H$27</f>
        <v>stk</v>
      </c>
      <c r="I39" s="437"/>
      <c r="J39" s="437"/>
      <c r="K39" s="437"/>
      <c r="L39" s="437"/>
      <c r="M39" s="437"/>
      <c r="N39" s="437"/>
      <c r="O39" s="484"/>
      <c r="P39" s="437"/>
      <c r="Q39" s="437"/>
      <c r="R39" s="437"/>
      <c r="S39" s="108"/>
      <c r="T39" s="108"/>
    </row>
    <row r="40" spans="2:20" s="174" customFormat="1" ht="16.5" customHeight="1">
      <c r="B40" s="111" t="s">
        <v>60</v>
      </c>
      <c r="C40" s="115" t="str">
        <f ca="1">$C$28</f>
        <v>Armaturpris</v>
      </c>
      <c r="D40" s="116"/>
      <c r="E40" s="116"/>
      <c r="F40" s="116"/>
      <c r="G40" s="117"/>
      <c r="H40" s="117" t="str">
        <f ca="1">$H$28</f>
        <v>kr/stk</v>
      </c>
      <c r="I40" s="437"/>
      <c r="J40" s="437"/>
      <c r="K40" s="437"/>
      <c r="L40" s="437"/>
      <c r="M40" s="437"/>
      <c r="N40" s="437"/>
      <c r="O40" s="437"/>
      <c r="P40" s="437"/>
      <c r="Q40" s="437"/>
      <c r="R40" s="437"/>
      <c r="S40" s="108"/>
      <c r="T40" s="108"/>
    </row>
    <row r="41" spans="2:20" s="174" customFormat="1" ht="16.5" customHeight="1">
      <c r="B41" s="111" t="s">
        <v>63</v>
      </c>
      <c r="C41" s="115" t="str">
        <f ca="1">$C$29</f>
        <v>Material- och arbetskostnader armatur</v>
      </c>
      <c r="D41" s="116"/>
      <c r="E41" s="116"/>
      <c r="F41" s="116"/>
      <c r="G41" s="117"/>
      <c r="H41" s="117" t="str">
        <f ca="1">$H$29</f>
        <v>kr</v>
      </c>
      <c r="I41" s="437"/>
      <c r="J41" s="437"/>
      <c r="K41" s="437"/>
      <c r="L41" s="437"/>
      <c r="M41" s="437"/>
      <c r="N41" s="437"/>
      <c r="O41" s="437"/>
      <c r="P41" s="437"/>
      <c r="Q41" s="437"/>
      <c r="R41" s="437"/>
      <c r="S41" s="108"/>
      <c r="T41" s="108"/>
    </row>
    <row r="42" spans="2:20" s="174" customFormat="1" ht="16.5" customHeight="1">
      <c r="B42" s="111" t="s">
        <v>65</v>
      </c>
      <c r="C42" s="115" t="str">
        <f ca="1">$C$30</f>
        <v>Effekt per armatur, inkl. driftsförluster</v>
      </c>
      <c r="D42" s="116"/>
      <c r="E42" s="116"/>
      <c r="F42" s="116"/>
      <c r="G42" s="117"/>
      <c r="H42" s="117" t="str">
        <f ca="1">$H$30</f>
        <v>W/stk</v>
      </c>
      <c r="I42" s="437"/>
      <c r="J42" s="437"/>
      <c r="K42" s="437"/>
      <c r="L42" s="437"/>
      <c r="M42" s="437"/>
      <c r="N42" s="437"/>
      <c r="O42" s="437"/>
      <c r="P42" s="437"/>
      <c r="Q42" s="437"/>
      <c r="R42" s="437"/>
      <c r="S42" s="108"/>
      <c r="T42" s="108"/>
    </row>
    <row r="43" spans="2:20" s="174" customFormat="1" ht="30" customHeight="1">
      <c r="B43" s="111" t="s">
        <v>68</v>
      </c>
      <c r="C43" s="115" t="str">
        <f ca="1">$C$31</f>
        <v>Typ av styrning</v>
      </c>
      <c r="D43" s="116"/>
      <c r="E43" s="116"/>
      <c r="F43" s="116"/>
      <c r="G43" s="117"/>
      <c r="H43" s="117"/>
      <c r="I43" s="437"/>
      <c r="J43" s="437"/>
      <c r="K43" s="437"/>
      <c r="L43" s="437"/>
      <c r="M43" s="437"/>
      <c r="N43" s="437"/>
      <c r="O43" s="437"/>
      <c r="P43" s="437"/>
      <c r="Q43" s="437"/>
      <c r="R43" s="437"/>
      <c r="S43" s="108"/>
      <c r="T43" s="108"/>
    </row>
    <row r="44" spans="2:20" s="174" customFormat="1" ht="24.75" hidden="1" customHeight="1" outlineLevel="1">
      <c r="B44" s="111" t="s">
        <v>71</v>
      </c>
      <c r="C44" s="115" t="str">
        <f t="shared" ref="C44:C46" ca="1" si="2">$C32</f>
        <v>Reduktionsfaktor manuell styrning</v>
      </c>
      <c r="D44" s="116"/>
      <c r="E44" s="116"/>
      <c r="F44" s="116"/>
      <c r="G44" s="117"/>
      <c r="H44" s="117"/>
      <c r="I44" s="437" t="str" cm="1">
        <f t="array" aca="1" ref="I44"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44" s="437" t="str" cm="1">
        <f t="array" aca="1" ref="J44"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44" s="437" t="str" cm="1">
        <f t="array" aca="1" ref="K44"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44" s="437" t="str" cm="1">
        <f t="array" aca="1" ref="L44"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44" s="437" t="str" cm="1">
        <f t="array" aca="1" ref="M44"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44" s="437" t="str" cm="1">
        <f t="array" aca="1" ref="N44"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44" s="437" t="str" cm="1">
        <f t="array" aca="1" ref="O44"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44" s="437" t="str" cm="1">
        <f t="array" aca="1" ref="P44"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44" s="437" t="str" cm="1">
        <f t="array" aca="1" ref="Q44"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44" s="437" t="str" cm="1">
        <f t="array" aca="1" ref="R44"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44" s="108"/>
      <c r="T44" s="108"/>
    </row>
    <row r="45" spans="2:20" s="174" customFormat="1" ht="24.75" hidden="1" customHeight="1" outlineLevel="1">
      <c r="B45" s="111" t="s">
        <v>73</v>
      </c>
      <c r="C45" s="115" t="str">
        <f t="shared" ca="1" si="2"/>
        <v>Reduktionsfaktor närvaro-/frånvarostyrning</v>
      </c>
      <c r="D45" s="116"/>
      <c r="E45" s="116"/>
      <c r="F45" s="116"/>
      <c r="G45" s="117"/>
      <c r="H45" s="117"/>
      <c r="I45" s="437" t="str" cm="1">
        <f t="array" aca="1" ref="I45"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45" s="437" t="str" cm="1">
        <f t="array" aca="1" ref="J45"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45" s="437" t="str" cm="1">
        <f t="array" aca="1" ref="K45"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45" s="437" t="str" cm="1">
        <f t="array" aca="1" ref="L45"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45" s="437" t="str" cm="1">
        <f t="array" aca="1" ref="M45"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45" s="437" t="str" cm="1">
        <f t="array" aca="1" ref="N45"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45" s="437" t="str" cm="1">
        <f t="array" aca="1" ref="O45"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45" s="437" t="str" cm="1">
        <f t="array" aca="1" ref="P45"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45" s="437" t="str" cm="1">
        <f t="array" aca="1" ref="Q45"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45" s="437" t="str" cm="1">
        <f t="array" aca="1" ref="R45"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45" s="108"/>
      <c r="T45" s="108"/>
    </row>
    <row r="46" spans="2:20" s="174" customFormat="1" ht="24.75" hidden="1" customHeight="1" outlineLevel="1">
      <c r="B46" s="111" t="s">
        <v>75</v>
      </c>
      <c r="C46" s="115" t="str">
        <f t="shared" ca="1" si="2"/>
        <v>Reduktionsfaktor dagsljusstyrning</v>
      </c>
      <c r="D46" s="116"/>
      <c r="E46" s="116"/>
      <c r="F46" s="116"/>
      <c r="G46" s="117"/>
      <c r="H46" s="117"/>
      <c r="I46" s="437" t="str" cm="1">
        <f t="array" aca="1" ref="I46"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46" s="437" t="str" cm="1">
        <f t="array" aca="1" ref="J46"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46" s="437" t="str" cm="1">
        <f t="array" aca="1" ref="K46"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46" s="437" t="str" cm="1">
        <f t="array" aca="1" ref="L46"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46" s="437" t="str" cm="1">
        <f t="array" aca="1" ref="M46"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46" s="437" t="str" cm="1">
        <f t="array" aca="1" ref="N46"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46" s="437" t="str" cm="1">
        <f t="array" aca="1" ref="O46"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46" s="437" t="str" cm="1">
        <f t="array" aca="1" ref="P46"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46" s="437" t="str" cm="1">
        <f t="array" aca="1" ref="Q46"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46" s="437" t="str" cm="1">
        <f t="array" aca="1" ref="R46"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46" s="108"/>
      <c r="T46" s="108"/>
    </row>
    <row r="47" spans="2:20" s="174" customFormat="1" ht="16.5" customHeight="1" collapsed="1">
      <c r="B47" s="111" t="s">
        <v>77</v>
      </c>
      <c r="C47" s="115" t="str">
        <f ca="1">$C$35</f>
        <v>Total reduktionsfaktor för styrning</v>
      </c>
      <c r="D47" s="116"/>
      <c r="E47" s="116"/>
      <c r="F47" s="116"/>
      <c r="G47" s="117"/>
      <c r="H47" s="117"/>
      <c r="I47" s="526">
        <f ca="1">IF(IF(I43=$I$233,I44,IF(I43=$I$234,I44*I45,IF(I43=$I$235,I44*I45*I46,1)))=0,"Fyll i 2.6-2.8",IF(I43=$I$233,I44,IF(I43=$I$234,I44*I45,IF(I43=$I$235,I44*I45*I46,1))))</f>
        <v>1</v>
      </c>
      <c r="J47" s="526">
        <f t="shared" ref="J47:K47" ca="1" si="3">IF(IF(J43=$I$233,J44,IF(J43=$I$234,J44*J45,IF(J43=$I$235,J44*J45*J46,1)))=0,"Fyll i 2.6-2.8",IF(J43=$I$233,J44,IF(J43=$I$234,J44*J45,IF(J43=$I$235,J44*J45*J46,1))))</f>
        <v>1</v>
      </c>
      <c r="K47" s="526">
        <f t="shared" ca="1" si="3"/>
        <v>1</v>
      </c>
      <c r="L47" s="526">
        <f t="shared" ref="L47:R47" ca="1" si="4">IF(IF(L43=$I$233,L44,IF(L43=$I$234,L44*L45,IF(L43=$I$235,L44*L45*L46,1)))=0,"Fyll i 2.6-2.8",IF(L43=$I$233,L44,IF(L43=$I$234,L44*L45,IF(L43=$I$235,L44*L45*L46,1))))</f>
        <v>1</v>
      </c>
      <c r="M47" s="526">
        <f t="shared" ca="1" si="4"/>
        <v>1</v>
      </c>
      <c r="N47" s="526">
        <f t="shared" ca="1" si="4"/>
        <v>1</v>
      </c>
      <c r="O47" s="526">
        <f t="shared" ca="1" si="4"/>
        <v>1</v>
      </c>
      <c r="P47" s="526">
        <f t="shared" ca="1" si="4"/>
        <v>1</v>
      </c>
      <c r="Q47" s="526">
        <f t="shared" ca="1" si="4"/>
        <v>1</v>
      </c>
      <c r="R47" s="526">
        <f t="shared" ca="1" si="4"/>
        <v>1</v>
      </c>
      <c r="S47" s="108"/>
      <c r="T47" s="108"/>
    </row>
    <row r="48" spans="2:20" s="174" customFormat="1" ht="16.5" customHeight="1">
      <c r="B48" s="111" t="s">
        <v>79</v>
      </c>
      <c r="C48" s="115" t="str">
        <f ca="1">$C$36</f>
        <v>Underhållskostnader</v>
      </c>
      <c r="D48" s="116"/>
      <c r="E48" s="116"/>
      <c r="F48" s="116"/>
      <c r="G48" s="117"/>
      <c r="H48" s="117" t="str">
        <f ca="1">$H$36</f>
        <v>kr/år</v>
      </c>
      <c r="I48" s="437"/>
      <c r="J48" s="437"/>
      <c r="K48" s="437"/>
      <c r="L48" s="437"/>
      <c r="M48" s="437"/>
      <c r="N48" s="437"/>
      <c r="O48" s="437"/>
      <c r="P48" s="437"/>
      <c r="Q48" s="437"/>
      <c r="R48" s="437"/>
      <c r="S48" s="108"/>
      <c r="T48" s="108"/>
    </row>
    <row r="49" spans="2:20" s="174" customFormat="1" ht="16.5" customHeight="1">
      <c r="B49" s="111"/>
      <c r="C49" s="465"/>
      <c r="D49" s="465"/>
      <c r="E49" s="465"/>
      <c r="F49" s="465"/>
      <c r="G49" s="465"/>
      <c r="H49" s="465"/>
      <c r="I49" s="471"/>
      <c r="J49" s="471"/>
      <c r="K49" s="471"/>
      <c r="L49" s="471"/>
      <c r="M49" s="471"/>
      <c r="N49" s="471"/>
      <c r="O49" s="471"/>
      <c r="P49" s="471"/>
      <c r="Q49" s="471"/>
      <c r="R49" s="471"/>
      <c r="S49" s="108"/>
      <c r="T49" s="108"/>
    </row>
    <row r="50" spans="2:20" s="174" customFormat="1" ht="16.5" customHeight="1">
      <c r="B50" s="111"/>
      <c r="C50" s="115" t="str">
        <f ca="1">$C$26</f>
        <v>Armaturbeteckning</v>
      </c>
      <c r="D50" s="118"/>
      <c r="E50" s="118"/>
      <c r="F50" s="118"/>
      <c r="G50" s="118"/>
      <c r="H50" s="118"/>
      <c r="I50" s="437"/>
      <c r="J50" s="437"/>
      <c r="K50" s="437"/>
      <c r="L50" s="437"/>
      <c r="M50" s="437"/>
      <c r="N50" s="437"/>
      <c r="O50" s="437"/>
      <c r="P50" s="437"/>
      <c r="Q50" s="437"/>
      <c r="R50" s="437"/>
      <c r="S50" s="108"/>
      <c r="T50" s="108"/>
    </row>
    <row r="51" spans="2:20" s="174" customFormat="1" ht="16.5" customHeight="1">
      <c r="B51" s="111" t="s">
        <v>58</v>
      </c>
      <c r="C51" s="115" t="str">
        <f ca="1">$C$27</f>
        <v>Antal armaturer</v>
      </c>
      <c r="D51" s="116"/>
      <c r="E51" s="116"/>
      <c r="F51" s="116"/>
      <c r="G51" s="117"/>
      <c r="H51" s="117" t="str">
        <f ca="1">$H$27</f>
        <v>stk</v>
      </c>
      <c r="I51" s="437"/>
      <c r="J51" s="437"/>
      <c r="K51" s="437"/>
      <c r="L51" s="437"/>
      <c r="M51" s="437"/>
      <c r="N51" s="437"/>
      <c r="O51" s="437"/>
      <c r="P51" s="437"/>
      <c r="Q51" s="437"/>
      <c r="R51" s="437"/>
      <c r="S51" s="108"/>
      <c r="T51" s="108"/>
    </row>
    <row r="52" spans="2:20" s="174" customFormat="1" ht="16.5" customHeight="1">
      <c r="B52" s="111" t="s">
        <v>60</v>
      </c>
      <c r="C52" s="115" t="str">
        <f ca="1">$C$28</f>
        <v>Armaturpris</v>
      </c>
      <c r="D52" s="116"/>
      <c r="E52" s="116"/>
      <c r="F52" s="116"/>
      <c r="G52" s="117"/>
      <c r="H52" s="117" t="str">
        <f ca="1">$H$28</f>
        <v>kr/stk</v>
      </c>
      <c r="I52" s="437"/>
      <c r="J52" s="437"/>
      <c r="K52" s="437"/>
      <c r="L52" s="437"/>
      <c r="M52" s="437"/>
      <c r="N52" s="437"/>
      <c r="O52" s="437"/>
      <c r="P52" s="437"/>
      <c r="Q52" s="437"/>
      <c r="R52" s="437"/>
      <c r="S52" s="108"/>
      <c r="T52" s="108"/>
    </row>
    <row r="53" spans="2:20" s="174" customFormat="1" ht="16.5" customHeight="1">
      <c r="B53" s="111" t="s">
        <v>63</v>
      </c>
      <c r="C53" s="115" t="str">
        <f ca="1">$C$29</f>
        <v>Material- och arbetskostnader armatur</v>
      </c>
      <c r="D53" s="116"/>
      <c r="E53" s="116"/>
      <c r="F53" s="116"/>
      <c r="G53" s="117"/>
      <c r="H53" s="117" t="str">
        <f ca="1">$H$29</f>
        <v>kr</v>
      </c>
      <c r="I53" s="437"/>
      <c r="J53" s="437"/>
      <c r="K53" s="437"/>
      <c r="L53" s="437"/>
      <c r="M53" s="437"/>
      <c r="N53" s="437"/>
      <c r="O53" s="437"/>
      <c r="P53" s="437"/>
      <c r="Q53" s="437"/>
      <c r="R53" s="437"/>
      <c r="S53" s="108"/>
      <c r="T53" s="108"/>
    </row>
    <row r="54" spans="2:20" s="174" customFormat="1" ht="16.5" customHeight="1">
      <c r="B54" s="111" t="s">
        <v>65</v>
      </c>
      <c r="C54" s="115" t="str">
        <f ca="1">$C$30</f>
        <v>Effekt per armatur, inkl. driftsförluster</v>
      </c>
      <c r="D54" s="116"/>
      <c r="E54" s="116"/>
      <c r="F54" s="116"/>
      <c r="G54" s="117"/>
      <c r="H54" s="117" t="str">
        <f ca="1">$H$30</f>
        <v>W/stk</v>
      </c>
      <c r="I54" s="437"/>
      <c r="J54" s="437"/>
      <c r="K54" s="437"/>
      <c r="L54" s="437"/>
      <c r="M54" s="437"/>
      <c r="N54" s="437"/>
      <c r="O54" s="437"/>
      <c r="P54" s="437"/>
      <c r="Q54" s="437"/>
      <c r="R54" s="437"/>
      <c r="S54" s="108"/>
      <c r="T54" s="108"/>
    </row>
    <row r="55" spans="2:20" s="174" customFormat="1" ht="30" customHeight="1">
      <c r="B55" s="111" t="s">
        <v>68</v>
      </c>
      <c r="C55" s="115" t="str">
        <f ca="1">$C$31</f>
        <v>Typ av styrning</v>
      </c>
      <c r="D55" s="116"/>
      <c r="E55" s="116"/>
      <c r="F55" s="116"/>
      <c r="G55" s="117"/>
      <c r="H55" s="117"/>
      <c r="I55" s="437"/>
      <c r="J55" s="437"/>
      <c r="K55" s="437"/>
      <c r="L55" s="437"/>
      <c r="M55" s="437"/>
      <c r="N55" s="437"/>
      <c r="O55" s="437"/>
      <c r="P55" s="437"/>
      <c r="Q55" s="437"/>
      <c r="R55" s="437"/>
      <c r="S55" s="108"/>
      <c r="T55" s="108"/>
    </row>
    <row r="56" spans="2:20" s="174" customFormat="1" ht="27" hidden="1" outlineLevel="1">
      <c r="B56" s="111" t="s">
        <v>71</v>
      </c>
      <c r="C56" s="115" t="str">
        <f t="shared" ref="C56:C58" ca="1" si="5">$C44</f>
        <v>Reduktionsfaktor manuell styrning</v>
      </c>
      <c r="D56" s="116"/>
      <c r="E56" s="116"/>
      <c r="F56" s="116"/>
      <c r="G56" s="117"/>
      <c r="H56" s="117"/>
      <c r="I56" s="437" t="str" cm="1">
        <f t="array" aca="1" ref="I56"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56" s="437" t="str" cm="1">
        <f t="array" aca="1" ref="J56"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56" s="437" t="str" cm="1">
        <f t="array" aca="1" ref="K56"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56" s="437" t="str" cm="1">
        <f t="array" aca="1" ref="L56"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56" s="437" t="str" cm="1">
        <f t="array" aca="1" ref="M56"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56" s="437" t="str" cm="1">
        <f t="array" aca="1" ref="N56"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56" s="437" t="str" cm="1">
        <f t="array" aca="1" ref="O56"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56" s="437" t="str" cm="1">
        <f t="array" aca="1" ref="P56"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56" s="437" t="str" cm="1">
        <f t="array" aca="1" ref="Q56"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56" s="437" t="str" cm="1">
        <f t="array" aca="1" ref="R56"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56" s="108"/>
      <c r="T56" s="108"/>
    </row>
    <row r="57" spans="2:20" s="174" customFormat="1" ht="27" hidden="1" outlineLevel="1">
      <c r="B57" s="111" t="s">
        <v>73</v>
      </c>
      <c r="C57" s="115" t="str">
        <f t="shared" ca="1" si="5"/>
        <v>Reduktionsfaktor närvaro-/frånvarostyrning</v>
      </c>
      <c r="D57" s="116"/>
      <c r="E57" s="116"/>
      <c r="F57" s="116"/>
      <c r="G57" s="117"/>
      <c r="H57" s="117"/>
      <c r="I57" s="437" t="str" cm="1">
        <f t="array" aca="1" ref="I57"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57" s="437" t="str" cm="1">
        <f t="array" aca="1" ref="J57"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57" s="437" t="str" cm="1">
        <f t="array" aca="1" ref="K57"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57" s="437" t="str" cm="1">
        <f t="array" aca="1" ref="L57"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57" s="437" t="str" cm="1">
        <f t="array" aca="1" ref="M57"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57" s="437" t="str" cm="1">
        <f t="array" aca="1" ref="N57"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57" s="437" t="str" cm="1">
        <f t="array" aca="1" ref="O57"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57" s="437" t="str" cm="1">
        <f t="array" aca="1" ref="P57"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57" s="437" t="str" cm="1">
        <f t="array" aca="1" ref="Q57"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57" s="437" t="str" cm="1">
        <f t="array" aca="1" ref="R57"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57" s="108"/>
      <c r="T57" s="108"/>
    </row>
    <row r="58" spans="2:20" s="174" customFormat="1" ht="27" hidden="1" outlineLevel="1">
      <c r="B58" s="111" t="s">
        <v>75</v>
      </c>
      <c r="C58" s="115" t="str">
        <f t="shared" ca="1" si="5"/>
        <v>Reduktionsfaktor dagsljusstyrning</v>
      </c>
      <c r="D58" s="116"/>
      <c r="E58" s="116"/>
      <c r="F58" s="116"/>
      <c r="G58" s="117"/>
      <c r="H58" s="117"/>
      <c r="I58" s="437" t="str" cm="1">
        <f t="array" aca="1" ref="I58"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58" s="437" t="str" cm="1">
        <f t="array" aca="1" ref="J58"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58" s="437" t="str" cm="1">
        <f t="array" aca="1" ref="K58"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58" s="437" t="str" cm="1">
        <f t="array" aca="1" ref="L58"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58" s="437" t="str" cm="1">
        <f t="array" aca="1" ref="M58"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58" s="437" t="str" cm="1">
        <f t="array" aca="1" ref="N58"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58" s="437" t="str" cm="1">
        <f t="array" aca="1" ref="O58"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58" s="437" t="str" cm="1">
        <f t="array" aca="1" ref="P58"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58" s="437" t="str" cm="1">
        <f t="array" aca="1" ref="Q58"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58" s="437" t="str" cm="1">
        <f t="array" aca="1" ref="R58"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58" s="108"/>
      <c r="T58" s="108"/>
    </row>
    <row r="59" spans="2:20" s="174" customFormat="1" ht="16.5" customHeight="1" collapsed="1">
      <c r="B59" s="111" t="s">
        <v>77</v>
      </c>
      <c r="C59" s="115" t="str">
        <f ca="1">$C$35</f>
        <v>Total reduktionsfaktor för styrning</v>
      </c>
      <c r="D59" s="116"/>
      <c r="E59" s="116"/>
      <c r="F59" s="116"/>
      <c r="G59" s="117"/>
      <c r="H59" s="117"/>
      <c r="I59" s="526">
        <f ca="1">IF(IF(I55=$I$233,I56,IF(I55=$I$234,I56*I57,IF(I55=$I$235,I56*I57*I58,1)))=0,"Fyll i 2.6-2.8",IF(I55=$I$233,I56,IF(I55=$I$234,I56*I57,IF(I55=$I$235,I56*I57*I58,1))))</f>
        <v>1</v>
      </c>
      <c r="J59" s="526">
        <f t="shared" ref="J59:K59" ca="1" si="6">IF(IF(J55=$I$233,J56,IF(J55=$I$234,J56*J57,IF(J55=$I$235,J56*J57*J58,1)))=0,"Fyll i 2.6-2.8",IF(J55=$I$233,J56,IF(J55=$I$234,J56*J57,IF(J55=$I$235,J56*J57*J58,1))))</f>
        <v>1</v>
      </c>
      <c r="K59" s="526">
        <f t="shared" ca="1" si="6"/>
        <v>1</v>
      </c>
      <c r="L59" s="526">
        <f t="shared" ref="L59" ca="1" si="7">IF(IF(L55=$I$233,L56,IF(L55=$I$234,L56*L57,IF(L55=$I$235,L56*L57*L58,1)))=0,"Fyll i 2.6-2.8",IF(L55=$I$233,L56,IF(L55=$I$234,L56*L57,IF(L55=$I$235,L56*L57*L58,1))))</f>
        <v>1</v>
      </c>
      <c r="M59" s="526">
        <f t="shared" ref="M59" ca="1" si="8">IF(IF(M55=$I$233,M56,IF(M55=$I$234,M56*M57,IF(M55=$I$235,M56*M57*M58,1)))=0,"Fyll i 2.6-2.8",IF(M55=$I$233,M56,IF(M55=$I$234,M56*M57,IF(M55=$I$235,M56*M57*M58,1))))</f>
        <v>1</v>
      </c>
      <c r="N59" s="526">
        <f t="shared" ref="N59" ca="1" si="9">IF(IF(N55=$I$233,N56,IF(N55=$I$234,N56*N57,IF(N55=$I$235,N56*N57*N58,1)))=0,"Fyll i 2.6-2.8",IF(N55=$I$233,N56,IF(N55=$I$234,N56*N57,IF(N55=$I$235,N56*N57*N58,1))))</f>
        <v>1</v>
      </c>
      <c r="O59" s="526">
        <f t="shared" ref="O59" ca="1" si="10">IF(IF(O55=$I$233,O56,IF(O55=$I$234,O56*O57,IF(O55=$I$235,O56*O57*O58,1)))=0,"Fyll i 2.6-2.8",IF(O55=$I$233,O56,IF(O55=$I$234,O56*O57,IF(O55=$I$235,O56*O57*O58,1))))</f>
        <v>1</v>
      </c>
      <c r="P59" s="526">
        <f t="shared" ref="P59" ca="1" si="11">IF(IF(P55=$I$233,P56,IF(P55=$I$234,P56*P57,IF(P55=$I$235,P56*P57*P58,1)))=0,"Fyll i 2.6-2.8",IF(P55=$I$233,P56,IF(P55=$I$234,P56*P57,IF(P55=$I$235,P56*P57*P58,1))))</f>
        <v>1</v>
      </c>
      <c r="Q59" s="526">
        <f t="shared" ref="Q59" ca="1" si="12">IF(IF(Q55=$I$233,Q56,IF(Q55=$I$234,Q56*Q57,IF(Q55=$I$235,Q56*Q57*Q58,1)))=0,"Fyll i 2.6-2.8",IF(Q55=$I$233,Q56,IF(Q55=$I$234,Q56*Q57,IF(Q55=$I$235,Q56*Q57*Q58,1))))</f>
        <v>1</v>
      </c>
      <c r="R59" s="526">
        <f t="shared" ref="R59" ca="1" si="13">IF(IF(R55=$I$233,R56,IF(R55=$I$234,R56*R57,IF(R55=$I$235,R56*R57*R58,1)))=0,"Fyll i 2.6-2.8",IF(R55=$I$233,R56,IF(R55=$I$234,R56*R57,IF(R55=$I$235,R56*R57*R58,1))))</f>
        <v>1</v>
      </c>
      <c r="S59" s="108"/>
      <c r="T59" s="108"/>
    </row>
    <row r="60" spans="2:20" s="174" customFormat="1" ht="16.5" customHeight="1">
      <c r="B60" s="111" t="s">
        <v>79</v>
      </c>
      <c r="C60" s="115" t="str">
        <f ca="1">$C$36</f>
        <v>Underhållskostnader</v>
      </c>
      <c r="D60" s="116"/>
      <c r="E60" s="116"/>
      <c r="F60" s="116"/>
      <c r="G60" s="117"/>
      <c r="H60" s="117" t="str">
        <f ca="1">$H$36</f>
        <v>kr/år</v>
      </c>
      <c r="I60" s="437"/>
      <c r="J60" s="437"/>
      <c r="K60" s="437"/>
      <c r="L60" s="437"/>
      <c r="M60" s="437"/>
      <c r="N60" s="437"/>
      <c r="O60" s="437"/>
      <c r="P60" s="437"/>
      <c r="Q60" s="437"/>
      <c r="R60" s="437"/>
      <c r="S60" s="108"/>
      <c r="T60" s="108"/>
    </row>
    <row r="61" spans="2:20" s="174" customFormat="1" ht="16.5" customHeight="1">
      <c r="B61" s="111"/>
      <c r="C61" s="465"/>
      <c r="D61" s="465"/>
      <c r="E61" s="465"/>
      <c r="F61" s="465"/>
      <c r="G61" s="465"/>
      <c r="H61" s="465"/>
      <c r="I61" s="471"/>
      <c r="J61" s="471"/>
      <c r="K61" s="471"/>
      <c r="L61" s="471"/>
      <c r="M61" s="471"/>
      <c r="N61" s="471"/>
      <c r="O61" s="471"/>
      <c r="P61" s="471"/>
      <c r="Q61" s="471"/>
      <c r="R61" s="471"/>
      <c r="S61" s="108"/>
      <c r="T61" s="108"/>
    </row>
    <row r="62" spans="2:20" s="174" customFormat="1" ht="16.5" customHeight="1">
      <c r="B62" s="111"/>
      <c r="C62" s="115" t="str">
        <f ca="1">$C$26</f>
        <v>Armaturbeteckning</v>
      </c>
      <c r="D62" s="118"/>
      <c r="E62" s="118"/>
      <c r="F62" s="118"/>
      <c r="G62" s="118"/>
      <c r="H62" s="118"/>
      <c r="I62" s="437"/>
      <c r="J62" s="437"/>
      <c r="K62" s="437"/>
      <c r="L62" s="437"/>
      <c r="M62" s="437"/>
      <c r="N62" s="437"/>
      <c r="O62" s="437"/>
      <c r="P62" s="437"/>
      <c r="Q62" s="437"/>
      <c r="R62" s="437"/>
      <c r="S62" s="108"/>
      <c r="T62" s="108"/>
    </row>
    <row r="63" spans="2:20" s="174" customFormat="1" ht="16.5" customHeight="1">
      <c r="B63" s="111" t="s">
        <v>58</v>
      </c>
      <c r="C63" s="115" t="str">
        <f ca="1">$C$27</f>
        <v>Antal armaturer</v>
      </c>
      <c r="D63" s="116"/>
      <c r="E63" s="116"/>
      <c r="F63" s="116"/>
      <c r="G63" s="117"/>
      <c r="H63" s="117" t="str">
        <f ca="1">$H$27</f>
        <v>stk</v>
      </c>
      <c r="I63" s="437"/>
      <c r="J63" s="437"/>
      <c r="K63" s="437"/>
      <c r="L63" s="437"/>
      <c r="M63" s="437"/>
      <c r="N63" s="437"/>
      <c r="O63" s="437"/>
      <c r="P63" s="437"/>
      <c r="Q63" s="437"/>
      <c r="R63" s="437"/>
      <c r="S63" s="108"/>
      <c r="T63" s="108"/>
    </row>
    <row r="64" spans="2:20" s="174" customFormat="1" ht="16.5" customHeight="1">
      <c r="B64" s="111" t="s">
        <v>60</v>
      </c>
      <c r="C64" s="115" t="str">
        <f ca="1">$C$28</f>
        <v>Armaturpris</v>
      </c>
      <c r="D64" s="116"/>
      <c r="E64" s="116"/>
      <c r="F64" s="116"/>
      <c r="G64" s="117"/>
      <c r="H64" s="117" t="str">
        <f ca="1">$H$28</f>
        <v>kr/stk</v>
      </c>
      <c r="I64" s="437"/>
      <c r="J64" s="437"/>
      <c r="K64" s="437"/>
      <c r="L64" s="437"/>
      <c r="M64" s="437"/>
      <c r="N64" s="437"/>
      <c r="O64" s="437"/>
      <c r="P64" s="437"/>
      <c r="Q64" s="437"/>
      <c r="R64" s="437"/>
      <c r="S64" s="108"/>
      <c r="T64" s="108"/>
    </row>
    <row r="65" spans="2:20" s="174" customFormat="1" ht="16.5" customHeight="1">
      <c r="B65" s="111" t="s">
        <v>63</v>
      </c>
      <c r="C65" s="115" t="str">
        <f ca="1">$C$29</f>
        <v>Material- och arbetskostnader armatur</v>
      </c>
      <c r="D65" s="116"/>
      <c r="E65" s="116"/>
      <c r="F65" s="116"/>
      <c r="G65" s="117"/>
      <c r="H65" s="117" t="str">
        <f ca="1">$H$29</f>
        <v>kr</v>
      </c>
      <c r="I65" s="437"/>
      <c r="J65" s="437"/>
      <c r="K65" s="437"/>
      <c r="L65" s="437"/>
      <c r="M65" s="437"/>
      <c r="N65" s="437"/>
      <c r="O65" s="437"/>
      <c r="P65" s="437"/>
      <c r="Q65" s="437"/>
      <c r="R65" s="437"/>
      <c r="S65" s="108"/>
      <c r="T65" s="108"/>
    </row>
    <row r="66" spans="2:20" s="174" customFormat="1" ht="16.5" customHeight="1">
      <c r="B66" s="111" t="s">
        <v>65</v>
      </c>
      <c r="C66" s="115" t="str">
        <f ca="1">$C$30</f>
        <v>Effekt per armatur, inkl. driftsförluster</v>
      </c>
      <c r="D66" s="116"/>
      <c r="E66" s="116"/>
      <c r="F66" s="116"/>
      <c r="G66" s="117"/>
      <c r="H66" s="117" t="str">
        <f ca="1">$H$30</f>
        <v>W/stk</v>
      </c>
      <c r="I66" s="437"/>
      <c r="J66" s="437"/>
      <c r="K66" s="437"/>
      <c r="L66" s="437"/>
      <c r="M66" s="437"/>
      <c r="N66" s="437"/>
      <c r="O66" s="437"/>
      <c r="P66" s="437"/>
      <c r="Q66" s="437"/>
      <c r="R66" s="437"/>
      <c r="S66" s="108"/>
      <c r="T66" s="108"/>
    </row>
    <row r="67" spans="2:20" s="174" customFormat="1" ht="30" customHeight="1">
      <c r="B67" s="111" t="s">
        <v>68</v>
      </c>
      <c r="C67" s="115" t="str">
        <f ca="1">$C$31</f>
        <v>Typ av styrning</v>
      </c>
      <c r="D67" s="116"/>
      <c r="E67" s="116"/>
      <c r="F67" s="116"/>
      <c r="G67" s="117"/>
      <c r="H67" s="117"/>
      <c r="I67" s="437"/>
      <c r="J67" s="437"/>
      <c r="K67" s="437"/>
      <c r="L67" s="437"/>
      <c r="M67" s="437"/>
      <c r="N67" s="437"/>
      <c r="O67" s="437"/>
      <c r="P67" s="437"/>
      <c r="Q67" s="437"/>
      <c r="R67" s="437"/>
      <c r="S67" s="108"/>
      <c r="T67" s="108"/>
    </row>
    <row r="68" spans="2:20" s="174" customFormat="1" ht="27" hidden="1" outlineLevel="1">
      <c r="B68" s="111" t="s">
        <v>71</v>
      </c>
      <c r="C68" s="115" t="str">
        <f t="shared" ref="C68:C70" ca="1" si="14">$C56</f>
        <v>Reduktionsfaktor manuell styrning</v>
      </c>
      <c r="D68" s="116"/>
      <c r="E68" s="116"/>
      <c r="F68" s="116"/>
      <c r="G68" s="117"/>
      <c r="H68" s="117"/>
      <c r="I68" s="437" t="str" cm="1">
        <f t="array" aca="1" ref="I68"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68" s="437" t="str" cm="1">
        <f t="array" aca="1" ref="J68"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68" s="437" t="str" cm="1">
        <f t="array" aca="1" ref="K68"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68" s="437" t="str" cm="1">
        <f t="array" aca="1" ref="L68"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68" s="437" t="str" cm="1">
        <f t="array" aca="1" ref="M68"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68" s="437" t="str" cm="1">
        <f t="array" aca="1" ref="N68"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68" s="437" t="str" cm="1">
        <f t="array" aca="1" ref="O68"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68" s="437" t="str" cm="1">
        <f t="array" aca="1" ref="P68"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68" s="437" t="str" cm="1">
        <f t="array" aca="1" ref="Q68"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68" s="437" t="str" cm="1">
        <f t="array" aca="1" ref="R68"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68" s="108"/>
      <c r="T68" s="108"/>
    </row>
    <row r="69" spans="2:20" s="174" customFormat="1" ht="27" hidden="1" outlineLevel="1">
      <c r="B69" s="111" t="s">
        <v>73</v>
      </c>
      <c r="C69" s="115" t="str">
        <f t="shared" ca="1" si="14"/>
        <v>Reduktionsfaktor närvaro-/frånvarostyrning</v>
      </c>
      <c r="D69" s="116"/>
      <c r="E69" s="116"/>
      <c r="F69" s="116"/>
      <c r="G69" s="117"/>
      <c r="H69" s="117"/>
      <c r="I69" s="437" t="str" cm="1">
        <f t="array" aca="1" ref="I69"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69" s="437" t="str" cm="1">
        <f t="array" aca="1" ref="J69"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69" s="437" t="str" cm="1">
        <f t="array" aca="1" ref="K69"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69" s="437" t="str" cm="1">
        <f t="array" aca="1" ref="L69"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69" s="437" t="str" cm="1">
        <f t="array" aca="1" ref="M69"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69" s="437" t="str" cm="1">
        <f t="array" aca="1" ref="N69"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69" s="437" t="str" cm="1">
        <f t="array" aca="1" ref="O69"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69" s="437" t="str" cm="1">
        <f t="array" aca="1" ref="P69"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69" s="437" t="str" cm="1">
        <f t="array" aca="1" ref="Q69"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69" s="437" t="str" cm="1">
        <f t="array" aca="1" ref="R69"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69" s="108"/>
      <c r="T69" s="108"/>
    </row>
    <row r="70" spans="2:20" s="174" customFormat="1" ht="27" hidden="1" outlineLevel="1">
      <c r="B70" s="111" t="s">
        <v>75</v>
      </c>
      <c r="C70" s="115" t="str">
        <f t="shared" ca="1" si="14"/>
        <v>Reduktionsfaktor dagsljusstyrning</v>
      </c>
      <c r="D70" s="116"/>
      <c r="E70" s="116"/>
      <c r="F70" s="116"/>
      <c r="G70" s="117"/>
      <c r="H70" s="117"/>
      <c r="I70" s="437" t="str" cm="1">
        <f t="array" aca="1" ref="I70"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70" s="437" t="str" cm="1">
        <f t="array" aca="1" ref="J70"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70" s="437" t="str" cm="1">
        <f t="array" aca="1" ref="K70"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70" s="437" t="str" cm="1">
        <f t="array" aca="1" ref="L70"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70" s="437" t="str" cm="1">
        <f t="array" aca="1" ref="M70"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70" s="437" t="str" cm="1">
        <f t="array" aca="1" ref="N70"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70" s="437" t="str" cm="1">
        <f t="array" aca="1" ref="O70"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70" s="437" t="str" cm="1">
        <f t="array" aca="1" ref="P70"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70" s="437" t="str" cm="1">
        <f t="array" aca="1" ref="Q70"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70" s="437" t="str" cm="1">
        <f t="array" aca="1" ref="R70"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70" s="108"/>
      <c r="T70" s="108"/>
    </row>
    <row r="71" spans="2:20" s="174" customFormat="1" ht="16.5" customHeight="1" collapsed="1">
      <c r="B71" s="111" t="s">
        <v>77</v>
      </c>
      <c r="C71" s="115" t="str">
        <f ca="1">$C$35</f>
        <v>Total reduktionsfaktor för styrning</v>
      </c>
      <c r="D71" s="116"/>
      <c r="E71" s="116"/>
      <c r="F71" s="116"/>
      <c r="G71" s="117"/>
      <c r="H71" s="117"/>
      <c r="I71" s="526">
        <f ca="1">IF(IF(I67=$I$233,I68,IF(I67=$I$234,I68*I69,IF(I67=$I$235,I68*I69*I70,1)))=0,"Fyll i 2.6-2.8",IF(I67=$I$233,I68,IF(I67=$I$234,I68*I69,IF(I67=$I$235,I68*I69*I70,1))))</f>
        <v>1</v>
      </c>
      <c r="J71" s="526">
        <f t="shared" ref="J71" ca="1" si="15">IF(IF(J67=$I$233,J68,IF(J67=$I$234,J68*J69,IF(J67=$I$235,J68*J69*J70,1)))=0,"Fyll i 2.6-2.8",IF(J67=$I$233,J68,IF(J67=$I$234,J68*J69,IF(J67=$I$235,J68*J69*J70,1))))</f>
        <v>1</v>
      </c>
      <c r="K71" s="526">
        <f t="shared" ref="K71" ca="1" si="16">IF(IF(K67=$I$233,K68,IF(K67=$I$234,K68*K69,IF(K67=$I$235,K68*K69*K70,1)))=0,"Fyll i 2.6-2.8",IF(K67=$I$233,K68,IF(K67=$I$234,K68*K69,IF(K67=$I$235,K68*K69*K70,1))))</f>
        <v>1</v>
      </c>
      <c r="L71" s="526">
        <f t="shared" ref="L71" ca="1" si="17">IF(IF(L67=$I$233,L68,IF(L67=$I$234,L68*L69,IF(L67=$I$235,L68*L69*L70,1)))=0,"Fyll i 2.6-2.8",IF(L67=$I$233,L68,IF(L67=$I$234,L68*L69,IF(L67=$I$235,L68*L69*L70,1))))</f>
        <v>1</v>
      </c>
      <c r="M71" s="526">
        <f t="shared" ref="M71" ca="1" si="18">IF(IF(M67=$I$233,M68,IF(M67=$I$234,M68*M69,IF(M67=$I$235,M68*M69*M70,1)))=0,"Fyll i 2.6-2.8",IF(M67=$I$233,M68,IF(M67=$I$234,M68*M69,IF(M67=$I$235,M68*M69*M70,1))))</f>
        <v>1</v>
      </c>
      <c r="N71" s="526">
        <f t="shared" ref="N71" ca="1" si="19">IF(IF(N67=$I$233,N68,IF(N67=$I$234,N68*N69,IF(N67=$I$235,N68*N69*N70,1)))=0,"Fyll i 2.6-2.8",IF(N67=$I$233,N68,IF(N67=$I$234,N68*N69,IF(N67=$I$235,N68*N69*N70,1))))</f>
        <v>1</v>
      </c>
      <c r="O71" s="526">
        <f t="shared" ref="O71" ca="1" si="20">IF(IF(O67=$I$233,O68,IF(O67=$I$234,O68*O69,IF(O67=$I$235,O68*O69*O70,1)))=0,"Fyll i 2.6-2.8",IF(O67=$I$233,O68,IF(O67=$I$234,O68*O69,IF(O67=$I$235,O68*O69*O70,1))))</f>
        <v>1</v>
      </c>
      <c r="P71" s="526">
        <f t="shared" ref="P71" ca="1" si="21">IF(IF(P67=$I$233,P68,IF(P67=$I$234,P68*P69,IF(P67=$I$235,P68*P69*P70,1)))=0,"Fyll i 2.6-2.8",IF(P67=$I$233,P68,IF(P67=$I$234,P68*P69,IF(P67=$I$235,P68*P69*P70,1))))</f>
        <v>1</v>
      </c>
      <c r="Q71" s="526">
        <f t="shared" ref="Q71" ca="1" si="22">IF(IF(Q67=$I$233,Q68,IF(Q67=$I$234,Q68*Q69,IF(Q67=$I$235,Q68*Q69*Q70,1)))=0,"Fyll i 2.6-2.8",IF(Q67=$I$233,Q68,IF(Q67=$I$234,Q68*Q69,IF(Q67=$I$235,Q68*Q69*Q70,1))))</f>
        <v>1</v>
      </c>
      <c r="R71" s="526">
        <f t="shared" ref="R71" ca="1" si="23">IF(IF(R67=$I$233,R68,IF(R67=$I$234,R68*R69,IF(R67=$I$235,R68*R69*R70,1)))=0,"Fyll i 2.6-2.8",IF(R67=$I$233,R68,IF(R67=$I$234,R68*R69,IF(R67=$I$235,R68*R69*R70,1))))</f>
        <v>1</v>
      </c>
      <c r="S71" s="108"/>
      <c r="T71" s="108"/>
    </row>
    <row r="72" spans="2:20" s="174" customFormat="1" ht="16.5" customHeight="1">
      <c r="B72" s="111" t="s">
        <v>79</v>
      </c>
      <c r="C72" s="115" t="str">
        <f ca="1">$C$36</f>
        <v>Underhållskostnader</v>
      </c>
      <c r="D72" s="116"/>
      <c r="E72" s="116"/>
      <c r="F72" s="116"/>
      <c r="G72" s="117"/>
      <c r="H72" s="117" t="str">
        <f ca="1">$H$36</f>
        <v>kr/år</v>
      </c>
      <c r="I72" s="437"/>
      <c r="J72" s="437"/>
      <c r="K72" s="437"/>
      <c r="L72" s="437"/>
      <c r="M72" s="437"/>
      <c r="N72" s="437"/>
      <c r="O72" s="437"/>
      <c r="P72" s="437"/>
      <c r="Q72" s="437"/>
      <c r="R72" s="437"/>
      <c r="S72" s="108"/>
      <c r="T72" s="108"/>
    </row>
    <row r="73" spans="2:20" s="174" customFormat="1" ht="16.5" customHeight="1">
      <c r="B73" s="111"/>
      <c r="C73" s="465"/>
      <c r="D73" s="465"/>
      <c r="E73" s="465"/>
      <c r="F73" s="465"/>
      <c r="G73" s="465"/>
      <c r="H73" s="465"/>
      <c r="I73" s="471"/>
      <c r="J73" s="471"/>
      <c r="K73" s="471"/>
      <c r="L73" s="471"/>
      <c r="M73" s="471"/>
      <c r="N73" s="471"/>
      <c r="O73" s="471"/>
      <c r="P73" s="471"/>
      <c r="Q73" s="471"/>
      <c r="R73" s="471"/>
      <c r="S73" s="108"/>
      <c r="T73" s="108"/>
    </row>
    <row r="74" spans="2:20" s="174" customFormat="1" ht="16.5" customHeight="1">
      <c r="B74" s="111"/>
      <c r="C74" s="115" t="str">
        <f ca="1">$C$26</f>
        <v>Armaturbeteckning</v>
      </c>
      <c r="D74" s="118"/>
      <c r="E74" s="118"/>
      <c r="F74" s="118"/>
      <c r="G74" s="118"/>
      <c r="H74" s="118"/>
      <c r="I74" s="437"/>
      <c r="J74" s="437"/>
      <c r="K74" s="437"/>
      <c r="L74" s="437"/>
      <c r="M74" s="437"/>
      <c r="N74" s="437"/>
      <c r="O74" s="437"/>
      <c r="P74" s="437"/>
      <c r="Q74" s="437"/>
      <c r="R74" s="437"/>
      <c r="S74" s="108"/>
      <c r="T74" s="108"/>
    </row>
    <row r="75" spans="2:20" s="174" customFormat="1" ht="16.5" customHeight="1">
      <c r="B75" s="111" t="s">
        <v>58</v>
      </c>
      <c r="C75" s="115" t="str">
        <f ca="1">$C$27</f>
        <v>Antal armaturer</v>
      </c>
      <c r="D75" s="116"/>
      <c r="E75" s="116"/>
      <c r="F75" s="116"/>
      <c r="G75" s="117"/>
      <c r="H75" s="117" t="str">
        <f ca="1">$H$27</f>
        <v>stk</v>
      </c>
      <c r="I75" s="437"/>
      <c r="J75" s="437"/>
      <c r="K75" s="437"/>
      <c r="L75" s="437"/>
      <c r="M75" s="437"/>
      <c r="N75" s="437"/>
      <c r="O75" s="437"/>
      <c r="P75" s="437"/>
      <c r="Q75" s="437"/>
      <c r="R75" s="437"/>
      <c r="S75" s="108"/>
      <c r="T75" s="108"/>
    </row>
    <row r="76" spans="2:20" s="174" customFormat="1" ht="16.5" customHeight="1">
      <c r="B76" s="111" t="s">
        <v>60</v>
      </c>
      <c r="C76" s="115" t="str">
        <f ca="1">$C$28</f>
        <v>Armaturpris</v>
      </c>
      <c r="D76" s="116"/>
      <c r="E76" s="116"/>
      <c r="F76" s="116"/>
      <c r="G76" s="117"/>
      <c r="H76" s="117" t="str">
        <f ca="1">$H$28</f>
        <v>kr/stk</v>
      </c>
      <c r="I76" s="437"/>
      <c r="J76" s="437"/>
      <c r="K76" s="437"/>
      <c r="L76" s="437"/>
      <c r="M76" s="437"/>
      <c r="N76" s="437"/>
      <c r="O76" s="437"/>
      <c r="P76" s="437"/>
      <c r="Q76" s="437"/>
      <c r="R76" s="437"/>
      <c r="S76" s="108"/>
      <c r="T76" s="108"/>
    </row>
    <row r="77" spans="2:20" s="174" customFormat="1" ht="16.5" customHeight="1">
      <c r="B77" s="111" t="s">
        <v>63</v>
      </c>
      <c r="C77" s="115" t="str">
        <f ca="1">$C$29</f>
        <v>Material- och arbetskostnader armatur</v>
      </c>
      <c r="D77" s="116"/>
      <c r="E77" s="116"/>
      <c r="F77" s="116"/>
      <c r="G77" s="117"/>
      <c r="H77" s="117" t="str">
        <f ca="1">$H$29</f>
        <v>kr</v>
      </c>
      <c r="I77" s="437"/>
      <c r="J77" s="437"/>
      <c r="K77" s="437"/>
      <c r="L77" s="437"/>
      <c r="M77" s="437"/>
      <c r="N77" s="437"/>
      <c r="O77" s="437"/>
      <c r="P77" s="437"/>
      <c r="Q77" s="437"/>
      <c r="R77" s="437"/>
      <c r="S77" s="108"/>
      <c r="T77" s="108"/>
    </row>
    <row r="78" spans="2:20" s="174" customFormat="1" ht="16.5" customHeight="1">
      <c r="B78" s="111" t="s">
        <v>65</v>
      </c>
      <c r="C78" s="115" t="str">
        <f ca="1">$C$30</f>
        <v>Effekt per armatur, inkl. driftsförluster</v>
      </c>
      <c r="D78" s="116"/>
      <c r="E78" s="116"/>
      <c r="F78" s="116"/>
      <c r="G78" s="117"/>
      <c r="H78" s="117" t="str">
        <f ca="1">$H$30</f>
        <v>W/stk</v>
      </c>
      <c r="I78" s="437"/>
      <c r="J78" s="437"/>
      <c r="K78" s="437"/>
      <c r="L78" s="437"/>
      <c r="M78" s="437"/>
      <c r="N78" s="437"/>
      <c r="O78" s="437"/>
      <c r="P78" s="437"/>
      <c r="Q78" s="437"/>
      <c r="R78" s="437"/>
      <c r="S78" s="108"/>
      <c r="T78" s="108"/>
    </row>
    <row r="79" spans="2:20" s="180" customFormat="1" ht="30" customHeight="1">
      <c r="B79" s="120" t="s">
        <v>68</v>
      </c>
      <c r="C79" s="115" t="str">
        <f ca="1">$C$31</f>
        <v>Typ av styrning</v>
      </c>
      <c r="D79" s="121"/>
      <c r="E79" s="121"/>
      <c r="F79" s="121"/>
      <c r="G79" s="122"/>
      <c r="H79" s="117"/>
      <c r="I79" s="437"/>
      <c r="J79" s="437"/>
      <c r="K79" s="437"/>
      <c r="L79" s="437"/>
      <c r="M79" s="437"/>
      <c r="N79" s="437"/>
      <c r="O79" s="437"/>
      <c r="P79" s="437"/>
      <c r="Q79" s="437"/>
      <c r="R79" s="437"/>
      <c r="S79" s="108"/>
      <c r="T79" s="108"/>
    </row>
    <row r="80" spans="2:20" s="174" customFormat="1" ht="27" hidden="1" outlineLevel="1">
      <c r="B80" s="111" t="s">
        <v>71</v>
      </c>
      <c r="C80" s="115" t="str">
        <f t="shared" ref="C80:C82" ca="1" si="24">$C68</f>
        <v>Reduktionsfaktor manuell styrning</v>
      </c>
      <c r="D80" s="116"/>
      <c r="E80" s="116"/>
      <c r="F80" s="116"/>
      <c r="G80" s="117"/>
      <c r="H80" s="117"/>
      <c r="I80" s="437" t="str" cm="1">
        <f t="array" aca="1" ref="I80"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80" s="437" t="str" cm="1">
        <f t="array" aca="1" ref="J80"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80" s="437" t="str" cm="1">
        <f t="array" aca="1" ref="K80"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80" s="437" t="str" cm="1">
        <f t="array" aca="1" ref="L80"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80" s="437" t="str" cm="1">
        <f t="array" aca="1" ref="M80"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80" s="437" t="str" cm="1">
        <f t="array" aca="1" ref="N80"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80" s="437" t="str" cm="1">
        <f t="array" aca="1" ref="O80"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80" s="437" t="str" cm="1">
        <f t="array" aca="1" ref="P80"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80" s="437" t="str" cm="1">
        <f t="array" aca="1" ref="Q80"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80" s="437" t="str" cm="1">
        <f t="array" aca="1" ref="R80"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80" s="108"/>
      <c r="T80" s="108"/>
    </row>
    <row r="81" spans="2:20" s="174" customFormat="1" ht="27" hidden="1" outlineLevel="1">
      <c r="B81" s="111" t="s">
        <v>73</v>
      </c>
      <c r="C81" s="115" t="str">
        <f t="shared" ca="1" si="24"/>
        <v>Reduktionsfaktor närvaro-/frånvarostyrning</v>
      </c>
      <c r="D81" s="116"/>
      <c r="E81" s="116"/>
      <c r="F81" s="116"/>
      <c r="G81" s="117"/>
      <c r="H81" s="117"/>
      <c r="I81" s="437" t="str" cm="1">
        <f t="array" aca="1" ref="I81"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81" s="437" t="str" cm="1">
        <f t="array" aca="1" ref="J81"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81" s="437" t="str" cm="1">
        <f t="array" aca="1" ref="K81"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81" s="437" t="str" cm="1">
        <f t="array" aca="1" ref="L81"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81" s="437" t="str" cm="1">
        <f t="array" aca="1" ref="M81"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81" s="437" t="str" cm="1">
        <f t="array" aca="1" ref="N81"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81" s="437" t="str" cm="1">
        <f t="array" aca="1" ref="O81"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81" s="437" t="str" cm="1">
        <f t="array" aca="1" ref="P81"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81" s="437" t="str" cm="1">
        <f t="array" aca="1" ref="Q81"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81" s="437" t="str" cm="1">
        <f t="array" aca="1" ref="R81"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81" s="108"/>
      <c r="T81" s="108"/>
    </row>
    <row r="82" spans="2:20" s="174" customFormat="1" ht="27" hidden="1" outlineLevel="1">
      <c r="B82" s="111" t="s">
        <v>75</v>
      </c>
      <c r="C82" s="115" t="str">
        <f t="shared" ca="1" si="24"/>
        <v>Reduktionsfaktor dagsljusstyrning</v>
      </c>
      <c r="D82" s="116"/>
      <c r="E82" s="116"/>
      <c r="F82" s="116"/>
      <c r="G82" s="117"/>
      <c r="H82" s="117"/>
      <c r="I82" s="437" t="str" cm="1">
        <f t="array" aca="1" ref="I82"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82" s="437" t="str" cm="1">
        <f t="array" aca="1" ref="J82"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82" s="437" t="str" cm="1">
        <f t="array" aca="1" ref="K82"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82" s="437" t="str" cm="1">
        <f t="array" aca="1" ref="L82"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82" s="437" t="str" cm="1">
        <f t="array" aca="1" ref="M82"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82" s="437" t="str" cm="1">
        <f t="array" aca="1" ref="N82"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82" s="437" t="str" cm="1">
        <f t="array" aca="1" ref="O82"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82" s="437" t="str" cm="1">
        <f t="array" aca="1" ref="P82"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82" s="437" t="str" cm="1">
        <f t="array" aca="1" ref="Q82"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82" s="437" t="str" cm="1">
        <f t="array" aca="1" ref="R82"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82" s="108"/>
      <c r="T82" s="108"/>
    </row>
    <row r="83" spans="2:20" s="174" customFormat="1" ht="16.5" customHeight="1" collapsed="1">
      <c r="B83" s="111" t="s">
        <v>77</v>
      </c>
      <c r="C83" s="115" t="str">
        <f ca="1">$C$35</f>
        <v>Total reduktionsfaktor för styrning</v>
      </c>
      <c r="D83" s="116"/>
      <c r="E83" s="116"/>
      <c r="F83" s="116"/>
      <c r="G83" s="117"/>
      <c r="H83" s="117"/>
      <c r="I83" s="526">
        <f ca="1">IF(IF(I79=$I$233,I80,IF(I79=$I$234,I80*I81,IF(I79=$I$235,I80*I81*I82,1)))=0,"Fyll i 2.6-2.8",IF(I79=$I$233,I80,IF(I79=$I$234,I80*I81,IF(I79=$I$235,I80*I81*I82,1))))</f>
        <v>1</v>
      </c>
      <c r="J83" s="526">
        <f t="shared" ref="J83" ca="1" si="25">IF(IF(J79=$I$233,J80,IF(J79=$I$234,J80*J81,IF(J79=$I$235,J80*J81*J82,1)))=0,"Fyll i 2.6-2.8",IF(J79=$I$233,J80,IF(J79=$I$234,J80*J81,IF(J79=$I$235,J80*J81*J82,1))))</f>
        <v>1</v>
      </c>
      <c r="K83" s="526">
        <f t="shared" ref="K83" ca="1" si="26">IF(IF(K79=$I$233,K80,IF(K79=$I$234,K80*K81,IF(K79=$I$235,K80*K81*K82,1)))=0,"Fyll i 2.6-2.8",IF(K79=$I$233,K80,IF(K79=$I$234,K80*K81,IF(K79=$I$235,K80*K81*K82,1))))</f>
        <v>1</v>
      </c>
      <c r="L83" s="526">
        <f t="shared" ref="L83" ca="1" si="27">IF(IF(L79=$I$233,L80,IF(L79=$I$234,L80*L81,IF(L79=$I$235,L80*L81*L82,1)))=0,"Fyll i 2.6-2.8",IF(L79=$I$233,L80,IF(L79=$I$234,L80*L81,IF(L79=$I$235,L80*L81*L82,1))))</f>
        <v>1</v>
      </c>
      <c r="M83" s="526">
        <f t="shared" ref="M83" ca="1" si="28">IF(IF(M79=$I$233,M80,IF(M79=$I$234,M80*M81,IF(M79=$I$235,M80*M81*M82,1)))=0,"Fyll i 2.6-2.8",IF(M79=$I$233,M80,IF(M79=$I$234,M80*M81,IF(M79=$I$235,M80*M81*M82,1))))</f>
        <v>1</v>
      </c>
      <c r="N83" s="526">
        <f t="shared" ref="N83" ca="1" si="29">IF(IF(N79=$I$233,N80,IF(N79=$I$234,N80*N81,IF(N79=$I$235,N80*N81*N82,1)))=0,"Fyll i 2.6-2.8",IF(N79=$I$233,N80,IF(N79=$I$234,N80*N81,IF(N79=$I$235,N80*N81*N82,1))))</f>
        <v>1</v>
      </c>
      <c r="O83" s="526">
        <f t="shared" ref="O83" ca="1" si="30">IF(IF(O79=$I$233,O80,IF(O79=$I$234,O80*O81,IF(O79=$I$235,O80*O81*O82,1)))=0,"Fyll i 2.6-2.8",IF(O79=$I$233,O80,IF(O79=$I$234,O80*O81,IF(O79=$I$235,O80*O81*O82,1))))</f>
        <v>1</v>
      </c>
      <c r="P83" s="526">
        <f t="shared" ref="P83" ca="1" si="31">IF(IF(P79=$I$233,P80,IF(P79=$I$234,P80*P81,IF(P79=$I$235,P80*P81*P82,1)))=0,"Fyll i 2.6-2.8",IF(P79=$I$233,P80,IF(P79=$I$234,P80*P81,IF(P79=$I$235,P80*P81*P82,1))))</f>
        <v>1</v>
      </c>
      <c r="Q83" s="526">
        <f t="shared" ref="Q83" ca="1" si="32">IF(IF(Q79=$I$233,Q80,IF(Q79=$I$234,Q80*Q81,IF(Q79=$I$235,Q80*Q81*Q82,1)))=0,"Fyll i 2.6-2.8",IF(Q79=$I$233,Q80,IF(Q79=$I$234,Q80*Q81,IF(Q79=$I$235,Q80*Q81*Q82,1))))</f>
        <v>1</v>
      </c>
      <c r="R83" s="526">
        <f t="shared" ref="R83" ca="1" si="33">IF(IF(R79=$I$233,R80,IF(R79=$I$234,R80*R81,IF(R79=$I$235,R80*R81*R82,1)))=0,"Fyll i 2.6-2.8",IF(R79=$I$233,R80,IF(R79=$I$234,R80*R81,IF(R79=$I$235,R80*R81*R82,1))))</f>
        <v>1</v>
      </c>
      <c r="S83" s="108"/>
      <c r="T83" s="108"/>
    </row>
    <row r="84" spans="2:20" s="174" customFormat="1" ht="16.5" customHeight="1">
      <c r="B84" s="111" t="s">
        <v>79</v>
      </c>
      <c r="C84" s="115" t="str">
        <f ca="1">$C$36</f>
        <v>Underhållskostnader</v>
      </c>
      <c r="D84" s="116"/>
      <c r="E84" s="116"/>
      <c r="F84" s="116"/>
      <c r="G84" s="117"/>
      <c r="H84" s="117" t="str">
        <f ca="1">$H$36</f>
        <v>kr/år</v>
      </c>
      <c r="I84" s="437"/>
      <c r="J84" s="437"/>
      <c r="K84" s="437"/>
      <c r="L84" s="437"/>
      <c r="M84" s="437"/>
      <c r="N84" s="437"/>
      <c r="O84" s="437"/>
      <c r="P84" s="437"/>
      <c r="Q84" s="437"/>
      <c r="R84" s="437"/>
      <c r="S84" s="108"/>
      <c r="T84" s="108"/>
    </row>
    <row r="85" spans="2:20" s="174" customFormat="1" ht="16.5" customHeight="1">
      <c r="B85" s="111"/>
      <c r="C85" s="465"/>
      <c r="D85" s="465"/>
      <c r="E85" s="465"/>
      <c r="F85" s="465"/>
      <c r="G85" s="465"/>
      <c r="H85" s="465"/>
      <c r="I85" s="471"/>
      <c r="J85" s="471"/>
      <c r="K85" s="471"/>
      <c r="L85" s="471"/>
      <c r="M85" s="471"/>
      <c r="N85" s="471"/>
      <c r="O85" s="471"/>
      <c r="P85" s="471"/>
      <c r="Q85" s="471"/>
      <c r="R85" s="471"/>
      <c r="S85" s="108"/>
      <c r="T85" s="108"/>
    </row>
    <row r="86" spans="2:20" s="174" customFormat="1" ht="16.5" customHeight="1">
      <c r="B86" s="111"/>
      <c r="C86" s="115" t="str">
        <f ca="1">$C$26</f>
        <v>Armaturbeteckning</v>
      </c>
      <c r="D86" s="118"/>
      <c r="E86" s="118"/>
      <c r="F86" s="118"/>
      <c r="G86" s="118"/>
      <c r="H86" s="118"/>
      <c r="I86" s="437"/>
      <c r="J86" s="437"/>
      <c r="K86" s="437"/>
      <c r="L86" s="437"/>
      <c r="M86" s="437"/>
      <c r="N86" s="437"/>
      <c r="O86" s="437"/>
      <c r="P86" s="437"/>
      <c r="Q86" s="437"/>
      <c r="R86" s="437"/>
      <c r="S86" s="108"/>
      <c r="T86" s="108"/>
    </row>
    <row r="87" spans="2:20" s="174" customFormat="1" ht="16.5" customHeight="1">
      <c r="B87" s="111" t="s">
        <v>58</v>
      </c>
      <c r="C87" s="115" t="str">
        <f ca="1">$C$27</f>
        <v>Antal armaturer</v>
      </c>
      <c r="D87" s="116"/>
      <c r="E87" s="116"/>
      <c r="F87" s="116"/>
      <c r="G87" s="117"/>
      <c r="H87" s="117" t="str">
        <f ca="1">$H$27</f>
        <v>stk</v>
      </c>
      <c r="I87" s="437"/>
      <c r="J87" s="437"/>
      <c r="K87" s="437"/>
      <c r="L87" s="437"/>
      <c r="M87" s="437"/>
      <c r="N87" s="437"/>
      <c r="O87" s="437"/>
      <c r="P87" s="437"/>
      <c r="Q87" s="437"/>
      <c r="R87" s="437"/>
      <c r="S87" s="108"/>
      <c r="T87" s="108"/>
    </row>
    <row r="88" spans="2:20" s="174" customFormat="1" ht="16.5" customHeight="1">
      <c r="B88" s="111" t="s">
        <v>60</v>
      </c>
      <c r="C88" s="115" t="str">
        <f ca="1">$C$28</f>
        <v>Armaturpris</v>
      </c>
      <c r="D88" s="116"/>
      <c r="E88" s="116"/>
      <c r="F88" s="116"/>
      <c r="G88" s="117"/>
      <c r="H88" s="117" t="str">
        <f ca="1">$H$28</f>
        <v>kr/stk</v>
      </c>
      <c r="I88" s="437"/>
      <c r="J88" s="437"/>
      <c r="K88" s="437"/>
      <c r="L88" s="437"/>
      <c r="M88" s="437"/>
      <c r="N88" s="437"/>
      <c r="O88" s="437"/>
      <c r="P88" s="437"/>
      <c r="Q88" s="437"/>
      <c r="R88" s="437"/>
      <c r="S88" s="108"/>
      <c r="T88" s="108"/>
    </row>
    <row r="89" spans="2:20" s="174" customFormat="1" ht="16.5" customHeight="1">
      <c r="B89" s="111" t="s">
        <v>63</v>
      </c>
      <c r="C89" s="115" t="str">
        <f ca="1">$C$29</f>
        <v>Material- och arbetskostnader armatur</v>
      </c>
      <c r="D89" s="116"/>
      <c r="E89" s="116"/>
      <c r="F89" s="116"/>
      <c r="G89" s="117"/>
      <c r="H89" s="117" t="str">
        <f ca="1">$H$29</f>
        <v>kr</v>
      </c>
      <c r="I89" s="437"/>
      <c r="J89" s="437"/>
      <c r="K89" s="437"/>
      <c r="L89" s="437"/>
      <c r="M89" s="437"/>
      <c r="N89" s="437"/>
      <c r="O89" s="437"/>
      <c r="P89" s="437"/>
      <c r="Q89" s="437"/>
      <c r="R89" s="437"/>
      <c r="S89" s="108"/>
      <c r="T89" s="108"/>
    </row>
    <row r="90" spans="2:20" s="174" customFormat="1" ht="16.5" customHeight="1">
      <c r="B90" s="111" t="s">
        <v>65</v>
      </c>
      <c r="C90" s="115" t="str">
        <f ca="1">$C$30</f>
        <v>Effekt per armatur, inkl. driftsförluster</v>
      </c>
      <c r="D90" s="116"/>
      <c r="E90" s="116"/>
      <c r="F90" s="116"/>
      <c r="G90" s="117"/>
      <c r="H90" s="117" t="str">
        <f ca="1">$H$30</f>
        <v>W/stk</v>
      </c>
      <c r="I90" s="437"/>
      <c r="J90" s="437"/>
      <c r="K90" s="437"/>
      <c r="L90" s="437"/>
      <c r="M90" s="437"/>
      <c r="N90" s="437"/>
      <c r="O90" s="437"/>
      <c r="P90" s="437"/>
      <c r="Q90" s="437"/>
      <c r="R90" s="437"/>
      <c r="S90" s="108"/>
      <c r="T90" s="108"/>
    </row>
    <row r="91" spans="2:20" s="180" customFormat="1" ht="30" customHeight="1">
      <c r="B91" s="120" t="s">
        <v>68</v>
      </c>
      <c r="C91" s="115" t="str">
        <f ca="1">$C$31</f>
        <v>Typ av styrning</v>
      </c>
      <c r="D91" s="121"/>
      <c r="E91" s="121"/>
      <c r="F91" s="121"/>
      <c r="G91" s="122"/>
      <c r="H91" s="117"/>
      <c r="I91" s="437"/>
      <c r="J91" s="437"/>
      <c r="K91" s="437"/>
      <c r="L91" s="437"/>
      <c r="M91" s="437"/>
      <c r="N91" s="437"/>
      <c r="O91" s="437"/>
      <c r="P91" s="437"/>
      <c r="Q91" s="437"/>
      <c r="R91" s="437"/>
      <c r="S91" s="108"/>
      <c r="T91" s="108"/>
    </row>
    <row r="92" spans="2:20" s="174" customFormat="1" ht="27" hidden="1" outlineLevel="1">
      <c r="B92" s="111" t="s">
        <v>71</v>
      </c>
      <c r="C92" s="115" t="str">
        <f t="shared" ref="C92:C94" ca="1" si="34">$C80</f>
        <v>Reduktionsfaktor manuell styrning</v>
      </c>
      <c r="D92" s="116"/>
      <c r="E92" s="116"/>
      <c r="F92" s="116"/>
      <c r="G92" s="117"/>
      <c r="H92" s="117"/>
      <c r="I92" s="437" t="str" cm="1">
        <f t="array" aca="1" ref="I92"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92" s="437" t="str" cm="1">
        <f t="array" aca="1" ref="J92"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92" s="437" t="str" cm="1">
        <f t="array" aca="1" ref="K92"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92" s="437" t="str" cm="1">
        <f t="array" aca="1" ref="L92"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92" s="437" t="str" cm="1">
        <f t="array" aca="1" ref="M92"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92" s="437" t="str" cm="1">
        <f t="array" aca="1" ref="N92"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92" s="437" t="str" cm="1">
        <f t="array" aca="1" ref="O92"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92" s="437" t="str" cm="1">
        <f t="array" aca="1" ref="P92"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92" s="437" t="str" cm="1">
        <f t="array" aca="1" ref="Q92"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92" s="437" t="str" cm="1">
        <f t="array" aca="1" ref="R92"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92" s="108"/>
      <c r="T92" s="108"/>
    </row>
    <row r="93" spans="2:20" s="174" customFormat="1" ht="27" hidden="1" outlineLevel="1">
      <c r="B93" s="111" t="s">
        <v>73</v>
      </c>
      <c r="C93" s="115" t="str">
        <f t="shared" ca="1" si="34"/>
        <v>Reduktionsfaktor närvaro-/frånvarostyrning</v>
      </c>
      <c r="D93" s="116"/>
      <c r="E93" s="116"/>
      <c r="F93" s="116"/>
      <c r="G93" s="117"/>
      <c r="H93" s="117"/>
      <c r="I93" s="437" t="str" cm="1">
        <f t="array" aca="1" ref="I93"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93" s="437" t="str" cm="1">
        <f t="array" aca="1" ref="J93"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93" s="437" t="str" cm="1">
        <f t="array" aca="1" ref="K93"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93" s="437" t="str" cm="1">
        <f t="array" aca="1" ref="L93"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93" s="437" t="str" cm="1">
        <f t="array" aca="1" ref="M93"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93" s="437" t="str" cm="1">
        <f t="array" aca="1" ref="N93"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93" s="437" t="str" cm="1">
        <f t="array" aca="1" ref="O93"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93" s="437" t="str" cm="1">
        <f t="array" aca="1" ref="P93"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93" s="437" t="str" cm="1">
        <f t="array" aca="1" ref="Q93"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93" s="437" t="str" cm="1">
        <f t="array" aca="1" ref="R93"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93" s="108"/>
      <c r="T93" s="108"/>
    </row>
    <row r="94" spans="2:20" s="174" customFormat="1" ht="27" hidden="1" outlineLevel="1">
      <c r="B94" s="111" t="s">
        <v>75</v>
      </c>
      <c r="C94" s="115" t="str">
        <f t="shared" ca="1" si="34"/>
        <v>Reduktionsfaktor dagsljusstyrning</v>
      </c>
      <c r="D94" s="116"/>
      <c r="E94" s="116"/>
      <c r="F94" s="116"/>
      <c r="G94" s="117"/>
      <c r="H94" s="117"/>
      <c r="I94" s="437" t="str" cm="1">
        <f t="array" aca="1" ref="I94"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94" s="437" t="str" cm="1">
        <f t="array" aca="1" ref="J94"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94" s="437" t="str" cm="1">
        <f t="array" aca="1" ref="K94"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94" s="437" t="str" cm="1">
        <f t="array" aca="1" ref="L94"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94" s="437" t="str" cm="1">
        <f t="array" aca="1" ref="M94"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94" s="437" t="str" cm="1">
        <f t="array" aca="1" ref="N94"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94" s="437" t="str" cm="1">
        <f t="array" aca="1" ref="O94"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94" s="437" t="str" cm="1">
        <f t="array" aca="1" ref="P94"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94" s="437" t="str" cm="1">
        <f t="array" aca="1" ref="Q94"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94" s="437" t="str" cm="1">
        <f t="array" aca="1" ref="R94"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94" s="108"/>
      <c r="T94" s="108"/>
    </row>
    <row r="95" spans="2:20" s="174" customFormat="1" ht="16.5" customHeight="1" collapsed="1">
      <c r="B95" s="111" t="s">
        <v>77</v>
      </c>
      <c r="C95" s="115" t="str">
        <f ca="1">$C$35</f>
        <v>Total reduktionsfaktor för styrning</v>
      </c>
      <c r="D95" s="116"/>
      <c r="E95" s="116"/>
      <c r="F95" s="116"/>
      <c r="G95" s="117"/>
      <c r="H95" s="117"/>
      <c r="I95" s="526">
        <f ca="1">IF(IF(I91=$I$233,I92,IF(I91=$I$234,I92*I93,IF(I91=$I$235,I92*I93*I94,1)))=0,"Fyll i 2.6-2.8",IF(I91=$I$233,I92,IF(I91=$I$234,I92*I93,IF(I91=$I$235,I92*I93*I94,1))))</f>
        <v>1</v>
      </c>
      <c r="J95" s="526">
        <f t="shared" ref="J95" ca="1" si="35">IF(IF(J91=$I$233,J92,IF(J91=$I$234,J92*J93,IF(J91=$I$235,J92*J93*J94,1)))=0,"Fyll i 2.6-2.8",IF(J91=$I$233,J92,IF(J91=$I$234,J92*J93,IF(J91=$I$235,J92*J93*J94,1))))</f>
        <v>1</v>
      </c>
      <c r="K95" s="526">
        <f t="shared" ref="K95" ca="1" si="36">IF(IF(K91=$I$233,K92,IF(K91=$I$234,K92*K93,IF(K91=$I$235,K92*K93*K94,1)))=0,"Fyll i 2.6-2.8",IF(K91=$I$233,K92,IF(K91=$I$234,K92*K93,IF(K91=$I$235,K92*K93*K94,1))))</f>
        <v>1</v>
      </c>
      <c r="L95" s="526">
        <f t="shared" ref="L95" ca="1" si="37">IF(IF(L91=$I$233,L92,IF(L91=$I$234,L92*L93,IF(L91=$I$235,L92*L93*L94,1)))=0,"Fyll i 2.6-2.8",IF(L91=$I$233,L92,IF(L91=$I$234,L92*L93,IF(L91=$I$235,L92*L93*L94,1))))</f>
        <v>1</v>
      </c>
      <c r="M95" s="526">
        <f t="shared" ref="M95" ca="1" si="38">IF(IF(M91=$I$233,M92,IF(M91=$I$234,M92*M93,IF(M91=$I$235,M92*M93*M94,1)))=0,"Fyll i 2.6-2.8",IF(M91=$I$233,M92,IF(M91=$I$234,M92*M93,IF(M91=$I$235,M92*M93*M94,1))))</f>
        <v>1</v>
      </c>
      <c r="N95" s="526">
        <f t="shared" ref="N95" ca="1" si="39">IF(IF(N91=$I$233,N92,IF(N91=$I$234,N92*N93,IF(N91=$I$235,N92*N93*N94,1)))=0,"Fyll i 2.6-2.8",IF(N91=$I$233,N92,IF(N91=$I$234,N92*N93,IF(N91=$I$235,N92*N93*N94,1))))</f>
        <v>1</v>
      </c>
      <c r="O95" s="526">
        <f t="shared" ref="O95" ca="1" si="40">IF(IF(O91=$I$233,O92,IF(O91=$I$234,O92*O93,IF(O91=$I$235,O92*O93*O94,1)))=0,"Fyll i 2.6-2.8",IF(O91=$I$233,O92,IF(O91=$I$234,O92*O93,IF(O91=$I$235,O92*O93*O94,1))))</f>
        <v>1</v>
      </c>
      <c r="P95" s="526">
        <f t="shared" ref="P95" ca="1" si="41">IF(IF(P91=$I$233,P92,IF(P91=$I$234,P92*P93,IF(P91=$I$235,P92*P93*P94,1)))=0,"Fyll i 2.6-2.8",IF(P91=$I$233,P92,IF(P91=$I$234,P92*P93,IF(P91=$I$235,P92*P93*P94,1))))</f>
        <v>1</v>
      </c>
      <c r="Q95" s="526">
        <f t="shared" ref="Q95" ca="1" si="42">IF(IF(Q91=$I$233,Q92,IF(Q91=$I$234,Q92*Q93,IF(Q91=$I$235,Q92*Q93*Q94,1)))=0,"Fyll i 2.6-2.8",IF(Q91=$I$233,Q92,IF(Q91=$I$234,Q92*Q93,IF(Q91=$I$235,Q92*Q93*Q94,1))))</f>
        <v>1</v>
      </c>
      <c r="R95" s="526">
        <f t="shared" ref="R95" ca="1" si="43">IF(IF(R91=$I$233,R92,IF(R91=$I$234,R92*R93,IF(R91=$I$235,R92*R93*R94,1)))=0,"Fyll i 2.6-2.8",IF(R91=$I$233,R92,IF(R91=$I$234,R92*R93,IF(R91=$I$235,R92*R93*R94,1))))</f>
        <v>1</v>
      </c>
      <c r="S95" s="108"/>
      <c r="T95" s="108"/>
    </row>
    <row r="96" spans="2:20" s="174" customFormat="1" ht="16.5" customHeight="1">
      <c r="B96" s="111" t="s">
        <v>79</v>
      </c>
      <c r="C96" s="115" t="str">
        <f ca="1">$C$36</f>
        <v>Underhållskostnader</v>
      </c>
      <c r="D96" s="116"/>
      <c r="E96" s="116"/>
      <c r="F96" s="116"/>
      <c r="G96" s="117"/>
      <c r="H96" s="117" t="str">
        <f ca="1">$H$36</f>
        <v>kr/år</v>
      </c>
      <c r="I96" s="437"/>
      <c r="J96" s="437"/>
      <c r="K96" s="437"/>
      <c r="L96" s="437"/>
      <c r="M96" s="437"/>
      <c r="N96" s="437"/>
      <c r="O96" s="437"/>
      <c r="P96" s="437"/>
      <c r="Q96" s="437"/>
      <c r="R96" s="437"/>
      <c r="S96" s="108"/>
      <c r="T96" s="108"/>
    </row>
    <row r="97" spans="2:20" s="174" customFormat="1" ht="16.5" customHeight="1">
      <c r="B97" s="111"/>
      <c r="C97" s="465"/>
      <c r="D97" s="465"/>
      <c r="E97" s="465"/>
      <c r="F97" s="465"/>
      <c r="G97" s="465"/>
      <c r="H97" s="465"/>
      <c r="I97" s="471"/>
      <c r="J97" s="471"/>
      <c r="K97" s="471"/>
      <c r="L97" s="471"/>
      <c r="M97" s="471"/>
      <c r="N97" s="471"/>
      <c r="O97" s="471"/>
      <c r="P97" s="471"/>
      <c r="Q97" s="471"/>
      <c r="R97" s="471"/>
      <c r="S97" s="108"/>
      <c r="T97" s="108"/>
    </row>
    <row r="98" spans="2:20" s="174" customFormat="1" ht="16.5" customHeight="1">
      <c r="B98" s="111"/>
      <c r="C98" s="115" t="str">
        <f ca="1">$C$26</f>
        <v>Armaturbeteckning</v>
      </c>
      <c r="D98" s="118"/>
      <c r="E98" s="118"/>
      <c r="F98" s="118"/>
      <c r="G98" s="118"/>
      <c r="H98" s="118"/>
      <c r="I98" s="437"/>
      <c r="J98" s="437"/>
      <c r="K98" s="437"/>
      <c r="L98" s="437"/>
      <c r="M98" s="437"/>
      <c r="N98" s="437"/>
      <c r="O98" s="437"/>
      <c r="P98" s="437"/>
      <c r="Q98" s="437"/>
      <c r="R98" s="437"/>
      <c r="S98" s="108"/>
      <c r="T98" s="108"/>
    </row>
    <row r="99" spans="2:20" s="174" customFormat="1" ht="16.5" customHeight="1">
      <c r="B99" s="111" t="s">
        <v>58</v>
      </c>
      <c r="C99" s="115" t="str">
        <f ca="1">$C$27</f>
        <v>Antal armaturer</v>
      </c>
      <c r="D99" s="116"/>
      <c r="E99" s="116"/>
      <c r="F99" s="116"/>
      <c r="G99" s="117"/>
      <c r="H99" s="117" t="str">
        <f ca="1">$H$27</f>
        <v>stk</v>
      </c>
      <c r="I99" s="437"/>
      <c r="J99" s="437"/>
      <c r="K99" s="437"/>
      <c r="L99" s="437"/>
      <c r="M99" s="437"/>
      <c r="N99" s="437"/>
      <c r="O99" s="437"/>
      <c r="P99" s="437"/>
      <c r="Q99" s="437"/>
      <c r="R99" s="437"/>
      <c r="S99" s="108"/>
      <c r="T99" s="108"/>
    </row>
    <row r="100" spans="2:20" s="174" customFormat="1" ht="16.5" customHeight="1">
      <c r="B100" s="111" t="s">
        <v>60</v>
      </c>
      <c r="C100" s="115" t="str">
        <f ca="1">$C$28</f>
        <v>Armaturpris</v>
      </c>
      <c r="D100" s="116"/>
      <c r="E100" s="116"/>
      <c r="F100" s="116"/>
      <c r="G100" s="117"/>
      <c r="H100" s="117" t="str">
        <f ca="1">$H$28</f>
        <v>kr/stk</v>
      </c>
      <c r="I100" s="437"/>
      <c r="J100" s="437"/>
      <c r="K100" s="437"/>
      <c r="L100" s="437"/>
      <c r="M100" s="437"/>
      <c r="N100" s="437"/>
      <c r="O100" s="437"/>
      <c r="P100" s="437"/>
      <c r="Q100" s="437"/>
      <c r="R100" s="437"/>
      <c r="S100" s="108"/>
      <c r="T100" s="108"/>
    </row>
    <row r="101" spans="2:20" s="174" customFormat="1" ht="16.5" customHeight="1">
      <c r="B101" s="111" t="s">
        <v>63</v>
      </c>
      <c r="C101" s="115" t="str">
        <f ca="1">$C$29</f>
        <v>Material- och arbetskostnader armatur</v>
      </c>
      <c r="D101" s="116"/>
      <c r="E101" s="116"/>
      <c r="F101" s="116"/>
      <c r="G101" s="117"/>
      <c r="H101" s="117" t="str">
        <f ca="1">$H$29</f>
        <v>kr</v>
      </c>
      <c r="I101" s="437"/>
      <c r="J101" s="437"/>
      <c r="K101" s="437"/>
      <c r="L101" s="437"/>
      <c r="M101" s="437"/>
      <c r="N101" s="437"/>
      <c r="O101" s="437"/>
      <c r="P101" s="437"/>
      <c r="Q101" s="437"/>
      <c r="R101" s="437"/>
      <c r="S101" s="108"/>
      <c r="T101" s="108"/>
    </row>
    <row r="102" spans="2:20" s="174" customFormat="1" ht="16.5" customHeight="1">
      <c r="B102" s="111" t="s">
        <v>65</v>
      </c>
      <c r="C102" s="115" t="str">
        <f ca="1">$C$30</f>
        <v>Effekt per armatur, inkl. driftsförluster</v>
      </c>
      <c r="D102" s="116"/>
      <c r="E102" s="116"/>
      <c r="F102" s="116"/>
      <c r="G102" s="117"/>
      <c r="H102" s="117" t="str">
        <f ca="1">$H$30</f>
        <v>W/stk</v>
      </c>
      <c r="I102" s="437"/>
      <c r="J102" s="437"/>
      <c r="K102" s="437"/>
      <c r="L102" s="437"/>
      <c r="M102" s="437"/>
      <c r="N102" s="437"/>
      <c r="O102" s="437"/>
      <c r="P102" s="437"/>
      <c r="Q102" s="437"/>
      <c r="R102" s="437"/>
      <c r="S102" s="108"/>
      <c r="T102" s="108"/>
    </row>
    <row r="103" spans="2:20" s="180" customFormat="1" ht="30" customHeight="1">
      <c r="B103" s="120" t="s">
        <v>68</v>
      </c>
      <c r="C103" s="115" t="str">
        <f ca="1">$C$31</f>
        <v>Typ av styrning</v>
      </c>
      <c r="D103" s="121"/>
      <c r="E103" s="121"/>
      <c r="F103" s="121"/>
      <c r="G103" s="122"/>
      <c r="H103" s="117"/>
      <c r="I103" s="437"/>
      <c r="J103" s="437"/>
      <c r="K103" s="437"/>
      <c r="L103" s="437"/>
      <c r="M103" s="437"/>
      <c r="N103" s="437"/>
      <c r="O103" s="437"/>
      <c r="P103" s="437"/>
      <c r="Q103" s="437"/>
      <c r="R103" s="437"/>
      <c r="S103" s="108"/>
      <c r="T103" s="108"/>
    </row>
    <row r="104" spans="2:20" s="174" customFormat="1" ht="27" hidden="1" outlineLevel="1">
      <c r="B104" s="111" t="s">
        <v>71</v>
      </c>
      <c r="C104" s="115" t="str">
        <f t="shared" ref="C104:C106" ca="1" si="44">$C92</f>
        <v>Reduktionsfaktor manuell styrning</v>
      </c>
      <c r="D104" s="116"/>
      <c r="E104" s="116"/>
      <c r="F104" s="116"/>
      <c r="G104" s="117"/>
      <c r="H104" s="117"/>
      <c r="I104" s="437" t="str" cm="1">
        <f t="array" aca="1" ref="I104"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104" s="437" t="str" cm="1">
        <f t="array" aca="1" ref="J104"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104" s="437" t="str" cm="1">
        <f t="array" aca="1" ref="K104"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104" s="437" t="str" cm="1">
        <f t="array" aca="1" ref="L104"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104" s="437" t="str" cm="1">
        <f t="array" aca="1" ref="M104"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104" s="437" t="str" cm="1">
        <f t="array" aca="1" ref="N104"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104" s="437" t="str" cm="1">
        <f t="array" aca="1" ref="O104"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104" s="437" t="str" cm="1">
        <f t="array" aca="1" ref="P104"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104" s="437" t="str" cm="1">
        <f t="array" aca="1" ref="Q104"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104" s="437" t="str" cm="1">
        <f t="array" aca="1" ref="R104"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104" s="108"/>
      <c r="T104" s="108"/>
    </row>
    <row r="105" spans="2:20" s="174" customFormat="1" ht="27" hidden="1" outlineLevel="1">
      <c r="B105" s="111" t="s">
        <v>73</v>
      </c>
      <c r="C105" s="115" t="str">
        <f t="shared" ca="1" si="44"/>
        <v>Reduktionsfaktor närvaro-/frånvarostyrning</v>
      </c>
      <c r="D105" s="116"/>
      <c r="E105" s="116"/>
      <c r="F105" s="116"/>
      <c r="G105" s="117"/>
      <c r="H105" s="117"/>
      <c r="I105" s="437" t="str" cm="1">
        <f t="array" aca="1" ref="I105"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105" s="437" t="str" cm="1">
        <f t="array" aca="1" ref="J105"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105" s="437" t="str" cm="1">
        <f t="array" aca="1" ref="K105"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105" s="437" t="str" cm="1">
        <f t="array" aca="1" ref="L105"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105" s="437" t="str" cm="1">
        <f t="array" aca="1" ref="M105"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105" s="437" t="str" cm="1">
        <f t="array" aca="1" ref="N105"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105" s="437" t="str" cm="1">
        <f t="array" aca="1" ref="O105"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105" s="437" t="str" cm="1">
        <f t="array" aca="1" ref="P105"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105" s="437" t="str" cm="1">
        <f t="array" aca="1" ref="Q105"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105" s="437" t="str" cm="1">
        <f t="array" aca="1" ref="R105"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105" s="108"/>
      <c r="T105" s="108"/>
    </row>
    <row r="106" spans="2:20" s="174" customFormat="1" ht="27" hidden="1" outlineLevel="1">
      <c r="B106" s="111" t="s">
        <v>75</v>
      </c>
      <c r="C106" s="115" t="str">
        <f t="shared" ca="1" si="44"/>
        <v>Reduktionsfaktor dagsljusstyrning</v>
      </c>
      <c r="D106" s="116"/>
      <c r="E106" s="116"/>
      <c r="F106" s="116"/>
      <c r="G106" s="117"/>
      <c r="H106" s="117"/>
      <c r="I106" s="437" t="str" cm="1">
        <f t="array" aca="1" ref="I106"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106" s="437" t="str" cm="1">
        <f t="array" aca="1" ref="J106"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106" s="437" t="str" cm="1">
        <f t="array" aca="1" ref="K106"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106" s="437" t="str" cm="1">
        <f t="array" aca="1" ref="L106"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106" s="437" t="str" cm="1">
        <f t="array" aca="1" ref="M106"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106" s="437" t="str" cm="1">
        <f t="array" aca="1" ref="N106"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106" s="437" t="str" cm="1">
        <f t="array" aca="1" ref="O106"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106" s="437" t="str" cm="1">
        <f t="array" aca="1" ref="P106"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106" s="437" t="str" cm="1">
        <f t="array" aca="1" ref="Q106"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106" s="437" t="str" cm="1">
        <f t="array" aca="1" ref="R106"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106" s="108"/>
      <c r="T106" s="108"/>
    </row>
    <row r="107" spans="2:20" s="174" customFormat="1" ht="16.5" customHeight="1" collapsed="1">
      <c r="B107" s="111" t="s">
        <v>77</v>
      </c>
      <c r="C107" s="115" t="str">
        <f ca="1">$C$35</f>
        <v>Total reduktionsfaktor för styrning</v>
      </c>
      <c r="D107" s="116"/>
      <c r="E107" s="116"/>
      <c r="F107" s="116"/>
      <c r="G107" s="117"/>
      <c r="H107" s="117"/>
      <c r="I107" s="526">
        <f ca="1">IF(IF(I103=$I$233,I104,IF(I103=$I$234,I104*I105,IF(I103=$I$235,I104*I105*I106,1)))=0,"Fyll i 2.6-2.8",IF(I103=$I$233,I104,IF(I103=$I$234,I104*I105,IF(I103=$I$235,I104*I105*I106,1))))</f>
        <v>1</v>
      </c>
      <c r="J107" s="526">
        <f t="shared" ref="J107" ca="1" si="45">IF(IF(J103=$I$233,J104,IF(J103=$I$234,J104*J105,IF(J103=$I$235,J104*J105*J106,1)))=0,"Fyll i 2.6-2.8",IF(J103=$I$233,J104,IF(J103=$I$234,J104*J105,IF(J103=$I$235,J104*J105*J106,1))))</f>
        <v>1</v>
      </c>
      <c r="K107" s="526">
        <f t="shared" ref="K107" ca="1" si="46">IF(IF(K103=$I$233,K104,IF(K103=$I$234,K104*K105,IF(K103=$I$235,K104*K105*K106,1)))=0,"Fyll i 2.6-2.8",IF(K103=$I$233,K104,IF(K103=$I$234,K104*K105,IF(K103=$I$235,K104*K105*K106,1))))</f>
        <v>1</v>
      </c>
      <c r="L107" s="526">
        <f t="shared" ref="L107" ca="1" si="47">IF(IF(L103=$I$233,L104,IF(L103=$I$234,L104*L105,IF(L103=$I$235,L104*L105*L106,1)))=0,"Fyll i 2.6-2.8",IF(L103=$I$233,L104,IF(L103=$I$234,L104*L105,IF(L103=$I$235,L104*L105*L106,1))))</f>
        <v>1</v>
      </c>
      <c r="M107" s="526">
        <f t="shared" ref="M107" ca="1" si="48">IF(IF(M103=$I$233,M104,IF(M103=$I$234,M104*M105,IF(M103=$I$235,M104*M105*M106,1)))=0,"Fyll i 2.6-2.8",IF(M103=$I$233,M104,IF(M103=$I$234,M104*M105,IF(M103=$I$235,M104*M105*M106,1))))</f>
        <v>1</v>
      </c>
      <c r="N107" s="526">
        <f t="shared" ref="N107" ca="1" si="49">IF(IF(N103=$I$233,N104,IF(N103=$I$234,N104*N105,IF(N103=$I$235,N104*N105*N106,1)))=0,"Fyll i 2.6-2.8",IF(N103=$I$233,N104,IF(N103=$I$234,N104*N105,IF(N103=$I$235,N104*N105*N106,1))))</f>
        <v>1</v>
      </c>
      <c r="O107" s="526">
        <f t="shared" ref="O107" ca="1" si="50">IF(IF(O103=$I$233,O104,IF(O103=$I$234,O104*O105,IF(O103=$I$235,O104*O105*O106,1)))=0,"Fyll i 2.6-2.8",IF(O103=$I$233,O104,IF(O103=$I$234,O104*O105,IF(O103=$I$235,O104*O105*O106,1))))</f>
        <v>1</v>
      </c>
      <c r="P107" s="526">
        <f t="shared" ref="P107" ca="1" si="51">IF(IF(P103=$I$233,P104,IF(P103=$I$234,P104*P105,IF(P103=$I$235,P104*P105*P106,1)))=0,"Fyll i 2.6-2.8",IF(P103=$I$233,P104,IF(P103=$I$234,P104*P105,IF(P103=$I$235,P104*P105*P106,1))))</f>
        <v>1</v>
      </c>
      <c r="Q107" s="526">
        <f t="shared" ref="Q107" ca="1" si="52">IF(IF(Q103=$I$233,Q104,IF(Q103=$I$234,Q104*Q105,IF(Q103=$I$235,Q104*Q105*Q106,1)))=0,"Fyll i 2.6-2.8",IF(Q103=$I$233,Q104,IF(Q103=$I$234,Q104*Q105,IF(Q103=$I$235,Q104*Q105*Q106,1))))</f>
        <v>1</v>
      </c>
      <c r="R107" s="526">
        <f t="shared" ref="R107" ca="1" si="53">IF(IF(R103=$I$233,R104,IF(R103=$I$234,R104*R105,IF(R103=$I$235,R104*R105*R106,1)))=0,"Fyll i 2.6-2.8",IF(R103=$I$233,R104,IF(R103=$I$234,R104*R105,IF(R103=$I$235,R104*R105*R106,1))))</f>
        <v>1</v>
      </c>
      <c r="S107" s="108"/>
      <c r="T107" s="108"/>
    </row>
    <row r="108" spans="2:20" s="174" customFormat="1" ht="16.5" customHeight="1">
      <c r="B108" s="111" t="s">
        <v>79</v>
      </c>
      <c r="C108" s="115" t="str">
        <f ca="1">$C$36</f>
        <v>Underhållskostnader</v>
      </c>
      <c r="D108" s="116"/>
      <c r="E108" s="116"/>
      <c r="F108" s="116"/>
      <c r="G108" s="117"/>
      <c r="H108" s="117" t="str">
        <f ca="1">$H$36</f>
        <v>kr/år</v>
      </c>
      <c r="I108" s="437"/>
      <c r="J108" s="437"/>
      <c r="K108" s="437"/>
      <c r="L108" s="437"/>
      <c r="M108" s="437"/>
      <c r="N108" s="437"/>
      <c r="O108" s="437"/>
      <c r="P108" s="437"/>
      <c r="Q108" s="437"/>
      <c r="R108" s="437"/>
      <c r="S108" s="108"/>
      <c r="T108" s="108"/>
    </row>
    <row r="109" spans="2:20" s="174" customFormat="1" ht="16.5" customHeight="1">
      <c r="B109" s="111"/>
      <c r="C109" s="465"/>
      <c r="D109" s="465"/>
      <c r="E109" s="465"/>
      <c r="F109" s="465"/>
      <c r="G109" s="465"/>
      <c r="H109" s="465"/>
      <c r="I109" s="471"/>
      <c r="J109" s="471"/>
      <c r="K109" s="471"/>
      <c r="L109" s="471"/>
      <c r="M109" s="471"/>
      <c r="N109" s="471"/>
      <c r="O109" s="471"/>
      <c r="P109" s="471"/>
      <c r="Q109" s="471"/>
      <c r="R109" s="471"/>
      <c r="S109" s="108"/>
      <c r="T109" s="108"/>
    </row>
    <row r="110" spans="2:20" s="174" customFormat="1" ht="16.5" customHeight="1">
      <c r="B110" s="111"/>
      <c r="C110" s="115" t="str">
        <f ca="1">$C$26</f>
        <v>Armaturbeteckning</v>
      </c>
      <c r="D110" s="118"/>
      <c r="E110" s="118"/>
      <c r="F110" s="118"/>
      <c r="G110" s="118"/>
      <c r="H110" s="118"/>
      <c r="I110" s="437"/>
      <c r="J110" s="437"/>
      <c r="K110" s="437"/>
      <c r="L110" s="437"/>
      <c r="M110" s="437"/>
      <c r="N110" s="437"/>
      <c r="O110" s="437"/>
      <c r="P110" s="437"/>
      <c r="Q110" s="437"/>
      <c r="R110" s="437"/>
      <c r="S110" s="108"/>
      <c r="T110" s="108"/>
    </row>
    <row r="111" spans="2:20" s="174" customFormat="1" ht="16.5" customHeight="1">
      <c r="B111" s="111" t="s">
        <v>58</v>
      </c>
      <c r="C111" s="115" t="str">
        <f ca="1">$C$27</f>
        <v>Antal armaturer</v>
      </c>
      <c r="D111" s="116"/>
      <c r="E111" s="116"/>
      <c r="F111" s="116"/>
      <c r="G111" s="117"/>
      <c r="H111" s="117" t="str">
        <f ca="1">$H$27</f>
        <v>stk</v>
      </c>
      <c r="I111" s="437"/>
      <c r="J111" s="437"/>
      <c r="K111" s="437"/>
      <c r="L111" s="437"/>
      <c r="M111" s="437"/>
      <c r="N111" s="437"/>
      <c r="O111" s="437"/>
      <c r="P111" s="437"/>
      <c r="Q111" s="437"/>
      <c r="R111" s="437"/>
      <c r="S111" s="108"/>
      <c r="T111" s="108"/>
    </row>
    <row r="112" spans="2:20" s="174" customFormat="1" ht="16.5" customHeight="1">
      <c r="B112" s="111" t="s">
        <v>60</v>
      </c>
      <c r="C112" s="115" t="str">
        <f ca="1">$C$28</f>
        <v>Armaturpris</v>
      </c>
      <c r="D112" s="116"/>
      <c r="E112" s="116"/>
      <c r="F112" s="116"/>
      <c r="G112" s="117"/>
      <c r="H112" s="117" t="str">
        <f ca="1">$H$28</f>
        <v>kr/stk</v>
      </c>
      <c r="I112" s="437"/>
      <c r="J112" s="437"/>
      <c r="K112" s="437"/>
      <c r="L112" s="437"/>
      <c r="M112" s="437"/>
      <c r="N112" s="437"/>
      <c r="O112" s="437"/>
      <c r="P112" s="437"/>
      <c r="Q112" s="437"/>
      <c r="R112" s="437"/>
      <c r="S112" s="108"/>
      <c r="T112" s="108"/>
    </row>
    <row r="113" spans="2:20" s="174" customFormat="1" ht="16.5" customHeight="1">
      <c r="B113" s="111" t="s">
        <v>63</v>
      </c>
      <c r="C113" s="115" t="str">
        <f ca="1">$C$29</f>
        <v>Material- och arbetskostnader armatur</v>
      </c>
      <c r="D113" s="116"/>
      <c r="E113" s="116"/>
      <c r="F113" s="116"/>
      <c r="G113" s="117"/>
      <c r="H113" s="117" t="str">
        <f ca="1">$H$29</f>
        <v>kr</v>
      </c>
      <c r="I113" s="437"/>
      <c r="J113" s="437"/>
      <c r="K113" s="437"/>
      <c r="L113" s="437"/>
      <c r="M113" s="437"/>
      <c r="N113" s="437"/>
      <c r="O113" s="437"/>
      <c r="P113" s="437"/>
      <c r="Q113" s="437"/>
      <c r="R113" s="437"/>
      <c r="S113" s="108"/>
      <c r="T113" s="108"/>
    </row>
    <row r="114" spans="2:20" s="174" customFormat="1" ht="16.5" customHeight="1">
      <c r="B114" s="111" t="s">
        <v>65</v>
      </c>
      <c r="C114" s="115" t="str">
        <f ca="1">$C$30</f>
        <v>Effekt per armatur, inkl. driftsförluster</v>
      </c>
      <c r="D114" s="116"/>
      <c r="E114" s="116"/>
      <c r="F114" s="116"/>
      <c r="G114" s="117"/>
      <c r="H114" s="117" t="str">
        <f ca="1">$H$30</f>
        <v>W/stk</v>
      </c>
      <c r="I114" s="437"/>
      <c r="J114" s="437"/>
      <c r="K114" s="437"/>
      <c r="L114" s="437"/>
      <c r="M114" s="437"/>
      <c r="N114" s="437"/>
      <c r="O114" s="437"/>
      <c r="P114" s="437"/>
      <c r="Q114" s="437"/>
      <c r="R114" s="437"/>
      <c r="S114" s="108"/>
      <c r="T114" s="108"/>
    </row>
    <row r="115" spans="2:20" s="180" customFormat="1" ht="30" customHeight="1">
      <c r="B115" s="120" t="s">
        <v>68</v>
      </c>
      <c r="C115" s="115" t="str">
        <f ca="1">$C$31</f>
        <v>Typ av styrning</v>
      </c>
      <c r="D115" s="121"/>
      <c r="E115" s="121"/>
      <c r="F115" s="121"/>
      <c r="G115" s="122"/>
      <c r="H115" s="117"/>
      <c r="I115" s="437"/>
      <c r="J115" s="437"/>
      <c r="K115" s="437"/>
      <c r="L115" s="437"/>
      <c r="M115" s="437"/>
      <c r="N115" s="437"/>
      <c r="O115" s="437"/>
      <c r="P115" s="437"/>
      <c r="Q115" s="437"/>
      <c r="R115" s="437"/>
      <c r="S115" s="108"/>
      <c r="T115" s="108"/>
    </row>
    <row r="116" spans="2:20" s="174" customFormat="1" ht="27" hidden="1" outlineLevel="1">
      <c r="B116" s="111" t="s">
        <v>71</v>
      </c>
      <c r="C116" s="115" t="str">
        <f t="shared" ref="C116:C118" ca="1" si="54">$C104</f>
        <v>Reduktionsfaktor manuell styrning</v>
      </c>
      <c r="D116" s="116"/>
      <c r="E116" s="116"/>
      <c r="F116" s="116"/>
      <c r="G116" s="117"/>
      <c r="H116" s="117"/>
      <c r="I116" s="437" t="str" cm="1">
        <f t="array" aca="1" ref="I116"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116" s="437" t="str" cm="1">
        <f t="array" aca="1" ref="J116"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116" s="437" t="str" cm="1">
        <f t="array" aca="1" ref="K116"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116" s="437" t="str" cm="1">
        <f t="array" aca="1" ref="L116"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116" s="437" t="str" cm="1">
        <f t="array" aca="1" ref="M116"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116" s="437" t="str" cm="1">
        <f t="array" aca="1" ref="N116"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116" s="437" t="str" cm="1">
        <f t="array" aca="1" ref="O116"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116" s="437" t="str" cm="1">
        <f t="array" aca="1" ref="P116"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116" s="437" t="str" cm="1">
        <f t="array" aca="1" ref="Q116"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116" s="437" t="str" cm="1">
        <f t="array" aca="1" ref="R116"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116" s="108"/>
      <c r="T116" s="108"/>
    </row>
    <row r="117" spans="2:20" s="174" customFormat="1" ht="27" hidden="1" outlineLevel="1">
      <c r="B117" s="111" t="s">
        <v>73</v>
      </c>
      <c r="C117" s="115" t="str">
        <f t="shared" ca="1" si="54"/>
        <v>Reduktionsfaktor närvaro-/frånvarostyrning</v>
      </c>
      <c r="D117" s="116"/>
      <c r="E117" s="116"/>
      <c r="F117" s="116"/>
      <c r="G117" s="117"/>
      <c r="H117" s="117"/>
      <c r="I117" s="437" t="str" cm="1">
        <f t="array" aca="1" ref="I117"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117" s="437" t="str" cm="1">
        <f t="array" aca="1" ref="J117"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117" s="437" t="str" cm="1">
        <f t="array" aca="1" ref="K117"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117" s="437" t="str" cm="1">
        <f t="array" aca="1" ref="L117"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117" s="437" t="str" cm="1">
        <f t="array" aca="1" ref="M117"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117" s="437" t="str" cm="1">
        <f t="array" aca="1" ref="N117"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117" s="437" t="str" cm="1">
        <f t="array" aca="1" ref="O117"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117" s="437" t="str" cm="1">
        <f t="array" aca="1" ref="P117"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117" s="437" t="str" cm="1">
        <f t="array" aca="1" ref="Q117"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117" s="437" t="str" cm="1">
        <f t="array" aca="1" ref="R117"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117" s="108"/>
      <c r="T117" s="108"/>
    </row>
    <row r="118" spans="2:20" s="174" customFormat="1" ht="27" hidden="1" outlineLevel="1">
      <c r="B118" s="111" t="s">
        <v>75</v>
      </c>
      <c r="C118" s="115" t="str">
        <f t="shared" ca="1" si="54"/>
        <v>Reduktionsfaktor dagsljusstyrning</v>
      </c>
      <c r="D118" s="116"/>
      <c r="E118" s="116"/>
      <c r="F118" s="116"/>
      <c r="G118" s="117"/>
      <c r="H118" s="117"/>
      <c r="I118" s="437" t="str" cm="1">
        <f t="array" aca="1" ref="I118"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118" s="437" t="str" cm="1">
        <f t="array" aca="1" ref="J118"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118" s="437" t="str" cm="1">
        <f t="array" aca="1" ref="K118"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118" s="437" t="str" cm="1">
        <f t="array" aca="1" ref="L118"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118" s="437" t="str" cm="1">
        <f t="array" aca="1" ref="M118"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118" s="437" t="str" cm="1">
        <f t="array" aca="1" ref="N118"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118" s="437" t="str" cm="1">
        <f t="array" aca="1" ref="O118"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118" s="437" t="str" cm="1">
        <f t="array" aca="1" ref="P118"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118" s="437" t="str" cm="1">
        <f t="array" aca="1" ref="Q118"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118" s="437" t="str" cm="1">
        <f t="array" aca="1" ref="R118"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118" s="108"/>
      <c r="T118" s="108"/>
    </row>
    <row r="119" spans="2:20" s="174" customFormat="1" ht="16.5" customHeight="1" collapsed="1">
      <c r="B119" s="111" t="s">
        <v>77</v>
      </c>
      <c r="C119" s="115" t="str">
        <f ca="1">$C$35</f>
        <v>Total reduktionsfaktor för styrning</v>
      </c>
      <c r="D119" s="116"/>
      <c r="E119" s="116"/>
      <c r="F119" s="116"/>
      <c r="G119" s="117"/>
      <c r="H119" s="117"/>
      <c r="I119" s="526">
        <f ca="1">IF(IF(I115=$I$233,I116,IF(I115=$I$234,I116*I117,IF(I115=$I$235,I116*I117*I118,1)))=0,"Fyll i 2.6-2.8",IF(I115=$I$233,I116,IF(I115=$I$234,I116*I117,IF(I115=$I$235,I116*I117*I118,1))))</f>
        <v>1</v>
      </c>
      <c r="J119" s="526">
        <f t="shared" ref="J119" ca="1" si="55">IF(IF(J115=$I$233,J116,IF(J115=$I$234,J116*J117,IF(J115=$I$235,J116*J117*J118,1)))=0,"Fyll i 2.6-2.8",IF(J115=$I$233,J116,IF(J115=$I$234,J116*J117,IF(J115=$I$235,J116*J117*J118,1))))</f>
        <v>1</v>
      </c>
      <c r="K119" s="526">
        <f t="shared" ref="K119" ca="1" si="56">IF(IF(K115=$I$233,K116,IF(K115=$I$234,K116*K117,IF(K115=$I$235,K116*K117*K118,1)))=0,"Fyll i 2.6-2.8",IF(K115=$I$233,K116,IF(K115=$I$234,K116*K117,IF(K115=$I$235,K116*K117*K118,1))))</f>
        <v>1</v>
      </c>
      <c r="L119" s="526">
        <f t="shared" ref="L119" ca="1" si="57">IF(IF(L115=$I$233,L116,IF(L115=$I$234,L116*L117,IF(L115=$I$235,L116*L117*L118,1)))=0,"Fyll i 2.6-2.8",IF(L115=$I$233,L116,IF(L115=$I$234,L116*L117,IF(L115=$I$235,L116*L117*L118,1))))</f>
        <v>1</v>
      </c>
      <c r="M119" s="526">
        <f t="shared" ref="M119" ca="1" si="58">IF(IF(M115=$I$233,M116,IF(M115=$I$234,M116*M117,IF(M115=$I$235,M116*M117*M118,1)))=0,"Fyll i 2.6-2.8",IF(M115=$I$233,M116,IF(M115=$I$234,M116*M117,IF(M115=$I$235,M116*M117*M118,1))))</f>
        <v>1</v>
      </c>
      <c r="N119" s="526">
        <f t="shared" ref="N119" ca="1" si="59">IF(IF(N115=$I$233,N116,IF(N115=$I$234,N116*N117,IF(N115=$I$235,N116*N117*N118,1)))=0,"Fyll i 2.6-2.8",IF(N115=$I$233,N116,IF(N115=$I$234,N116*N117,IF(N115=$I$235,N116*N117*N118,1))))</f>
        <v>1</v>
      </c>
      <c r="O119" s="526">
        <f t="shared" ref="O119" ca="1" si="60">IF(IF(O115=$I$233,O116,IF(O115=$I$234,O116*O117,IF(O115=$I$235,O116*O117*O118,1)))=0,"Fyll i 2.6-2.8",IF(O115=$I$233,O116,IF(O115=$I$234,O116*O117,IF(O115=$I$235,O116*O117*O118,1))))</f>
        <v>1</v>
      </c>
      <c r="P119" s="526">
        <f t="shared" ref="P119" ca="1" si="61">IF(IF(P115=$I$233,P116,IF(P115=$I$234,P116*P117,IF(P115=$I$235,P116*P117*P118,1)))=0,"Fyll i 2.6-2.8",IF(P115=$I$233,P116,IF(P115=$I$234,P116*P117,IF(P115=$I$235,P116*P117*P118,1))))</f>
        <v>1</v>
      </c>
      <c r="Q119" s="526">
        <f t="shared" ref="Q119" ca="1" si="62">IF(IF(Q115=$I$233,Q116,IF(Q115=$I$234,Q116*Q117,IF(Q115=$I$235,Q116*Q117*Q118,1)))=0,"Fyll i 2.6-2.8",IF(Q115=$I$233,Q116,IF(Q115=$I$234,Q116*Q117,IF(Q115=$I$235,Q116*Q117*Q118,1))))</f>
        <v>1</v>
      </c>
      <c r="R119" s="526">
        <f t="shared" ref="R119" ca="1" si="63">IF(IF(R115=$I$233,R116,IF(R115=$I$234,R116*R117,IF(R115=$I$235,R116*R117*R118,1)))=0,"Fyll i 2.6-2.8",IF(R115=$I$233,R116,IF(R115=$I$234,R116*R117,IF(R115=$I$235,R116*R117*R118,1))))</f>
        <v>1</v>
      </c>
      <c r="S119" s="108"/>
      <c r="T119" s="108"/>
    </row>
    <row r="120" spans="2:20" s="174" customFormat="1" ht="16.5" customHeight="1">
      <c r="B120" s="111" t="s">
        <v>79</v>
      </c>
      <c r="C120" s="115" t="str">
        <f ca="1">$C$36</f>
        <v>Underhållskostnader</v>
      </c>
      <c r="D120" s="116"/>
      <c r="E120" s="116"/>
      <c r="F120" s="116"/>
      <c r="G120" s="117"/>
      <c r="H120" s="117" t="str">
        <f ca="1">$H$36</f>
        <v>kr/år</v>
      </c>
      <c r="I120" s="437"/>
      <c r="J120" s="437"/>
      <c r="K120" s="437"/>
      <c r="L120" s="437"/>
      <c r="M120" s="437"/>
      <c r="N120" s="437"/>
      <c r="O120" s="437"/>
      <c r="P120" s="437"/>
      <c r="Q120" s="437"/>
      <c r="R120" s="437"/>
      <c r="S120" s="108"/>
      <c r="T120" s="108"/>
    </row>
    <row r="121" spans="2:20" s="174" customFormat="1" ht="16.5" customHeight="1">
      <c r="B121" s="111"/>
      <c r="C121" s="465"/>
      <c r="D121" s="465"/>
      <c r="E121" s="465"/>
      <c r="F121" s="465"/>
      <c r="G121" s="465"/>
      <c r="H121" s="465"/>
      <c r="I121" s="471"/>
      <c r="J121" s="471"/>
      <c r="K121" s="471"/>
      <c r="L121" s="471"/>
      <c r="M121" s="471"/>
      <c r="N121" s="471"/>
      <c r="O121" s="471"/>
      <c r="P121" s="471"/>
      <c r="Q121" s="471"/>
      <c r="R121" s="471"/>
      <c r="S121" s="108"/>
      <c r="T121" s="108"/>
    </row>
    <row r="122" spans="2:20" s="174" customFormat="1" ht="16.5" customHeight="1">
      <c r="B122" s="111"/>
      <c r="C122" s="115" t="str">
        <f ca="1">$C$26</f>
        <v>Armaturbeteckning</v>
      </c>
      <c r="D122" s="118"/>
      <c r="E122" s="118"/>
      <c r="F122" s="118"/>
      <c r="G122" s="118"/>
      <c r="H122" s="118"/>
      <c r="I122" s="437"/>
      <c r="J122" s="437"/>
      <c r="K122" s="437"/>
      <c r="L122" s="437"/>
      <c r="M122" s="437"/>
      <c r="N122" s="437"/>
      <c r="O122" s="437"/>
      <c r="P122" s="437"/>
      <c r="Q122" s="437"/>
      <c r="R122" s="437"/>
      <c r="S122" s="108"/>
      <c r="T122" s="108"/>
    </row>
    <row r="123" spans="2:20" s="174" customFormat="1" ht="16.5" customHeight="1">
      <c r="B123" s="111" t="s">
        <v>58</v>
      </c>
      <c r="C123" s="115" t="str">
        <f ca="1">$C$27</f>
        <v>Antal armaturer</v>
      </c>
      <c r="D123" s="116"/>
      <c r="E123" s="116"/>
      <c r="F123" s="116"/>
      <c r="G123" s="117"/>
      <c r="H123" s="117" t="str">
        <f ca="1">$H$27</f>
        <v>stk</v>
      </c>
      <c r="I123" s="437"/>
      <c r="J123" s="437"/>
      <c r="K123" s="437"/>
      <c r="L123" s="437"/>
      <c r="M123" s="437"/>
      <c r="N123" s="437"/>
      <c r="O123" s="437"/>
      <c r="P123" s="437"/>
      <c r="Q123" s="437"/>
      <c r="R123" s="437"/>
      <c r="S123" s="108"/>
      <c r="T123" s="108"/>
    </row>
    <row r="124" spans="2:20" s="174" customFormat="1" ht="16.5" customHeight="1">
      <c r="B124" s="111" t="s">
        <v>60</v>
      </c>
      <c r="C124" s="115" t="str">
        <f ca="1">$C$28</f>
        <v>Armaturpris</v>
      </c>
      <c r="D124" s="116"/>
      <c r="E124" s="116"/>
      <c r="F124" s="116"/>
      <c r="G124" s="117"/>
      <c r="H124" s="117" t="str">
        <f ca="1">$H$28</f>
        <v>kr/stk</v>
      </c>
      <c r="I124" s="437"/>
      <c r="J124" s="437"/>
      <c r="K124" s="437"/>
      <c r="L124" s="437"/>
      <c r="M124" s="437"/>
      <c r="N124" s="437"/>
      <c r="O124" s="437"/>
      <c r="P124" s="437"/>
      <c r="Q124" s="437"/>
      <c r="R124" s="437"/>
      <c r="S124" s="108"/>
      <c r="T124" s="108"/>
    </row>
    <row r="125" spans="2:20" s="174" customFormat="1" ht="16.5" customHeight="1">
      <c r="B125" s="111" t="s">
        <v>63</v>
      </c>
      <c r="C125" s="115" t="str">
        <f ca="1">$C$29</f>
        <v>Material- och arbetskostnader armatur</v>
      </c>
      <c r="D125" s="116"/>
      <c r="E125" s="116"/>
      <c r="F125" s="116"/>
      <c r="G125" s="117"/>
      <c r="H125" s="117" t="str">
        <f ca="1">$H$29</f>
        <v>kr</v>
      </c>
      <c r="I125" s="437"/>
      <c r="J125" s="437"/>
      <c r="K125" s="437"/>
      <c r="L125" s="437"/>
      <c r="M125" s="437"/>
      <c r="N125" s="437"/>
      <c r="O125" s="437"/>
      <c r="P125" s="437"/>
      <c r="Q125" s="437"/>
      <c r="R125" s="437"/>
      <c r="S125" s="108"/>
      <c r="T125" s="108"/>
    </row>
    <row r="126" spans="2:20" s="174" customFormat="1" ht="16.5" customHeight="1">
      <c r="B126" s="111" t="s">
        <v>65</v>
      </c>
      <c r="C126" s="115" t="str">
        <f ca="1">$C$30</f>
        <v>Effekt per armatur, inkl. driftsförluster</v>
      </c>
      <c r="D126" s="116"/>
      <c r="E126" s="116"/>
      <c r="F126" s="116"/>
      <c r="G126" s="117"/>
      <c r="H126" s="117" t="str">
        <f ca="1">$H$30</f>
        <v>W/stk</v>
      </c>
      <c r="I126" s="437"/>
      <c r="J126" s="437"/>
      <c r="K126" s="437"/>
      <c r="L126" s="437"/>
      <c r="M126" s="437"/>
      <c r="N126" s="437"/>
      <c r="O126" s="437"/>
      <c r="P126" s="437"/>
      <c r="Q126" s="437"/>
      <c r="R126" s="437"/>
      <c r="S126" s="108"/>
      <c r="T126" s="108"/>
    </row>
    <row r="127" spans="2:20" s="180" customFormat="1" ht="30" customHeight="1">
      <c r="B127" s="120" t="s">
        <v>68</v>
      </c>
      <c r="C127" s="115" t="str">
        <f ca="1">$C$31</f>
        <v>Typ av styrning</v>
      </c>
      <c r="D127" s="121"/>
      <c r="E127" s="121"/>
      <c r="F127" s="121"/>
      <c r="G127" s="122"/>
      <c r="H127" s="117"/>
      <c r="I127" s="437"/>
      <c r="J127" s="437"/>
      <c r="K127" s="437"/>
      <c r="L127" s="437"/>
      <c r="M127" s="437"/>
      <c r="N127" s="437"/>
      <c r="O127" s="437"/>
      <c r="P127" s="437"/>
      <c r="Q127" s="437"/>
      <c r="R127" s="437"/>
      <c r="S127" s="108"/>
      <c r="T127" s="108"/>
    </row>
    <row r="128" spans="2:20" s="174" customFormat="1" ht="27" hidden="1" outlineLevel="1">
      <c r="B128" s="111" t="s">
        <v>71</v>
      </c>
      <c r="C128" s="115" t="str">
        <f t="shared" ref="C128:C130" ca="1" si="64">$C116</f>
        <v>Reduktionsfaktor manuell styrning</v>
      </c>
      <c r="D128" s="116"/>
      <c r="E128" s="116"/>
      <c r="F128" s="116"/>
      <c r="G128" s="117"/>
      <c r="H128" s="117"/>
      <c r="I128" s="437" t="str" cm="1">
        <f t="array" aca="1" ref="I128"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128" s="437" t="str" cm="1">
        <f t="array" aca="1" ref="J128"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128" s="437" t="str" cm="1">
        <f t="array" aca="1" ref="K128"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128" s="437" t="str" cm="1">
        <f t="array" aca="1" ref="L128"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128" s="437" t="str" cm="1">
        <f t="array" aca="1" ref="M128"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128" s="437" t="str" cm="1">
        <f t="array" aca="1" ref="N128"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128" s="437" t="str" cm="1">
        <f t="array" aca="1" ref="O128"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128" s="437" t="str" cm="1">
        <f t="array" aca="1" ref="P128"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128" s="437" t="str" cm="1">
        <f t="array" aca="1" ref="Q128"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128" s="437" t="str" cm="1">
        <f t="array" aca="1" ref="R128"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128" s="108"/>
      <c r="T128" s="108"/>
    </row>
    <row r="129" spans="2:20" s="174" customFormat="1" ht="27" hidden="1" outlineLevel="1">
      <c r="B129" s="111" t="s">
        <v>73</v>
      </c>
      <c r="C129" s="115" t="str">
        <f t="shared" ca="1" si="64"/>
        <v>Reduktionsfaktor närvaro-/frånvarostyrning</v>
      </c>
      <c r="D129" s="116"/>
      <c r="E129" s="116"/>
      <c r="F129" s="116"/>
      <c r="G129" s="117"/>
      <c r="H129" s="117"/>
      <c r="I129" s="437" t="str" cm="1">
        <f t="array" aca="1" ref="I129"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129" s="437" t="str" cm="1">
        <f t="array" aca="1" ref="J129"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129" s="437" t="str" cm="1">
        <f t="array" aca="1" ref="K129"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129" s="437" t="str" cm="1">
        <f t="array" aca="1" ref="L129"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129" s="437" t="str" cm="1">
        <f t="array" aca="1" ref="M129"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129" s="437" t="str" cm="1">
        <f t="array" aca="1" ref="N129"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129" s="437" t="str" cm="1">
        <f t="array" aca="1" ref="O129"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129" s="437" t="str" cm="1">
        <f t="array" aca="1" ref="P129"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129" s="437" t="str" cm="1">
        <f t="array" aca="1" ref="Q129"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129" s="437" t="str" cm="1">
        <f t="array" aca="1" ref="R129"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129" s="108"/>
      <c r="T129" s="108"/>
    </row>
    <row r="130" spans="2:20" s="174" customFormat="1" ht="27" hidden="1" outlineLevel="1">
      <c r="B130" s="111" t="s">
        <v>75</v>
      </c>
      <c r="C130" s="115" t="str">
        <f t="shared" ca="1" si="64"/>
        <v>Reduktionsfaktor dagsljusstyrning</v>
      </c>
      <c r="D130" s="116"/>
      <c r="E130" s="116"/>
      <c r="F130" s="116"/>
      <c r="G130" s="117"/>
      <c r="H130" s="117"/>
      <c r="I130" s="437" t="str" cm="1">
        <f t="array" aca="1" ref="I130"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130" s="437" t="str" cm="1">
        <f t="array" aca="1" ref="J130"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130" s="437" t="str" cm="1">
        <f t="array" aca="1" ref="K130"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130" s="437" t="str" cm="1">
        <f t="array" aca="1" ref="L130"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130" s="437" t="str" cm="1">
        <f t="array" aca="1" ref="M130"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130" s="437" t="str" cm="1">
        <f t="array" aca="1" ref="N130"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130" s="437" t="str" cm="1">
        <f t="array" aca="1" ref="O130"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130" s="437" t="str" cm="1">
        <f t="array" aca="1" ref="P130"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130" s="437" t="str" cm="1">
        <f t="array" aca="1" ref="Q130"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130" s="437" t="str" cm="1">
        <f t="array" aca="1" ref="R130"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130" s="108"/>
      <c r="T130" s="108"/>
    </row>
    <row r="131" spans="2:20" s="174" customFormat="1" ht="16.5" customHeight="1" collapsed="1">
      <c r="B131" s="111" t="s">
        <v>77</v>
      </c>
      <c r="C131" s="115" t="str">
        <f ca="1">$C$35</f>
        <v>Total reduktionsfaktor för styrning</v>
      </c>
      <c r="D131" s="116"/>
      <c r="E131" s="116"/>
      <c r="F131" s="116"/>
      <c r="G131" s="117"/>
      <c r="H131" s="117"/>
      <c r="I131" s="526">
        <f ca="1">IF(IF(I127=$I$233,I128,IF(I127=$I$234,I128*I129,IF(I127=$I$235,I128*I129*I130,1)))=0,"Fyll i 2.6-2.8",IF(I127=$I$233,I128,IF(I127=$I$234,I128*I129,IF(I127=$I$235,I128*I129*I130,1))))</f>
        <v>1</v>
      </c>
      <c r="J131" s="526">
        <f t="shared" ref="J131" ca="1" si="65">IF(IF(J127=$I$233,J128,IF(J127=$I$234,J128*J129,IF(J127=$I$235,J128*J129*J130,1)))=0,"Fyll i 2.6-2.8",IF(J127=$I$233,J128,IF(J127=$I$234,J128*J129,IF(J127=$I$235,J128*J129*J130,1))))</f>
        <v>1</v>
      </c>
      <c r="K131" s="526">
        <f t="shared" ref="K131" ca="1" si="66">IF(IF(K127=$I$233,K128,IF(K127=$I$234,K128*K129,IF(K127=$I$235,K128*K129*K130,1)))=0,"Fyll i 2.6-2.8",IF(K127=$I$233,K128,IF(K127=$I$234,K128*K129,IF(K127=$I$235,K128*K129*K130,1))))</f>
        <v>1</v>
      </c>
      <c r="L131" s="526">
        <f t="shared" ref="L131" ca="1" si="67">IF(IF(L127=$I$233,L128,IF(L127=$I$234,L128*L129,IF(L127=$I$235,L128*L129*L130,1)))=0,"Fyll i 2.6-2.8",IF(L127=$I$233,L128,IF(L127=$I$234,L128*L129,IF(L127=$I$235,L128*L129*L130,1))))</f>
        <v>1</v>
      </c>
      <c r="M131" s="526">
        <f t="shared" ref="M131" ca="1" si="68">IF(IF(M127=$I$233,M128,IF(M127=$I$234,M128*M129,IF(M127=$I$235,M128*M129*M130,1)))=0,"Fyll i 2.6-2.8",IF(M127=$I$233,M128,IF(M127=$I$234,M128*M129,IF(M127=$I$235,M128*M129*M130,1))))</f>
        <v>1</v>
      </c>
      <c r="N131" s="526">
        <f t="shared" ref="N131" ca="1" si="69">IF(IF(N127=$I$233,N128,IF(N127=$I$234,N128*N129,IF(N127=$I$235,N128*N129*N130,1)))=0,"Fyll i 2.6-2.8",IF(N127=$I$233,N128,IF(N127=$I$234,N128*N129,IF(N127=$I$235,N128*N129*N130,1))))</f>
        <v>1</v>
      </c>
      <c r="O131" s="526">
        <f t="shared" ref="O131" ca="1" si="70">IF(IF(O127=$I$233,O128,IF(O127=$I$234,O128*O129,IF(O127=$I$235,O128*O129*O130,1)))=0,"Fyll i 2.6-2.8",IF(O127=$I$233,O128,IF(O127=$I$234,O128*O129,IF(O127=$I$235,O128*O129*O130,1))))</f>
        <v>1</v>
      </c>
      <c r="P131" s="526">
        <f t="shared" ref="P131" ca="1" si="71">IF(IF(P127=$I$233,P128,IF(P127=$I$234,P128*P129,IF(P127=$I$235,P128*P129*P130,1)))=0,"Fyll i 2.6-2.8",IF(P127=$I$233,P128,IF(P127=$I$234,P128*P129,IF(P127=$I$235,P128*P129*P130,1))))</f>
        <v>1</v>
      </c>
      <c r="Q131" s="526">
        <f t="shared" ref="Q131" ca="1" si="72">IF(IF(Q127=$I$233,Q128,IF(Q127=$I$234,Q128*Q129,IF(Q127=$I$235,Q128*Q129*Q130,1)))=0,"Fyll i 2.6-2.8",IF(Q127=$I$233,Q128,IF(Q127=$I$234,Q128*Q129,IF(Q127=$I$235,Q128*Q129*Q130,1))))</f>
        <v>1</v>
      </c>
      <c r="R131" s="526">
        <f t="shared" ref="R131" ca="1" si="73">IF(IF(R127=$I$233,R128,IF(R127=$I$234,R128*R129,IF(R127=$I$235,R128*R129*R130,1)))=0,"Fyll i 2.6-2.8",IF(R127=$I$233,R128,IF(R127=$I$234,R128*R129,IF(R127=$I$235,R128*R129*R130,1))))</f>
        <v>1</v>
      </c>
      <c r="S131" s="108"/>
      <c r="T131" s="108"/>
    </row>
    <row r="132" spans="2:20" s="174" customFormat="1" ht="16.5" customHeight="1">
      <c r="B132" s="111" t="s">
        <v>79</v>
      </c>
      <c r="C132" s="115" t="str">
        <f ca="1">$C$36</f>
        <v>Underhållskostnader</v>
      </c>
      <c r="D132" s="116"/>
      <c r="E132" s="116"/>
      <c r="F132" s="116"/>
      <c r="G132" s="117"/>
      <c r="H132" s="117" t="str">
        <f ca="1">$H$36</f>
        <v>kr/år</v>
      </c>
      <c r="I132" s="437"/>
      <c r="J132" s="437"/>
      <c r="K132" s="437"/>
      <c r="L132" s="437"/>
      <c r="M132" s="437"/>
      <c r="N132" s="437"/>
      <c r="O132" s="437"/>
      <c r="P132" s="437"/>
      <c r="Q132" s="437"/>
      <c r="R132" s="437"/>
      <c r="S132" s="108"/>
      <c r="T132" s="108"/>
    </row>
    <row r="133" spans="2:20" s="174" customFormat="1" ht="16.5" customHeight="1">
      <c r="B133" s="111"/>
      <c r="C133" s="465"/>
      <c r="D133" s="465"/>
      <c r="E133" s="465"/>
      <c r="F133" s="465"/>
      <c r="G133" s="465"/>
      <c r="H133" s="465"/>
      <c r="I133" s="471"/>
      <c r="J133" s="471"/>
      <c r="K133" s="471"/>
      <c r="L133" s="471"/>
      <c r="M133" s="471"/>
      <c r="N133" s="471"/>
      <c r="O133" s="471"/>
      <c r="P133" s="471"/>
      <c r="Q133" s="471"/>
      <c r="R133" s="471"/>
      <c r="S133" s="108"/>
      <c r="T133" s="108"/>
    </row>
    <row r="134" spans="2:20" s="174" customFormat="1" ht="16.5" customHeight="1">
      <c r="B134" s="111"/>
      <c r="C134" s="115" t="str">
        <f ca="1">$C$26</f>
        <v>Armaturbeteckning</v>
      </c>
      <c r="D134" s="118"/>
      <c r="E134" s="118"/>
      <c r="F134" s="118"/>
      <c r="G134" s="118"/>
      <c r="H134" s="118"/>
      <c r="I134" s="437"/>
      <c r="J134" s="437"/>
      <c r="K134" s="437"/>
      <c r="L134" s="437"/>
      <c r="M134" s="437"/>
      <c r="N134" s="437"/>
      <c r="O134" s="437"/>
      <c r="P134" s="437"/>
      <c r="Q134" s="437"/>
      <c r="R134" s="437"/>
      <c r="S134" s="108"/>
      <c r="T134" s="108"/>
    </row>
    <row r="135" spans="2:20" s="174" customFormat="1" ht="16.5" customHeight="1">
      <c r="B135" s="111" t="s">
        <v>58</v>
      </c>
      <c r="C135" s="115" t="str">
        <f ca="1">$C$27</f>
        <v>Antal armaturer</v>
      </c>
      <c r="D135" s="116"/>
      <c r="E135" s="116"/>
      <c r="F135" s="116"/>
      <c r="G135" s="117"/>
      <c r="H135" s="117" t="str">
        <f ca="1">$H$27</f>
        <v>stk</v>
      </c>
      <c r="I135" s="437"/>
      <c r="J135" s="437"/>
      <c r="K135" s="437"/>
      <c r="L135" s="437"/>
      <c r="M135" s="437"/>
      <c r="N135" s="437"/>
      <c r="O135" s="437"/>
      <c r="P135" s="437"/>
      <c r="Q135" s="437"/>
      <c r="R135" s="437"/>
      <c r="S135" s="108"/>
      <c r="T135" s="108"/>
    </row>
    <row r="136" spans="2:20" s="174" customFormat="1" ht="16.5" customHeight="1">
      <c r="B136" s="111" t="s">
        <v>60</v>
      </c>
      <c r="C136" s="115" t="str">
        <f ca="1">$C$28</f>
        <v>Armaturpris</v>
      </c>
      <c r="D136" s="116"/>
      <c r="E136" s="116"/>
      <c r="F136" s="116"/>
      <c r="G136" s="117"/>
      <c r="H136" s="117" t="str">
        <f ca="1">$H$28</f>
        <v>kr/stk</v>
      </c>
      <c r="I136" s="437"/>
      <c r="J136" s="437"/>
      <c r="K136" s="437"/>
      <c r="L136" s="437"/>
      <c r="M136" s="437"/>
      <c r="N136" s="437"/>
      <c r="O136" s="437"/>
      <c r="P136" s="437"/>
      <c r="Q136" s="437"/>
      <c r="R136" s="437"/>
      <c r="S136" s="108"/>
      <c r="T136" s="108"/>
    </row>
    <row r="137" spans="2:20" s="174" customFormat="1" ht="16.5" customHeight="1">
      <c r="B137" s="111" t="s">
        <v>63</v>
      </c>
      <c r="C137" s="115" t="str">
        <f ca="1">$C$29</f>
        <v>Material- och arbetskostnader armatur</v>
      </c>
      <c r="D137" s="116"/>
      <c r="E137" s="116"/>
      <c r="F137" s="116"/>
      <c r="G137" s="117"/>
      <c r="H137" s="117" t="str">
        <f ca="1">$H$29</f>
        <v>kr</v>
      </c>
      <c r="I137" s="437"/>
      <c r="J137" s="437"/>
      <c r="K137" s="437"/>
      <c r="L137" s="437"/>
      <c r="M137" s="437"/>
      <c r="N137" s="437"/>
      <c r="O137" s="437"/>
      <c r="P137" s="437"/>
      <c r="Q137" s="437"/>
      <c r="R137" s="437"/>
      <c r="S137" s="108"/>
      <c r="T137" s="108"/>
    </row>
    <row r="138" spans="2:20" s="174" customFormat="1" ht="16.5" customHeight="1">
      <c r="B138" s="111" t="s">
        <v>65</v>
      </c>
      <c r="C138" s="115" t="str">
        <f ca="1">$C$30</f>
        <v>Effekt per armatur, inkl. driftsförluster</v>
      </c>
      <c r="D138" s="116"/>
      <c r="E138" s="116"/>
      <c r="F138" s="116"/>
      <c r="G138" s="117"/>
      <c r="H138" s="117" t="str">
        <f ca="1">$H$30</f>
        <v>W/stk</v>
      </c>
      <c r="I138" s="437"/>
      <c r="J138" s="437"/>
      <c r="K138" s="437"/>
      <c r="L138" s="437"/>
      <c r="M138" s="437"/>
      <c r="N138" s="437"/>
      <c r="O138" s="437"/>
      <c r="P138" s="437"/>
      <c r="Q138" s="437"/>
      <c r="R138" s="437"/>
      <c r="S138" s="108"/>
      <c r="T138" s="108"/>
    </row>
    <row r="139" spans="2:20" s="180" customFormat="1" ht="30" customHeight="1">
      <c r="B139" s="120" t="s">
        <v>68</v>
      </c>
      <c r="C139" s="115" t="str">
        <f ca="1">$C$31</f>
        <v>Typ av styrning</v>
      </c>
      <c r="D139" s="121"/>
      <c r="E139" s="121"/>
      <c r="F139" s="121"/>
      <c r="G139" s="122"/>
      <c r="H139" s="117"/>
      <c r="I139" s="437"/>
      <c r="J139" s="437"/>
      <c r="K139" s="437"/>
      <c r="L139" s="437"/>
      <c r="M139" s="437"/>
      <c r="N139" s="437"/>
      <c r="O139" s="437"/>
      <c r="P139" s="437"/>
      <c r="Q139" s="437"/>
      <c r="R139" s="437"/>
      <c r="S139" s="108"/>
      <c r="T139" s="108"/>
    </row>
    <row r="140" spans="2:20" s="174" customFormat="1" ht="27" hidden="1" outlineLevel="1">
      <c r="B140" s="111" t="s">
        <v>71</v>
      </c>
      <c r="C140" s="115" t="str">
        <f t="shared" ref="C140:C142" ca="1" si="74">$C128</f>
        <v>Reduktionsfaktor manuell styrning</v>
      </c>
      <c r="D140" s="116"/>
      <c r="E140" s="116"/>
      <c r="F140" s="116"/>
      <c r="G140" s="117"/>
      <c r="H140" s="117"/>
      <c r="I140" s="437" t="str" cm="1">
        <f t="array" aca="1" ref="I140"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140" s="437" t="str" cm="1">
        <f t="array" aca="1" ref="J140"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140" s="437" t="str" cm="1">
        <f t="array" aca="1" ref="K140"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140" s="437" t="str" cm="1">
        <f t="array" aca="1" ref="L140"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140" s="437" t="str" cm="1">
        <f t="array" aca="1" ref="M140"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140" s="437" t="str" cm="1">
        <f t="array" aca="1" ref="N140"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140" s="437" t="str" cm="1">
        <f t="array" aca="1" ref="O140"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140" s="437" t="str" cm="1">
        <f t="array" aca="1" ref="P140"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140" s="437" t="str" cm="1">
        <f t="array" aca="1" ref="Q140"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140" s="437" t="str" cm="1">
        <f t="array" aca="1" ref="R140"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140" s="108"/>
      <c r="T140" s="108"/>
    </row>
    <row r="141" spans="2:20" s="174" customFormat="1" ht="27" hidden="1" outlineLevel="1">
      <c r="B141" s="111" t="s">
        <v>73</v>
      </c>
      <c r="C141" s="115" t="str">
        <f t="shared" ca="1" si="74"/>
        <v>Reduktionsfaktor närvaro-/frånvarostyrning</v>
      </c>
      <c r="D141" s="116"/>
      <c r="E141" s="116"/>
      <c r="F141" s="116"/>
      <c r="G141" s="117"/>
      <c r="H141" s="117"/>
      <c r="I141" s="437" t="str" cm="1">
        <f t="array" aca="1" ref="I141"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141" s="437" t="str" cm="1">
        <f t="array" aca="1" ref="J141"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141" s="437" t="str" cm="1">
        <f t="array" aca="1" ref="K141"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141" s="437" t="str" cm="1">
        <f t="array" aca="1" ref="L141"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141" s="437" t="str" cm="1">
        <f t="array" aca="1" ref="M141"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141" s="437" t="str" cm="1">
        <f t="array" aca="1" ref="N141"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141" s="437" t="str" cm="1">
        <f t="array" aca="1" ref="O141"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141" s="437" t="str" cm="1">
        <f t="array" aca="1" ref="P141"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141" s="437" t="str" cm="1">
        <f t="array" aca="1" ref="Q141"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141" s="437" t="str" cm="1">
        <f t="array" aca="1" ref="R141"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141" s="108"/>
      <c r="T141" s="108"/>
    </row>
    <row r="142" spans="2:20" s="174" customFormat="1" ht="27" hidden="1" outlineLevel="1">
      <c r="B142" s="111" t="s">
        <v>75</v>
      </c>
      <c r="C142" s="115" t="str">
        <f t="shared" ca="1" si="74"/>
        <v>Reduktionsfaktor dagsljusstyrning</v>
      </c>
      <c r="D142" s="116"/>
      <c r="E142" s="116"/>
      <c r="F142" s="116"/>
      <c r="G142" s="117"/>
      <c r="H142" s="117"/>
      <c r="I142" s="437" t="str" cm="1">
        <f t="array" aca="1" ref="I142"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142" s="437" t="str" cm="1">
        <f t="array" aca="1" ref="J142"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142" s="437" t="str" cm="1">
        <f t="array" aca="1" ref="K142"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142" s="437" t="str" cm="1">
        <f t="array" aca="1" ref="L142"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142" s="437" t="str" cm="1">
        <f t="array" aca="1" ref="M142"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142" s="437" t="str" cm="1">
        <f t="array" aca="1" ref="N142"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142" s="437" t="str" cm="1">
        <f t="array" aca="1" ref="O142"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142" s="437" t="str" cm="1">
        <f t="array" aca="1" ref="P142"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142" s="437" t="str" cm="1">
        <f t="array" aca="1" ref="Q142"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142" s="437" t="str" cm="1">
        <f t="array" aca="1" ref="R142"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142" s="108"/>
      <c r="T142" s="108"/>
    </row>
    <row r="143" spans="2:20" s="174" customFormat="1" ht="16.5" customHeight="1" collapsed="1">
      <c r="B143" s="111" t="s">
        <v>77</v>
      </c>
      <c r="C143" s="115" t="str">
        <f ca="1">$C$35</f>
        <v>Total reduktionsfaktor för styrning</v>
      </c>
      <c r="D143" s="116"/>
      <c r="E143" s="116"/>
      <c r="F143" s="116"/>
      <c r="G143" s="117"/>
      <c r="H143" s="117"/>
      <c r="I143" s="526">
        <f ca="1">IF(IF(I139=$I$233,I140,IF(I139=$I$234,I140*I141,IF(I139=$I$235,I140*I141*I142,1)))=0,"Fyll i 2.6-2.8",IF(I139=$I$233,I140,IF(I139=$I$234,I140*I141,IF(I139=$I$235,I140*I141*I142,1))))</f>
        <v>1</v>
      </c>
      <c r="J143" s="526">
        <f t="shared" ref="J143" ca="1" si="75">IF(IF(J139=$I$233,J140,IF(J139=$I$234,J140*J141,IF(J139=$I$235,J140*J141*J142,1)))=0,"Fyll i 2.6-2.8",IF(J139=$I$233,J140,IF(J139=$I$234,J140*J141,IF(J139=$I$235,J140*J141*J142,1))))</f>
        <v>1</v>
      </c>
      <c r="K143" s="526">
        <f t="shared" ref="K143" ca="1" si="76">IF(IF(K139=$I$233,K140,IF(K139=$I$234,K140*K141,IF(K139=$I$235,K140*K141*K142,1)))=0,"Fyll i 2.6-2.8",IF(K139=$I$233,K140,IF(K139=$I$234,K140*K141,IF(K139=$I$235,K140*K141*K142,1))))</f>
        <v>1</v>
      </c>
      <c r="L143" s="526">
        <f t="shared" ref="L143" ca="1" si="77">IF(IF(L139=$I$233,L140,IF(L139=$I$234,L140*L141,IF(L139=$I$235,L140*L141*L142,1)))=0,"Fyll i 2.6-2.8",IF(L139=$I$233,L140,IF(L139=$I$234,L140*L141,IF(L139=$I$235,L140*L141*L142,1))))</f>
        <v>1</v>
      </c>
      <c r="M143" s="526">
        <f t="shared" ref="M143" ca="1" si="78">IF(IF(M139=$I$233,M140,IF(M139=$I$234,M140*M141,IF(M139=$I$235,M140*M141*M142,1)))=0,"Fyll i 2.6-2.8",IF(M139=$I$233,M140,IF(M139=$I$234,M140*M141,IF(M139=$I$235,M140*M141*M142,1))))</f>
        <v>1</v>
      </c>
      <c r="N143" s="526">
        <f t="shared" ref="N143" ca="1" si="79">IF(IF(N139=$I$233,N140,IF(N139=$I$234,N140*N141,IF(N139=$I$235,N140*N141*N142,1)))=0,"Fyll i 2.6-2.8",IF(N139=$I$233,N140,IF(N139=$I$234,N140*N141,IF(N139=$I$235,N140*N141*N142,1))))</f>
        <v>1</v>
      </c>
      <c r="O143" s="526">
        <f t="shared" ref="O143" ca="1" si="80">IF(IF(O139=$I$233,O140,IF(O139=$I$234,O140*O141,IF(O139=$I$235,O140*O141*O142,1)))=0,"Fyll i 2.6-2.8",IF(O139=$I$233,O140,IF(O139=$I$234,O140*O141,IF(O139=$I$235,O140*O141*O142,1))))</f>
        <v>1</v>
      </c>
      <c r="P143" s="526">
        <f t="shared" ref="P143" ca="1" si="81">IF(IF(P139=$I$233,P140,IF(P139=$I$234,P140*P141,IF(P139=$I$235,P140*P141*P142,1)))=0,"Fyll i 2.6-2.8",IF(P139=$I$233,P140,IF(P139=$I$234,P140*P141,IF(P139=$I$235,P140*P141*P142,1))))</f>
        <v>1</v>
      </c>
      <c r="Q143" s="526">
        <f t="shared" ref="Q143" ca="1" si="82">IF(IF(Q139=$I$233,Q140,IF(Q139=$I$234,Q140*Q141,IF(Q139=$I$235,Q140*Q141*Q142,1)))=0,"Fyll i 2.6-2.8",IF(Q139=$I$233,Q140,IF(Q139=$I$234,Q140*Q141,IF(Q139=$I$235,Q140*Q141*Q142,1))))</f>
        <v>1</v>
      </c>
      <c r="R143" s="526">
        <f t="shared" ref="R143" ca="1" si="83">IF(IF(R139=$I$233,R140,IF(R139=$I$234,R140*R141,IF(R139=$I$235,R140*R141*R142,1)))=0,"Fyll i 2.6-2.8",IF(R139=$I$233,R140,IF(R139=$I$234,R140*R141,IF(R139=$I$235,R140*R141*R142,1))))</f>
        <v>1</v>
      </c>
      <c r="S143" s="108"/>
      <c r="T143" s="108"/>
    </row>
    <row r="144" spans="2:20" s="174" customFormat="1" ht="16.5" customHeight="1">
      <c r="B144" s="111" t="s">
        <v>79</v>
      </c>
      <c r="C144" s="115" t="str">
        <f ca="1">$C$36</f>
        <v>Underhållskostnader</v>
      </c>
      <c r="D144" s="116"/>
      <c r="E144" s="116"/>
      <c r="F144" s="116"/>
      <c r="G144" s="117"/>
      <c r="H144" s="117" t="str">
        <f ca="1">$H$36</f>
        <v>kr/år</v>
      </c>
      <c r="I144" s="437"/>
      <c r="J144" s="437"/>
      <c r="K144" s="437"/>
      <c r="L144" s="437"/>
      <c r="M144" s="437"/>
      <c r="N144" s="437"/>
      <c r="O144" s="437"/>
      <c r="P144" s="437"/>
      <c r="Q144" s="437"/>
      <c r="R144" s="437"/>
      <c r="S144" s="108"/>
      <c r="T144" s="108"/>
    </row>
    <row r="145" spans="1:20" s="174" customFormat="1" ht="16.5" customHeight="1">
      <c r="B145" s="111"/>
      <c r="C145" s="465"/>
      <c r="D145" s="465"/>
      <c r="E145" s="465"/>
      <c r="F145" s="465"/>
      <c r="G145" s="465"/>
      <c r="H145" s="465"/>
      <c r="I145" s="471"/>
      <c r="J145" s="471"/>
      <c r="K145" s="471"/>
      <c r="L145" s="471"/>
      <c r="M145" s="471"/>
      <c r="N145" s="471"/>
      <c r="O145" s="471"/>
      <c r="P145" s="471"/>
      <c r="Q145" s="471"/>
      <c r="R145" s="471"/>
      <c r="S145" s="108"/>
      <c r="T145" s="108"/>
    </row>
    <row r="146" spans="1:20" s="174" customFormat="1" ht="16.5" customHeight="1">
      <c r="B146" s="111"/>
      <c r="C146" s="110" t="str" cm="1">
        <f t="array" aca="1" ref="C146" ca="1">IFERROR(
  INDEX(
    tblStrings[],
    MATCH(
      1,
      (tblStrings[Cell]=SUBSTITUTE(CELL("adress",INDIRECT("RC",FALSE)),"$","")) *
      (tblStrings[Sheet]=AllStrings!$C$433),
      0
    ),
    MATCH(Språkval, tblStrings[#Headers], 0)
  ),
)</f>
        <v>STYRUTRUSTNING (anges för rumstyp)</v>
      </c>
      <c r="D146" s="118"/>
      <c r="E146" s="118"/>
      <c r="F146" s="118"/>
      <c r="G146" s="118"/>
      <c r="H146" s="118"/>
      <c r="I146" s="168"/>
      <c r="J146" s="168"/>
      <c r="K146" s="168"/>
      <c r="L146" s="168"/>
      <c r="M146" s="168"/>
      <c r="N146" s="168"/>
      <c r="O146" s="168"/>
      <c r="P146" s="168"/>
      <c r="Q146" s="168"/>
      <c r="R146" s="168"/>
      <c r="S146" s="108"/>
      <c r="T146" s="108"/>
    </row>
    <row r="147" spans="1:20" s="174" customFormat="1" ht="16.5" customHeight="1">
      <c r="B147" s="111" t="s">
        <v>84</v>
      </c>
      <c r="C147" s="115" t="str" cm="1">
        <f t="array" aca="1" ref="C147" ca="1">IFERROR(
  INDEX(
    tblStrings[],
    MATCH(
      1,
      (tblStrings[Cell]=SUBSTITUTE(CELL("adress",INDIRECT("RC",FALSE)),"$","")) *
      (tblStrings[Sheet]=AllStrings!$C$433),
      0
    ),
    MATCH(Språkval, tblStrings[#Headers], 0)
  ),
)</f>
        <v>Kostnad extern styrutrustning</v>
      </c>
      <c r="D147" s="116"/>
      <c r="E147" s="116"/>
      <c r="F147" s="116"/>
      <c r="G147" s="117"/>
      <c r="H147" s="117" t="str" cm="1">
        <f t="array" aca="1" ref="H147" ca="1">IFERROR(
  INDEX(
    tblStrings[],
    MATCH(
      1,
      (tblStrings[Cell]=SUBSTITUTE(CELL("adress",INDIRECT("RC",FALSE)),"$","")) *
      (tblStrings[Sheet]=AllStrings!$C$433),
      0
    ),
    MATCH(Språkval, tblStrings[#Headers], 0)
  ),
)</f>
        <v>kr/år</v>
      </c>
      <c r="I147" s="525"/>
      <c r="J147" s="525"/>
      <c r="K147" s="525"/>
      <c r="L147" s="525"/>
      <c r="M147" s="525"/>
      <c r="N147" s="525"/>
      <c r="O147" s="525"/>
      <c r="P147" s="525"/>
      <c r="Q147" s="525"/>
      <c r="R147" s="525"/>
      <c r="S147" s="108"/>
      <c r="T147" s="108"/>
    </row>
    <row r="148" spans="1:20" s="174" customFormat="1">
      <c r="B148" s="123"/>
      <c r="C148" s="124"/>
      <c r="D148" s="124"/>
      <c r="E148" s="124"/>
      <c r="F148" s="124"/>
      <c r="G148" s="124"/>
      <c r="H148" s="124"/>
      <c r="I148" s="472"/>
      <c r="J148" s="472"/>
      <c r="K148" s="472"/>
      <c r="L148" s="472"/>
      <c r="M148" s="472"/>
      <c r="N148" s="472"/>
      <c r="O148" s="472"/>
      <c r="P148" s="472"/>
      <c r="Q148" s="472"/>
      <c r="R148" s="472"/>
      <c r="S148" s="108"/>
      <c r="T148" s="108"/>
    </row>
    <row r="149" spans="1:20" s="174" customFormat="1" ht="29" customHeight="1">
      <c r="B149" s="395"/>
      <c r="C149" s="625" t="str" cm="1">
        <f t="array" aca="1" ref="C149" ca="1">IFERROR(
  INDEX(
    tblStrings[],
    MATCH(
      1,
      (tblStrings[Cell]=SUBSTITUTE(CELL("adress",INDIRECT("RC",FALSE)),"$","")) *
      (tblStrings[Sheet]=AllStrings!$C$433),
      0
    ),
    MATCH(Språkval, tblStrings[#Headers], 0)
  ),
)</f>
        <v>Resultat</v>
      </c>
      <c r="D149" s="625"/>
      <c r="E149" s="396"/>
      <c r="F149" s="397"/>
      <c r="G149" s="397"/>
      <c r="H149" s="398"/>
      <c r="I149" s="399"/>
      <c r="J149" s="399"/>
      <c r="K149" s="399"/>
      <c r="L149" s="400"/>
      <c r="M149" s="400"/>
      <c r="N149" s="400"/>
      <c r="O149" s="400"/>
      <c r="P149" s="400"/>
      <c r="Q149" s="400"/>
      <c r="R149" s="400"/>
      <c r="S149" s="400"/>
      <c r="T149" s="400"/>
    </row>
    <row r="150" spans="1:20" s="125" customFormat="1" ht="26.25" hidden="1" customHeight="1">
      <c r="A150" s="182"/>
      <c r="C150" s="126" t="s">
        <v>87</v>
      </c>
      <c r="D150" s="127"/>
      <c r="E150" s="128"/>
      <c r="F150" s="128"/>
      <c r="G150" s="128"/>
      <c r="H150" s="128"/>
      <c r="I150" s="473">
        <f ca="1">IF(I228="","",SUMPRODUCT(($I$228:$XFD$228&lt;I228)*($I$228:$XFD$228&lt;&gt;""))+SUMPRODUCT(($I$228:I228=I228)*1))</f>
        <v>1</v>
      </c>
      <c r="J150" s="473" t="str">
        <f>IF(J228="","",SUMPRODUCT(($I$228:$XFD$228&lt;J228)*($I$228:$XFD$228&lt;&gt;""))+SUMPRODUCT(($I$228:J228=J228)*1))</f>
        <v/>
      </c>
      <c r="K150" s="473" t="str">
        <f>IF(K228="","",SUMPRODUCT(($I$228:$XFD$228&lt;K228)*($I$228:$XFD$228&lt;&gt;""))+SUMPRODUCT(($I$228:K228=K228)*1))</f>
        <v/>
      </c>
      <c r="L150" s="473" t="str">
        <f>IF(L228="","",SUMPRODUCT(($I$228:$XFD$228&lt;L228)*($I$228:$XFD$228&lt;&gt;""))+SUMPRODUCT(($I$228:L228=L228)*1))</f>
        <v/>
      </c>
      <c r="M150" s="473" t="str">
        <f>IF(M228="","",SUMPRODUCT(($I$228:$XFD$228&lt;M228)*($I$228:$XFD$228&lt;&gt;""))+SUMPRODUCT(($I$228:M228=M228)*1))</f>
        <v/>
      </c>
      <c r="N150" s="473" t="str">
        <f>IF(N228="","",SUMPRODUCT(($I$228:$XFD$228&lt;N228)*($I$228:$XFD$228&lt;&gt;""))+SUMPRODUCT(($I$228:N228=N228)*1))</f>
        <v/>
      </c>
      <c r="O150" s="473" t="str">
        <f>IF(O228="","",SUMPRODUCT(($I$228:$XFD$228&lt;O228)*($I$228:$XFD$228&lt;&gt;""))+SUMPRODUCT(($I$228:O228=O228)*1))</f>
        <v/>
      </c>
      <c r="P150" s="473" t="str">
        <f>IF(P228="","",SUMPRODUCT(($I$228:$XFD$228&lt;P228)*($I$228:$XFD$228&lt;&gt;""))+SUMPRODUCT(($I$228:P228=P228)*1))</f>
        <v/>
      </c>
      <c r="Q150" s="473" t="str">
        <f>IF(Q228="","",SUMPRODUCT(($I$228:$XFD$228&lt;Q228)*($I$228:$XFD$228&lt;&gt;""))+SUMPRODUCT(($I$228:Q228=Q228)*1))</f>
        <v/>
      </c>
      <c r="R150" s="473" t="str">
        <f>IF(R228="","",SUMPRODUCT(($I$228:$XFD$228&lt;R228)*($I$228:$XFD$228&lt;&gt;""))+SUMPRODUCT(($I$228:R228=R228)*1))</f>
        <v/>
      </c>
      <c r="S150" s="108"/>
      <c r="T150" s="108"/>
    </row>
    <row r="151" spans="1:20" s="174" customFormat="1" ht="16.5" customHeight="1">
      <c r="B151" s="129"/>
      <c r="C151" s="586"/>
      <c r="D151" s="586"/>
      <c r="E151" s="586"/>
      <c r="F151" s="586"/>
      <c r="G151" s="586"/>
      <c r="H151" s="130"/>
      <c r="I151" s="401">
        <f>I162</f>
        <v>0</v>
      </c>
      <c r="J151" s="401">
        <f>J162</f>
        <v>0</v>
      </c>
      <c r="K151" s="401">
        <f t="shared" ref="K151" si="84">K162</f>
        <v>0</v>
      </c>
      <c r="L151" s="401">
        <f t="shared" ref="L151:M151" si="85">L162</f>
        <v>0</v>
      </c>
      <c r="M151" s="401">
        <f t="shared" si="85"/>
        <v>0</v>
      </c>
      <c r="N151" s="401">
        <f t="shared" ref="N151:O151" si="86">N162</f>
        <v>0</v>
      </c>
      <c r="O151" s="401">
        <f t="shared" si="86"/>
        <v>0</v>
      </c>
      <c r="P151" s="401">
        <f t="shared" ref="P151:R151" si="87">P162</f>
        <v>0</v>
      </c>
      <c r="Q151" s="401">
        <f t="shared" si="87"/>
        <v>0</v>
      </c>
      <c r="R151" s="401">
        <f t="shared" si="87"/>
        <v>0</v>
      </c>
      <c r="S151" s="108"/>
      <c r="T151" s="108"/>
    </row>
    <row r="152" spans="1:20" s="174" customFormat="1" ht="20" customHeight="1">
      <c r="B152" s="131" t="s">
        <v>88</v>
      </c>
      <c r="C152" s="132" t="str" cm="1">
        <f t="array" aca="1" ref="C152" ca="1">IFERROR(
  INDEX(
    tblStrings[],
    MATCH(
      1,
      (tblStrings[Cell]=SUBSTITUTE(CELL("adress",INDIRECT("RC",FALSE)),"$","")) *
      (tblStrings[Sheet]=AllStrings!$C$433),
      0
    ),
    MATCH(Språkval, tblStrings[#Headers], 0)
  ),
)</f>
        <v>Totalkostnad per rum</v>
      </c>
      <c r="D152" s="132"/>
      <c r="E152" s="132"/>
      <c r="F152" s="132"/>
      <c r="G152" s="132"/>
      <c r="H152" s="133" t="str" cm="1">
        <f t="array" aca="1" ref="H152" ca="1">IFERROR(
  INDEX(
    tblStrings[],
    MATCH(
      1,
      (tblStrings[Cell]=SUBSTITUTE(CELL("adress",INDIRECT("RC",FALSE)),"$","")) *
      (tblStrings[Sheet]=AllStrings!$C$433),
      0
    ),
    MATCH(Språkval, tblStrings[#Headers], 0)
  ),
)</f>
        <v>kr</v>
      </c>
      <c r="I152" s="402">
        <f ca="1">I175+I194*$I$196+I210*$I$212</f>
        <v>0</v>
      </c>
      <c r="J152" s="402">
        <f t="shared" ref="J152:N152" ca="1" si="88">J175+J194*$I$196+J210*$I$212</f>
        <v>0</v>
      </c>
      <c r="K152" s="402">
        <f t="shared" ca="1" si="88"/>
        <v>0</v>
      </c>
      <c r="L152" s="402">
        <f ca="1">L175+L194*$I$196+L210*$I$212</f>
        <v>0</v>
      </c>
      <c r="M152" s="402">
        <f t="shared" ca="1" si="88"/>
        <v>0</v>
      </c>
      <c r="N152" s="402">
        <f t="shared" ca="1" si="88"/>
        <v>0</v>
      </c>
      <c r="O152" s="402">
        <f t="shared" ref="O152:R152" ca="1" si="89">O175+O194*$I$196+O210*$I$212</f>
        <v>0</v>
      </c>
      <c r="P152" s="402">
        <f t="shared" ca="1" si="89"/>
        <v>0</v>
      </c>
      <c r="Q152" s="402">
        <f t="shared" ca="1" si="89"/>
        <v>0</v>
      </c>
      <c r="R152" s="402">
        <f t="shared" ca="1" si="89"/>
        <v>0</v>
      </c>
      <c r="S152" s="108"/>
      <c r="T152" s="108"/>
    </row>
    <row r="153" spans="1:20" s="174" customFormat="1" ht="20" customHeight="1">
      <c r="B153" s="131" t="s">
        <v>91</v>
      </c>
      <c r="C153" s="132" t="str" cm="1">
        <f t="array" aca="1" ref="C153" ca="1">IFERROR(
  INDEX(
    tblStrings[],
    MATCH(
      1,
      (tblStrings[Cell]=SUBSTITUTE(CELL("adress",INDIRECT("RC",FALSE)),"$","")) *
      (tblStrings[Sheet]=AllStrings!$C$433),
      0
    ),
    MATCH(Språkval, tblStrings[#Headers], 0)
  ),
)</f>
        <v>LENI-tal per rumstyp</v>
      </c>
      <c r="D153" s="132"/>
      <c r="E153" s="132"/>
      <c r="F153" s="132"/>
      <c r="G153" s="132"/>
      <c r="H153" s="133" t="str" cm="1">
        <f t="array" aca="1" ref="H153" ca="1">IFERROR(
  INDEX(
    tblStrings[],
    MATCH(
      1,
      (tblStrings[Cell]=SUBSTITUTE(CELL("adress",INDIRECT("RC",FALSE)),"$","")) *
      (tblStrings[Sheet]=AllStrings!$C$433),
      0
    ),
    MATCH(Språkval, tblStrings[#Headers], 0)
  ),
)</f>
        <v>kWh/m²/år</v>
      </c>
      <c r="I153" s="402" t="e">
        <f ca="1">I216</f>
        <v>#DIV/0!</v>
      </c>
      <c r="J153" s="402" t="e">
        <f ca="1">J216</f>
        <v>#DIV/0!</v>
      </c>
      <c r="K153" s="402" t="e">
        <f t="shared" ref="K153:R153" ca="1" si="90">K216</f>
        <v>#DIV/0!</v>
      </c>
      <c r="L153" s="402" t="e">
        <f t="shared" ca="1" si="90"/>
        <v>#DIV/0!</v>
      </c>
      <c r="M153" s="402" t="e">
        <f t="shared" ca="1" si="90"/>
        <v>#DIV/0!</v>
      </c>
      <c r="N153" s="402" t="e">
        <f t="shared" ca="1" si="90"/>
        <v>#DIV/0!</v>
      </c>
      <c r="O153" s="402" t="e">
        <f t="shared" ca="1" si="90"/>
        <v>#DIV/0!</v>
      </c>
      <c r="P153" s="402" t="e">
        <f t="shared" ca="1" si="90"/>
        <v>#DIV/0!</v>
      </c>
      <c r="Q153" s="402" t="e">
        <f t="shared" ca="1" si="90"/>
        <v>#DIV/0!</v>
      </c>
      <c r="R153" s="402" t="e">
        <f t="shared" ca="1" si="90"/>
        <v>#DIV/0!</v>
      </c>
      <c r="S153" s="108"/>
      <c r="T153" s="108"/>
    </row>
    <row r="154" spans="1:20" s="174" customFormat="1" ht="30" customHeight="1">
      <c r="B154" s="123"/>
      <c r="C154" s="134" t="str" cm="1">
        <f t="array" aca="1" ref="C154" ca="1">IFERROR(
  INDEX(
    tblStrings[],
    MATCH(
      1,
      (tblStrings[Cell]=SUBSTITUTE(CELL("adress",INDIRECT("RC",FALSE)),"$","")) *
      (tblStrings[Sheet]=AllStrings!$C$433),
      0
    ),
    MATCH(Språkval, tblStrings[#Headers], 0)
  ),
)</f>
        <v>RESULTAT FÖR HELA ANLÄGGNINGEN</v>
      </c>
      <c r="D154" s="135"/>
      <c r="E154" s="135"/>
      <c r="F154" s="135"/>
      <c r="G154" s="135"/>
      <c r="H154" s="133"/>
      <c r="I154" s="403"/>
      <c r="J154" s="403"/>
      <c r="K154" s="403"/>
      <c r="L154" s="403"/>
      <c r="M154" s="403"/>
      <c r="N154" s="403"/>
      <c r="O154" s="403"/>
      <c r="P154" s="403"/>
      <c r="Q154" s="403"/>
      <c r="R154" s="403"/>
      <c r="S154" s="108"/>
      <c r="T154" s="108"/>
    </row>
    <row r="155" spans="1:20" s="174" customFormat="1" ht="20" customHeight="1">
      <c r="B155" s="123" t="s">
        <v>95</v>
      </c>
      <c r="C155" s="587" t="str" cm="1">
        <f t="array" aca="1" ref="C155" ca="1">IFERROR(
  INDEX(
    tblStrings[],
    MATCH(
      1,
      (tblStrings[Cell]=SUBSTITUTE(CELL("adress",INDIRECT("RC",FALSE)),"$","")) *
      (tblStrings[Sheet]=AllStrings!$C$433),
      0
    ),
    MATCH(Språkval, tblStrings[#Headers], 0)
  ),
)</f>
        <v>TOTAL KOSTNAD</v>
      </c>
      <c r="D155" s="587"/>
      <c r="E155" s="587"/>
      <c r="F155" s="587"/>
      <c r="G155" s="587"/>
      <c r="H155" s="133" t="str">
        <f ca="1">$H$152</f>
        <v>kr</v>
      </c>
      <c r="I155" s="403">
        <f ca="1">I176+I197+I213</f>
        <v>0</v>
      </c>
      <c r="J155" s="403"/>
      <c r="K155" s="403"/>
      <c r="L155" s="403"/>
      <c r="M155" s="403"/>
      <c r="N155" s="403"/>
      <c r="O155" s="403"/>
      <c r="P155" s="403"/>
      <c r="Q155" s="403"/>
      <c r="R155" s="403"/>
      <c r="S155" s="108"/>
      <c r="T155" s="108"/>
    </row>
    <row r="156" spans="1:20" s="174" customFormat="1" ht="20" customHeight="1">
      <c r="B156" s="123" t="s">
        <v>97</v>
      </c>
      <c r="C156" s="136" t="str" cm="1">
        <f t="array" aca="1" ref="C156" ca="1">IFERROR(
  INDEX(
    tblStrings[],
    MATCH(
      1,
      (tblStrings[Cell]=SUBSTITUTE(CELL("adress",INDIRECT("RC",FALSE)),"$","")) *
      (tblStrings[Sheet]=AllStrings!$C$433),
      0
    ),
    MATCH(Språkval, tblStrings[#Headers], 0)
  ),
)</f>
        <v>Energikostnad per år</v>
      </c>
      <c r="D156" s="135"/>
      <c r="E156" s="135"/>
      <c r="F156" s="135"/>
      <c r="G156" s="135"/>
      <c r="H156" s="133" t="str">
        <f t="shared" ref="H156:H157" ca="1" si="91">$H$152</f>
        <v>kr</v>
      </c>
      <c r="I156" s="403">
        <f ca="1">I195</f>
        <v>0</v>
      </c>
      <c r="J156" s="403"/>
      <c r="K156" s="403"/>
      <c r="L156" s="403"/>
      <c r="M156" s="403"/>
      <c r="N156" s="403"/>
      <c r="O156" s="403"/>
      <c r="P156" s="403"/>
      <c r="Q156" s="403"/>
      <c r="R156" s="403"/>
      <c r="S156" s="108"/>
      <c r="T156" s="108"/>
    </row>
    <row r="157" spans="1:20" s="174" customFormat="1" ht="20" customHeight="1">
      <c r="B157" s="123" t="s">
        <v>99</v>
      </c>
      <c r="C157" s="136" t="str" cm="1">
        <f t="array" aca="1" ref="C157" ca="1">IFERROR(
  INDEX(
    tblStrings[],
    MATCH(
      1,
      (tblStrings[Cell]=SUBSTITUTE(CELL("adress",INDIRECT("RC",FALSE)),"$","")) *
      (tblStrings[Sheet]=AllStrings!$C$433),
      0
    ),
    MATCH(Språkval, tblStrings[#Headers], 0)
  ),
)</f>
        <v>Energikostnader under hela livslängden</v>
      </c>
      <c r="D157" s="135"/>
      <c r="E157" s="135"/>
      <c r="F157" s="135"/>
      <c r="G157" s="135"/>
      <c r="H157" s="133" t="str">
        <f t="shared" ca="1" si="91"/>
        <v>kr</v>
      </c>
      <c r="I157" s="403">
        <f ca="1">I197</f>
        <v>0</v>
      </c>
      <c r="J157" s="403"/>
      <c r="K157" s="403"/>
      <c r="L157" s="403"/>
      <c r="M157" s="403"/>
      <c r="N157" s="403"/>
      <c r="O157" s="403"/>
      <c r="P157" s="403"/>
      <c r="Q157" s="403"/>
      <c r="R157" s="403"/>
      <c r="S157" s="108"/>
      <c r="T157" s="108"/>
    </row>
    <row r="158" spans="1:20" s="174" customFormat="1" ht="20" customHeight="1">
      <c r="B158" s="123" t="s">
        <v>101</v>
      </c>
      <c r="C158" s="587" t="str" cm="1">
        <f t="array" aca="1" ref="C158" ca="1">IFERROR(
  INDEX(
    tblStrings[],
    MATCH(
      1,
      (tblStrings[Cell]=SUBSTITUTE(CELL("adress",INDIRECT("RC",FALSE)),"$","")) *
      (tblStrings[Sheet]=AllStrings!$C$433),
      0
    ),
    MATCH(Språkval, tblStrings[#Headers], 0)
  ),
)</f>
        <v>Klimatpåverkan</v>
      </c>
      <c r="D158" s="587"/>
      <c r="E158" s="587"/>
      <c r="F158" s="587"/>
      <c r="G158" s="587"/>
      <c r="H158" s="133" t="str" cm="1">
        <f t="array" aca="1" ref="H158" ca="1">IFERROR(
  INDEX(
    tblStrings[],
    MATCH(
      1,
      (tblStrings[Cell]=SUBSTITUTE(CELL("adress",INDIRECT("RC",FALSE)),"$","")) *
      (tblStrings[Sheet]=AllStrings!$C$433),
      0
    ),
    MATCH(Språkval, tblStrings[#Headers], 0)
  ),
)</f>
        <v>kgCO2e/år</v>
      </c>
      <c r="I158" s="403">
        <f ca="1">SUM(I215:XFD215)</f>
        <v>0</v>
      </c>
      <c r="J158" s="403"/>
      <c r="K158" s="403"/>
      <c r="L158" s="403"/>
      <c r="M158" s="403"/>
      <c r="N158" s="403"/>
      <c r="O158" s="403"/>
      <c r="P158" s="403"/>
      <c r="Q158" s="403"/>
      <c r="R158" s="403"/>
      <c r="S158" s="108"/>
      <c r="T158" s="108"/>
    </row>
    <row r="159" spans="1:20" s="174" customFormat="1" ht="20" customHeight="1">
      <c r="B159" s="123"/>
      <c r="C159" s="135"/>
      <c r="D159" s="135"/>
      <c r="E159" s="135"/>
      <c r="F159" s="135"/>
      <c r="G159" s="135"/>
      <c r="H159" s="133"/>
      <c r="I159" s="403"/>
      <c r="J159" s="403"/>
      <c r="K159" s="403"/>
      <c r="L159" s="403"/>
      <c r="M159" s="403"/>
      <c r="N159" s="403"/>
      <c r="O159" s="403"/>
      <c r="P159" s="403"/>
      <c r="Q159" s="403"/>
      <c r="R159" s="403"/>
      <c r="S159" s="108"/>
      <c r="T159" s="108"/>
    </row>
    <row r="160" spans="1:20" s="174" customFormat="1" ht="16.5" customHeight="1">
      <c r="B160" s="129"/>
      <c r="C160" s="586"/>
      <c r="D160" s="586"/>
      <c r="E160" s="586"/>
      <c r="F160" s="586"/>
      <c r="G160" s="586"/>
      <c r="H160" s="130"/>
      <c r="I160" s="129"/>
      <c r="J160" s="472"/>
      <c r="K160" s="472"/>
      <c r="L160" s="472"/>
      <c r="M160" s="472"/>
      <c r="N160" s="472"/>
      <c r="O160" s="472"/>
      <c r="P160" s="472"/>
      <c r="Q160" s="472"/>
      <c r="R160" s="472"/>
      <c r="S160" s="108"/>
      <c r="T160" s="108"/>
    </row>
    <row r="161" spans="2:20" s="182" customFormat="1" ht="26.25" hidden="1" customHeight="1" outlineLevel="1">
      <c r="B161" s="404"/>
      <c r="C161" s="405" t="str" cm="1">
        <f t="array" ref="C161">IFERROR(
  INDEX(
    tblStrings[],
    MATCH(
      1,
      (tblStrings[Cell]="C2") *
      (tblStrings[Sheet]=AllStrings!$C$433),
      0
    ),
    MATCH(Språkval, tblStrings[#Headers], 0)
  ),
)</f>
        <v>LCC-kalkyl</v>
      </c>
      <c r="D161" s="404"/>
      <c r="E161" s="406"/>
      <c r="F161" s="404"/>
      <c r="G161" s="404"/>
      <c r="H161" s="404"/>
      <c r="I161" s="474"/>
      <c r="J161" s="474"/>
      <c r="K161" s="474"/>
      <c r="L161" s="474"/>
      <c r="M161" s="474"/>
      <c r="N161" s="474"/>
      <c r="O161" s="474"/>
      <c r="P161" s="474"/>
      <c r="Q161" s="474"/>
      <c r="R161" s="474"/>
      <c r="S161" s="404"/>
      <c r="T161" s="404"/>
    </row>
    <row r="162" spans="2:20" s="183" customFormat="1" ht="24" hidden="1" customHeight="1" outlineLevel="1">
      <c r="B162" s="137"/>
      <c r="C162" s="588"/>
      <c r="D162" s="588"/>
      <c r="E162" s="588"/>
      <c r="F162" s="588"/>
      <c r="G162" s="588"/>
      <c r="H162" s="138"/>
      <c r="I162" s="407">
        <f t="shared" ref="I162:R162" si="92">I19</f>
        <v>0</v>
      </c>
      <c r="J162" s="407">
        <f t="shared" si="92"/>
        <v>0</v>
      </c>
      <c r="K162" s="407">
        <f t="shared" si="92"/>
        <v>0</v>
      </c>
      <c r="L162" s="408">
        <f t="shared" si="92"/>
        <v>0</v>
      </c>
      <c r="M162" s="408">
        <f t="shared" si="92"/>
        <v>0</v>
      </c>
      <c r="N162" s="408">
        <f t="shared" si="92"/>
        <v>0</v>
      </c>
      <c r="O162" s="408">
        <f t="shared" si="92"/>
        <v>0</v>
      </c>
      <c r="P162" s="408">
        <f t="shared" si="92"/>
        <v>0</v>
      </c>
      <c r="Q162" s="408">
        <f t="shared" si="92"/>
        <v>0</v>
      </c>
      <c r="R162" s="408">
        <f t="shared" si="92"/>
        <v>0</v>
      </c>
      <c r="S162" s="108"/>
      <c r="T162" s="108"/>
    </row>
    <row r="163" spans="2:20" ht="14" hidden="1" outlineLevel="1">
      <c r="B163" s="409"/>
      <c r="C163" s="626" t="str" cm="1">
        <f t="array" aca="1" ref="C163" ca="1">IFERROR(
  INDEX(
    tblStrings[],
    MATCH(
      1,
      (tblStrings[Cell]=SUBSTITUTE(CELL("adress",INDIRECT("RC",FALSE)),"$","")) *
      (tblStrings[Sheet]=AllStrings!$C$433),
      0
    ),
    MATCH(Språkval, tblStrings[#Headers], 0)
  ),
)</f>
        <v>INVESTERINGSKOSTNADER</v>
      </c>
      <c r="D163" s="626"/>
      <c r="E163" s="626"/>
      <c r="F163" s="626"/>
      <c r="G163" s="626"/>
      <c r="H163" s="409"/>
      <c r="I163" s="410"/>
      <c r="J163" s="410"/>
      <c r="K163" s="410"/>
      <c r="L163" s="411"/>
      <c r="M163" s="411"/>
      <c r="N163" s="411"/>
      <c r="O163" s="411"/>
      <c r="P163" s="411"/>
      <c r="Q163" s="411"/>
      <c r="R163" s="411"/>
      <c r="S163" s="412"/>
      <c r="T163" s="412"/>
    </row>
    <row r="164" spans="2:20" hidden="1" outlineLevel="1">
      <c r="B164" s="139"/>
      <c r="C164" s="596" t="str" cm="1">
        <f t="array" aca="1" ref="C164" ca="1">IFERROR(
  INDEX(
    tblStrings[],
    MATCH(
      1,
      (tblStrings[Cell]=SUBSTITUTE(CELL("adress",INDIRECT("RC",FALSE)),"$","")) *
      (tblStrings[Sheet]=AllStrings!$C$433),
      0
    ),
    MATCH(Språkval, tblStrings[#Headers], 0)
  ),
)</f>
        <v>Investeringskostnader</v>
      </c>
      <c r="D164" s="596"/>
      <c r="E164" s="596"/>
      <c r="F164" s="596"/>
      <c r="G164" s="596"/>
      <c r="H164" s="138"/>
      <c r="I164" s="354"/>
      <c r="J164" s="354"/>
      <c r="K164" s="354"/>
      <c r="L164" s="354"/>
      <c r="M164" s="354"/>
      <c r="N164" s="354"/>
      <c r="O164" s="354"/>
      <c r="P164" s="354"/>
      <c r="Q164" s="354"/>
      <c r="R164" s="354"/>
      <c r="S164" s="108"/>
      <c r="T164" s="108"/>
    </row>
    <row r="165" spans="2:20" hidden="1" outlineLevel="1">
      <c r="B165" s="139"/>
      <c r="C165" s="624" t="str" cm="1">
        <f t="array" aca="1" ref="C165" ca="1">IFERROR(
  INDEX(
    tblStrings[],
    MATCH(
      1,
      (tblStrings[Cell]=SUBSTITUTE(CELL("adress",INDIRECT("RC",FALSE)),"$","")) *
      (tblStrings[Sheet]=AllStrings!$C$433),
      0
    ),
    MATCH(Språkval, tblStrings[#Headers], 0)
  ),
)</f>
        <v>Armatur 1</v>
      </c>
      <c r="D165" s="624"/>
      <c r="E165" s="624"/>
      <c r="F165" s="624"/>
      <c r="G165" s="624"/>
      <c r="H165" s="137" t="str">
        <f ca="1">$H$155</f>
        <v>kr</v>
      </c>
      <c r="I165" s="413">
        <f>I$23*(I27*(I28+I29))</f>
        <v>0</v>
      </c>
      <c r="J165" s="413">
        <f>J$23*(J27*(J28+J29))</f>
        <v>0</v>
      </c>
      <c r="K165" s="413">
        <f t="shared" ref="K165:M165" si="93">K$23*(K27*(K28+K29))</f>
        <v>0</v>
      </c>
      <c r="L165" s="413">
        <f t="shared" si="93"/>
        <v>0</v>
      </c>
      <c r="M165" s="413">
        <f t="shared" si="93"/>
        <v>0</v>
      </c>
      <c r="N165" s="413">
        <f t="shared" ref="N165:O165" si="94">N$23*(N27*(N28+N29))</f>
        <v>0</v>
      </c>
      <c r="O165" s="413">
        <f t="shared" si="94"/>
        <v>0</v>
      </c>
      <c r="P165" s="413">
        <f t="shared" ref="P165:R165" si="95">P$23*(P27*(P28+P29))</f>
        <v>0</v>
      </c>
      <c r="Q165" s="413">
        <f t="shared" si="95"/>
        <v>0</v>
      </c>
      <c r="R165" s="413">
        <f t="shared" si="95"/>
        <v>0</v>
      </c>
      <c r="S165" s="108"/>
      <c r="T165" s="108"/>
    </row>
    <row r="166" spans="2:20" hidden="1" outlineLevel="1">
      <c r="B166" s="139"/>
      <c r="C166" s="624" t="str" cm="1">
        <f t="array" aca="1" ref="C166" ca="1">IFERROR(
  INDEX(
    tblStrings[],
    MATCH(
      1,
      (tblStrings[Cell]=SUBSTITUTE(CELL("adress",INDIRECT("RC",FALSE)),"$","")) *
      (tblStrings[Sheet]=AllStrings!$C$433),
      0
    ),
    MATCH(Språkval, tblStrings[#Headers], 0)
  ),
)</f>
        <v>Armatur 2</v>
      </c>
      <c r="D166" s="624"/>
      <c r="E166" s="624"/>
      <c r="F166" s="624"/>
      <c r="G166" s="624"/>
      <c r="H166" s="137" t="str">
        <f t="shared" ref="H166:H176" ca="1" si="96">$H$155</f>
        <v>kr</v>
      </c>
      <c r="I166" s="413">
        <f>I$23*(I39*(I40+I41))</f>
        <v>0</v>
      </c>
      <c r="J166" s="413">
        <f>J$23*(J39*(J40+J41))</f>
        <v>0</v>
      </c>
      <c r="K166" s="413">
        <f t="shared" ref="K166:M166" si="97">K$23*(K39*(K40+K41))</f>
        <v>0</v>
      </c>
      <c r="L166" s="413">
        <f t="shared" si="97"/>
        <v>0</v>
      </c>
      <c r="M166" s="413">
        <f t="shared" si="97"/>
        <v>0</v>
      </c>
      <c r="N166" s="413">
        <f t="shared" ref="N166" si="98">N$23*(N39*(N40+N41))</f>
        <v>0</v>
      </c>
      <c r="O166" s="413">
        <f>O$23*(O38*(O40+O41))</f>
        <v>0</v>
      </c>
      <c r="P166" s="413">
        <f t="shared" ref="P166:R166" si="99">P$23*(P39*(P40+P41))</f>
        <v>0</v>
      </c>
      <c r="Q166" s="413">
        <f t="shared" si="99"/>
        <v>0</v>
      </c>
      <c r="R166" s="413">
        <f t="shared" si="99"/>
        <v>0</v>
      </c>
      <c r="S166" s="108"/>
      <c r="T166" s="108"/>
    </row>
    <row r="167" spans="2:20" hidden="1" outlineLevel="1">
      <c r="B167" s="139"/>
      <c r="C167" s="624" t="str" cm="1">
        <f t="array" aca="1" ref="C167" ca="1">IFERROR(
  INDEX(
    tblStrings[],
    MATCH(
      1,
      (tblStrings[Cell]=SUBSTITUTE(CELL("adress",INDIRECT("RC",FALSE)),"$","")) *
      (tblStrings[Sheet]=AllStrings!$C$433),
      0
    ),
    MATCH(Språkval, tblStrings[#Headers], 0)
  ),
)</f>
        <v>Armatur 3</v>
      </c>
      <c r="D167" s="624"/>
      <c r="E167" s="624"/>
      <c r="F167" s="624"/>
      <c r="G167" s="624"/>
      <c r="H167" s="137" t="str">
        <f t="shared" ca="1" si="96"/>
        <v>kr</v>
      </c>
      <c r="I167" s="413">
        <f>I$23*(I51*(I52+I53))</f>
        <v>0</v>
      </c>
      <c r="J167" s="413">
        <f>J$23*(J51*(J52+J53))</f>
        <v>0</v>
      </c>
      <c r="K167" s="413">
        <f t="shared" ref="K167:M167" si="100">K$23*(K51*(K52+K53))</f>
        <v>0</v>
      </c>
      <c r="L167" s="413">
        <f t="shared" si="100"/>
        <v>0</v>
      </c>
      <c r="M167" s="413">
        <f t="shared" si="100"/>
        <v>0</v>
      </c>
      <c r="N167" s="413">
        <f t="shared" ref="N167:O167" si="101">N$23*(N51*(N52+N53))</f>
        <v>0</v>
      </c>
      <c r="O167" s="413">
        <f t="shared" si="101"/>
        <v>0</v>
      </c>
      <c r="P167" s="413">
        <f t="shared" ref="P167:R167" si="102">P$23*(P51*(P52+P53))</f>
        <v>0</v>
      </c>
      <c r="Q167" s="413">
        <f t="shared" si="102"/>
        <v>0</v>
      </c>
      <c r="R167" s="413">
        <f t="shared" si="102"/>
        <v>0</v>
      </c>
      <c r="S167" s="108"/>
      <c r="T167" s="108"/>
    </row>
    <row r="168" spans="2:20" hidden="1" outlineLevel="1">
      <c r="B168" s="139"/>
      <c r="C168" s="624" t="str" cm="1">
        <f t="array" aca="1" ref="C168" ca="1">IFERROR(
  INDEX(
    tblStrings[],
    MATCH(
      1,
      (tblStrings[Cell]=SUBSTITUTE(CELL("adress",INDIRECT("RC",FALSE)),"$","")) *
      (tblStrings[Sheet]=AllStrings!$C$433),
      0
    ),
    MATCH(Språkval, tblStrings[#Headers], 0)
  ),
)</f>
        <v>Armatur 4</v>
      </c>
      <c r="D168" s="624"/>
      <c r="E168" s="624"/>
      <c r="F168" s="624"/>
      <c r="G168" s="624"/>
      <c r="H168" s="137" t="str">
        <f t="shared" ca="1" si="96"/>
        <v>kr</v>
      </c>
      <c r="I168" s="413">
        <f>I$23*(I63*(I64+I65))</f>
        <v>0</v>
      </c>
      <c r="J168" s="413">
        <f>J$23*(J63*(J64+J65))</f>
        <v>0</v>
      </c>
      <c r="K168" s="413">
        <f t="shared" ref="K168:M168" si="103">K$23*(K63*(K64+K65))</f>
        <v>0</v>
      </c>
      <c r="L168" s="413">
        <f t="shared" si="103"/>
        <v>0</v>
      </c>
      <c r="M168" s="413">
        <f t="shared" si="103"/>
        <v>0</v>
      </c>
      <c r="N168" s="413">
        <f t="shared" ref="N168:O168" si="104">N$23*(N63*(N64+N65))</f>
        <v>0</v>
      </c>
      <c r="O168" s="413">
        <f t="shared" si="104"/>
        <v>0</v>
      </c>
      <c r="P168" s="413">
        <f t="shared" ref="P168:R168" si="105">P$23*(P63*(P64+P65))</f>
        <v>0</v>
      </c>
      <c r="Q168" s="413">
        <f t="shared" si="105"/>
        <v>0</v>
      </c>
      <c r="R168" s="413">
        <f t="shared" si="105"/>
        <v>0</v>
      </c>
      <c r="S168" s="108"/>
      <c r="T168" s="108"/>
    </row>
    <row r="169" spans="2:20" hidden="1" outlineLevel="1">
      <c r="B169" s="139"/>
      <c r="C169" s="624" t="str" cm="1">
        <f t="array" aca="1" ref="C169" ca="1">IFERROR(
  INDEX(
    tblStrings[],
    MATCH(
      1,
      (tblStrings[Cell]=SUBSTITUTE(CELL("adress",INDIRECT("RC",FALSE)),"$","")) *
      (tblStrings[Sheet]=AllStrings!$C$433),
      0
    ),
    MATCH(Språkval, tblStrings[#Headers], 0)
  ),
)</f>
        <v>Armatur 5</v>
      </c>
      <c r="D169" s="624"/>
      <c r="E169" s="624"/>
      <c r="F169" s="624"/>
      <c r="G169" s="624"/>
      <c r="H169" s="137" t="str">
        <f t="shared" ca="1" si="96"/>
        <v>kr</v>
      </c>
      <c r="I169" s="413">
        <f>I$23*(I75*(I76+I77))</f>
        <v>0</v>
      </c>
      <c r="J169" s="413">
        <f>J$23*(J75*(J76+J77))</f>
        <v>0</v>
      </c>
      <c r="K169" s="413">
        <f t="shared" ref="K169:M169" si="106">K$23*(K75*(K76+K77))</f>
        <v>0</v>
      </c>
      <c r="L169" s="413">
        <f t="shared" si="106"/>
        <v>0</v>
      </c>
      <c r="M169" s="413">
        <f t="shared" si="106"/>
        <v>0</v>
      </c>
      <c r="N169" s="413">
        <f t="shared" ref="N169:O169" si="107">N$23*(N75*(N76+N77))</f>
        <v>0</v>
      </c>
      <c r="O169" s="413">
        <f t="shared" si="107"/>
        <v>0</v>
      </c>
      <c r="P169" s="413">
        <f t="shared" ref="P169:R169" si="108">P$23*(P75*(P76+P77))</f>
        <v>0</v>
      </c>
      <c r="Q169" s="413">
        <f t="shared" si="108"/>
        <v>0</v>
      </c>
      <c r="R169" s="413">
        <f t="shared" si="108"/>
        <v>0</v>
      </c>
      <c r="S169" s="108"/>
      <c r="T169" s="108"/>
    </row>
    <row r="170" spans="2:20" hidden="1" outlineLevel="1">
      <c r="B170" s="139"/>
      <c r="C170" s="624" t="str" cm="1">
        <f t="array" aca="1" ref="C170" ca="1">IFERROR(
  INDEX(
    tblStrings[],
    MATCH(
      1,
      (tblStrings[Cell]=SUBSTITUTE(CELL("adress",INDIRECT("RC",FALSE)),"$","")) *
      (tblStrings[Sheet]=AllStrings!$C$433),
      0
    ),
    MATCH(Språkval, tblStrings[#Headers], 0)
  ),
)</f>
        <v>Armatur 6</v>
      </c>
      <c r="D170" s="624"/>
      <c r="E170" s="624"/>
      <c r="F170" s="624"/>
      <c r="G170" s="624"/>
      <c r="H170" s="137" t="str">
        <f t="shared" ca="1" si="96"/>
        <v>kr</v>
      </c>
      <c r="I170" s="413">
        <f>I$23*(I87*(I88+I89))</f>
        <v>0</v>
      </c>
      <c r="J170" s="413">
        <f>J$23*(J87*(J88+J89))</f>
        <v>0</v>
      </c>
      <c r="K170" s="413">
        <f t="shared" ref="K170:M170" si="109">K$23*(K87*(K88+K89))</f>
        <v>0</v>
      </c>
      <c r="L170" s="413">
        <f t="shared" si="109"/>
        <v>0</v>
      </c>
      <c r="M170" s="413">
        <f t="shared" si="109"/>
        <v>0</v>
      </c>
      <c r="N170" s="413">
        <f t="shared" ref="N170:O170" si="110">N$23*(N87*(N88+N89))</f>
        <v>0</v>
      </c>
      <c r="O170" s="413">
        <f t="shared" si="110"/>
        <v>0</v>
      </c>
      <c r="P170" s="413">
        <f t="shared" ref="P170:R170" si="111">P$23*(P87*(P88+P89))</f>
        <v>0</v>
      </c>
      <c r="Q170" s="413">
        <f t="shared" si="111"/>
        <v>0</v>
      </c>
      <c r="R170" s="413">
        <f t="shared" si="111"/>
        <v>0</v>
      </c>
      <c r="S170" s="108"/>
      <c r="T170" s="108"/>
    </row>
    <row r="171" spans="2:20" hidden="1" outlineLevel="1">
      <c r="B171" s="139"/>
      <c r="C171" s="624" t="str" cm="1">
        <f t="array" aca="1" ref="C171" ca="1">IFERROR(
  INDEX(
    tblStrings[],
    MATCH(
      1,
      (tblStrings[Cell]=SUBSTITUTE(CELL("adress",INDIRECT("RC",FALSE)),"$","")) *
      (tblStrings[Sheet]=AllStrings!$C$433),
      0
    ),
    MATCH(Språkval, tblStrings[#Headers], 0)
  ),
)</f>
        <v>Armatur 7</v>
      </c>
      <c r="D171" s="624"/>
      <c r="E171" s="624"/>
      <c r="F171" s="624"/>
      <c r="G171" s="624"/>
      <c r="H171" s="137" t="str">
        <f t="shared" ca="1" si="96"/>
        <v>kr</v>
      </c>
      <c r="I171" s="413">
        <f>I$23*(I99*(I100+I101))</f>
        <v>0</v>
      </c>
      <c r="J171" s="413">
        <f>J$23*(J99*(J100+J101))</f>
        <v>0</v>
      </c>
      <c r="K171" s="413">
        <f t="shared" ref="K171:M171" si="112">K$23*(K99*(K100+K101))</f>
        <v>0</v>
      </c>
      <c r="L171" s="413">
        <f t="shared" si="112"/>
        <v>0</v>
      </c>
      <c r="M171" s="413">
        <f t="shared" si="112"/>
        <v>0</v>
      </c>
      <c r="N171" s="413">
        <f t="shared" ref="N171:O171" si="113">N$23*(N99*(N100+N101))</f>
        <v>0</v>
      </c>
      <c r="O171" s="413">
        <f t="shared" si="113"/>
        <v>0</v>
      </c>
      <c r="P171" s="413">
        <f t="shared" ref="P171:R171" si="114">P$23*(P99*(P100+P101))</f>
        <v>0</v>
      </c>
      <c r="Q171" s="413">
        <f t="shared" si="114"/>
        <v>0</v>
      </c>
      <c r="R171" s="413">
        <f t="shared" si="114"/>
        <v>0</v>
      </c>
      <c r="S171" s="108"/>
      <c r="T171" s="108"/>
    </row>
    <row r="172" spans="2:20" hidden="1" outlineLevel="1">
      <c r="B172" s="139"/>
      <c r="C172" s="624" t="str" cm="1">
        <f t="array" aca="1" ref="C172" ca="1">IFERROR(
  INDEX(
    tblStrings[],
    MATCH(
      1,
      (tblStrings[Cell]=SUBSTITUTE(CELL("adress",INDIRECT("RC",FALSE)),"$","")) *
      (tblStrings[Sheet]=AllStrings!$C$433),
      0
    ),
    MATCH(Språkval, tblStrings[#Headers], 0)
  ),
)</f>
        <v>Armatur 8</v>
      </c>
      <c r="D172" s="624"/>
      <c r="E172" s="624"/>
      <c r="F172" s="624"/>
      <c r="G172" s="624"/>
      <c r="H172" s="137" t="str">
        <f t="shared" ca="1" si="96"/>
        <v>kr</v>
      </c>
      <c r="I172" s="413">
        <f>I$23*(I111*(I112+I113))</f>
        <v>0</v>
      </c>
      <c r="J172" s="413">
        <f>J$23*(J111*(J112+J113))</f>
        <v>0</v>
      </c>
      <c r="K172" s="413">
        <f t="shared" ref="K172:M172" si="115">K$23*(K111*(K112+K113))</f>
        <v>0</v>
      </c>
      <c r="L172" s="413">
        <f t="shared" si="115"/>
        <v>0</v>
      </c>
      <c r="M172" s="413">
        <f t="shared" si="115"/>
        <v>0</v>
      </c>
      <c r="N172" s="413">
        <f t="shared" ref="N172:O172" si="116">N$23*(N111*(N112+N113))</f>
        <v>0</v>
      </c>
      <c r="O172" s="413">
        <f t="shared" si="116"/>
        <v>0</v>
      </c>
      <c r="P172" s="413">
        <f t="shared" ref="P172:R172" si="117">P$23*(P111*(P112+P113))</f>
        <v>0</v>
      </c>
      <c r="Q172" s="413">
        <f t="shared" si="117"/>
        <v>0</v>
      </c>
      <c r="R172" s="413">
        <f t="shared" si="117"/>
        <v>0</v>
      </c>
      <c r="S172" s="108"/>
      <c r="T172" s="108"/>
    </row>
    <row r="173" spans="2:20" hidden="1" outlineLevel="1">
      <c r="B173" s="139"/>
      <c r="C173" s="624" t="str" cm="1">
        <f t="array" aca="1" ref="C173" ca="1">IFERROR(
  INDEX(
    tblStrings[],
    MATCH(
      1,
      (tblStrings[Cell]=SUBSTITUTE(CELL("adress",INDIRECT("RC",FALSE)),"$","")) *
      (tblStrings[Sheet]=AllStrings!$C$433),
      0
    ),
    MATCH(Språkval, tblStrings[#Headers], 0)
  ),
)</f>
        <v>Armatur 9</v>
      </c>
      <c r="D173" s="624"/>
      <c r="E173" s="624"/>
      <c r="F173" s="624"/>
      <c r="G173" s="624"/>
      <c r="H173" s="137" t="str">
        <f t="shared" ca="1" si="96"/>
        <v>kr</v>
      </c>
      <c r="I173" s="413">
        <f>I$23*(I123*(I124+I125))</f>
        <v>0</v>
      </c>
      <c r="J173" s="413">
        <f>J$23*(J123*(J124+J125))</f>
        <v>0</v>
      </c>
      <c r="K173" s="413">
        <f t="shared" ref="K173:M173" si="118">K$23*(K123*(K124+K125))</f>
        <v>0</v>
      </c>
      <c r="L173" s="413">
        <f t="shared" si="118"/>
        <v>0</v>
      </c>
      <c r="M173" s="413">
        <f t="shared" si="118"/>
        <v>0</v>
      </c>
      <c r="N173" s="413">
        <f t="shared" ref="N173:O173" si="119">N$23*(N123*(N124+N125))</f>
        <v>0</v>
      </c>
      <c r="O173" s="413">
        <f t="shared" si="119"/>
        <v>0</v>
      </c>
      <c r="P173" s="413">
        <f t="shared" ref="P173:R173" si="120">P$23*(P123*(P124+P125))</f>
        <v>0</v>
      </c>
      <c r="Q173" s="413">
        <f t="shared" si="120"/>
        <v>0</v>
      </c>
      <c r="R173" s="413">
        <f t="shared" si="120"/>
        <v>0</v>
      </c>
      <c r="S173" s="108"/>
      <c r="T173" s="108"/>
    </row>
    <row r="174" spans="2:20" hidden="1" outlineLevel="1">
      <c r="B174" s="139"/>
      <c r="C174" s="624" t="str" cm="1">
        <f t="array" aca="1" ref="C174" ca="1">IFERROR(
  INDEX(
    tblStrings[],
    MATCH(
      1,
      (tblStrings[Cell]=SUBSTITUTE(CELL("adress",INDIRECT("RC",FALSE)),"$","")) *
      (tblStrings[Sheet]=AllStrings!$C$433),
      0
    ),
    MATCH(Språkval, tblStrings[#Headers], 0)
  ),
)</f>
        <v>Armatur 10</v>
      </c>
      <c r="D174" s="624"/>
      <c r="E174" s="624"/>
      <c r="F174" s="624"/>
      <c r="G174" s="624"/>
      <c r="H174" s="137" t="str">
        <f t="shared" ca="1" si="96"/>
        <v>kr</v>
      </c>
      <c r="I174" s="413">
        <f>I$23*(I135*(I136+I137))</f>
        <v>0</v>
      </c>
      <c r="J174" s="413">
        <f>J$23*(J135*(J136+J137))</f>
        <v>0</v>
      </c>
      <c r="K174" s="413">
        <f t="shared" ref="K174:M174" si="121">K$23*(K135*(K136+K137))</f>
        <v>0</v>
      </c>
      <c r="L174" s="413">
        <f t="shared" si="121"/>
        <v>0</v>
      </c>
      <c r="M174" s="413">
        <f t="shared" si="121"/>
        <v>0</v>
      </c>
      <c r="N174" s="413">
        <f t="shared" ref="N174:O174" si="122">N$23*(N135*(N136+N137))</f>
        <v>0</v>
      </c>
      <c r="O174" s="413">
        <f t="shared" si="122"/>
        <v>0</v>
      </c>
      <c r="P174" s="413">
        <f t="shared" ref="P174:R174" si="123">P$23*(P135*(P136+P137))</f>
        <v>0</v>
      </c>
      <c r="Q174" s="413">
        <f t="shared" si="123"/>
        <v>0</v>
      </c>
      <c r="R174" s="413">
        <f t="shared" si="123"/>
        <v>0</v>
      </c>
      <c r="S174" s="108"/>
      <c r="T174" s="108"/>
    </row>
    <row r="175" spans="2:20" hidden="1" outlineLevel="1">
      <c r="B175" s="139"/>
      <c r="C175" s="590" t="str" cm="1">
        <f t="array" aca="1" ref="C175" ca="1">IFERROR(
  INDEX(
    tblStrings[],
    MATCH(
      1,
      (tblStrings[Cell]=SUBSTITUTE(CELL("adress",INDIRECT("RC",FALSE)),"$","")) *
      (tblStrings[Sheet]=AllStrings!$C$433),
      0
    ),
    MATCH(Språkval, tblStrings[#Headers], 0)
  ),
)</f>
        <v>Summa investeringskostnader per rumstyp</v>
      </c>
      <c r="D175" s="590"/>
      <c r="E175" s="590"/>
      <c r="F175" s="590"/>
      <c r="G175" s="590"/>
      <c r="H175" s="143" t="str">
        <f t="shared" ca="1" si="96"/>
        <v>kr</v>
      </c>
      <c r="I175" s="414">
        <f>SUM(I165:I174)</f>
        <v>0</v>
      </c>
      <c r="J175" s="414">
        <f>SUM(J165:J174)</f>
        <v>0</v>
      </c>
      <c r="K175" s="414">
        <f t="shared" ref="K175:N175" si="124">SUM(K165:K174)</f>
        <v>0</v>
      </c>
      <c r="L175" s="414">
        <f t="shared" si="124"/>
        <v>0</v>
      </c>
      <c r="M175" s="414">
        <f t="shared" si="124"/>
        <v>0</v>
      </c>
      <c r="N175" s="414">
        <f t="shared" si="124"/>
        <v>0</v>
      </c>
      <c r="O175" s="414">
        <f t="shared" ref="O175" si="125">SUM(O165:O174)</f>
        <v>0</v>
      </c>
      <c r="P175" s="414">
        <f t="shared" ref="P175" si="126">SUM(P165:P174)</f>
        <v>0</v>
      </c>
      <c r="Q175" s="414">
        <f t="shared" ref="Q175" si="127">SUM(Q165:Q174)</f>
        <v>0</v>
      </c>
      <c r="R175" s="414">
        <f t="shared" ref="R175" si="128">SUM(R165:R174)</f>
        <v>0</v>
      </c>
      <c r="S175" s="108"/>
      <c r="T175" s="108"/>
    </row>
    <row r="176" spans="2:20" ht="14" hidden="1" outlineLevel="1">
      <c r="B176" s="415"/>
      <c r="C176" s="622" t="str" cm="1">
        <f t="array" aca="1" ref="C176" ca="1">IFERROR(
  INDEX(
    tblStrings[],
    MATCH(
      1,
      (tblStrings[Cell]=SUBSTITUTE(CELL("adress",INDIRECT("RC",FALSE)),"$","")) *
      (tblStrings[Sheet]=AllStrings!$C$433),
      0
    ),
    MATCH(Språkval, tblStrings[#Headers], 0)
  ),
)</f>
        <v>S:A INVESTERINGSKOSTNADER HELA ANLÄGGNINGEN</v>
      </c>
      <c r="D176" s="622"/>
      <c r="E176" s="622"/>
      <c r="F176" s="622"/>
      <c r="G176" s="622"/>
      <c r="H176" s="415" t="str">
        <f t="shared" ca="1" si="96"/>
        <v>kr</v>
      </c>
      <c r="I176" s="416">
        <f>SUM(I175:XFD175)</f>
        <v>0</v>
      </c>
      <c r="J176" s="416"/>
      <c r="K176" s="416"/>
      <c r="L176" s="416"/>
      <c r="M176" s="416"/>
      <c r="N176" s="416"/>
      <c r="O176" s="416"/>
      <c r="P176" s="416"/>
      <c r="Q176" s="416"/>
      <c r="R176" s="416"/>
      <c r="S176" s="417"/>
      <c r="T176" s="417"/>
    </row>
    <row r="177" spans="2:20" ht="14" hidden="1" outlineLevel="1">
      <c r="B177" s="144"/>
      <c r="C177" s="590" cm="1">
        <f t="array" aca="1" ref="C177" ca="1">IFERROR(
  INDEX(
    tblStrings[],
    MATCH(
      1,
      (tblStrings[Cell]=SUBSTITUTE(CELL("adress",INDIRECT("RC",FALSE)),"$","")) *
      (tblStrings[Sheet]=AllStrings!$C$433),
      0
    ),
    MATCH(Språkval, tblStrings[#Headers], 0)
  ),
)</f>
        <v>0</v>
      </c>
      <c r="D177" s="590"/>
      <c r="E177" s="590"/>
      <c r="F177" s="590"/>
      <c r="G177" s="590"/>
      <c r="H177" s="139"/>
      <c r="I177" s="413"/>
      <c r="J177" s="418"/>
      <c r="K177" s="418"/>
      <c r="L177" s="418"/>
      <c r="M177" s="418"/>
      <c r="N177" s="418"/>
      <c r="O177" s="418"/>
      <c r="P177" s="418"/>
      <c r="Q177" s="418"/>
      <c r="R177" s="418"/>
      <c r="S177" s="184"/>
      <c r="T177" s="184"/>
    </row>
    <row r="178" spans="2:20" ht="14" hidden="1" outlineLevel="1">
      <c r="B178" s="415"/>
      <c r="C178" s="622" t="str" cm="1">
        <f t="array" aca="1" ref="C178" ca="1">IFERROR(
  INDEX(
    tblStrings[],
    MATCH(
      1,
      (tblStrings[Cell]=SUBSTITUTE(CELL("adress",INDIRECT("RC",FALSE)),"$","")) *
      (tblStrings[Sheet]=AllStrings!$C$433),
      0
    ),
    MATCH(Språkval, tblStrings[#Headers], 0)
  ),
)</f>
        <v>ENERGI- &amp; UNDERHÅLLSKOSTNADER</v>
      </c>
      <c r="D178" s="622"/>
      <c r="E178" s="622"/>
      <c r="F178" s="622"/>
      <c r="G178" s="622"/>
      <c r="H178" s="415"/>
      <c r="I178" s="416"/>
      <c r="J178" s="476"/>
      <c r="K178" s="476"/>
      <c r="L178" s="476"/>
      <c r="M178" s="476"/>
      <c r="N178" s="476"/>
      <c r="O178" s="476"/>
      <c r="P178" s="476"/>
      <c r="Q178" s="476"/>
      <c r="R178" s="476"/>
      <c r="S178" s="415"/>
      <c r="T178" s="415"/>
    </row>
    <row r="179" spans="2:20" hidden="1" outlineLevel="1">
      <c r="B179" s="144"/>
      <c r="C179" s="145" t="str" cm="1">
        <f t="array" aca="1" ref="C179" ca="1">IFERROR(
  INDEX(
    tblStrings[],
    MATCH(
      1,
      (tblStrings[Cell]=SUBSTITUTE(CELL("adress",INDIRECT("RC",FALSE)),"$","")) *
      (tblStrings[Sheet]=AllStrings!$C$433),
      0
    ),
    MATCH(Språkval, tblStrings[#Headers], 0)
  ),
)</f>
        <v>ENERGIKOSTNADER</v>
      </c>
      <c r="D179" s="141"/>
      <c r="E179" s="141"/>
      <c r="F179" s="141"/>
      <c r="G179" s="141"/>
      <c r="H179" s="139"/>
      <c r="I179" s="413"/>
      <c r="J179" s="172"/>
      <c r="K179" s="172"/>
      <c r="L179" s="172"/>
      <c r="M179" s="172"/>
      <c r="N179" s="172"/>
      <c r="O179" s="172"/>
      <c r="P179" s="172"/>
      <c r="Q179" s="172"/>
      <c r="R179" s="172"/>
      <c r="S179" s="108"/>
      <c r="T179" s="108"/>
    </row>
    <row r="180" spans="2:20" hidden="1" outlineLevel="1">
      <c r="B180" s="144"/>
      <c r="C180" s="595" t="str" cm="1">
        <f t="array" aca="1" ref="C180" ca="1">IFERROR(
  INDEX(
    tblStrings[],
    MATCH(
      1,
      (tblStrings[Cell]=SUBSTITUTE(CELL("adress",INDIRECT("RC",FALSE)),"$","")) *
      (tblStrings[Sheet]=AllStrings!$C$433),
      0
    ),
    MATCH(Språkval, tblStrings[#Headers], 0)
  ),
)</f>
        <v>Energianvändning</v>
      </c>
      <c r="D180" s="596"/>
      <c r="E180" s="596"/>
      <c r="F180" s="596"/>
      <c r="G180" s="596"/>
      <c r="H180" s="138"/>
      <c r="I180" s="419"/>
      <c r="J180" s="354"/>
      <c r="K180" s="354"/>
      <c r="L180" s="354"/>
      <c r="M180" s="354"/>
      <c r="N180" s="354"/>
      <c r="O180" s="354"/>
      <c r="P180" s="354"/>
      <c r="Q180" s="354"/>
      <c r="R180" s="354"/>
      <c r="S180" s="108"/>
      <c r="T180" s="108"/>
    </row>
    <row r="181" spans="2:20" hidden="1" outlineLevel="1">
      <c r="B181" s="144"/>
      <c r="C181" s="591" t="str">
        <f ca="1">C165</f>
        <v>Armatur 1</v>
      </c>
      <c r="D181" s="592"/>
      <c r="E181" s="592"/>
      <c r="F181" s="592"/>
      <c r="G181" s="592"/>
      <c r="H181" s="144" t="s">
        <v>121</v>
      </c>
      <c r="I181" s="420">
        <f t="shared" ref="I181:R181" ca="1" si="129">(I$23*I27*I30*I35*$H$14)/1000</f>
        <v>0</v>
      </c>
      <c r="J181" s="420">
        <f t="shared" ca="1" si="129"/>
        <v>0</v>
      </c>
      <c r="K181" s="420">
        <f t="shared" ca="1" si="129"/>
        <v>0</v>
      </c>
      <c r="L181" s="420">
        <f t="shared" ca="1" si="129"/>
        <v>0</v>
      </c>
      <c r="M181" s="420">
        <f t="shared" ca="1" si="129"/>
        <v>0</v>
      </c>
      <c r="N181" s="420">
        <f t="shared" ca="1" si="129"/>
        <v>0</v>
      </c>
      <c r="O181" s="420">
        <f t="shared" ca="1" si="129"/>
        <v>0</v>
      </c>
      <c r="P181" s="420">
        <f t="shared" ca="1" si="129"/>
        <v>0</v>
      </c>
      <c r="Q181" s="420">
        <f t="shared" ca="1" si="129"/>
        <v>0</v>
      </c>
      <c r="R181" s="420">
        <f t="shared" ca="1" si="129"/>
        <v>0</v>
      </c>
      <c r="S181" s="108"/>
      <c r="T181" s="108"/>
    </row>
    <row r="182" spans="2:20" hidden="1" outlineLevel="1">
      <c r="B182" s="144"/>
      <c r="C182" s="591" t="str">
        <f t="shared" ref="C182:C190" ca="1" si="130">C166</f>
        <v>Armatur 2</v>
      </c>
      <c r="D182" s="592"/>
      <c r="E182" s="592"/>
      <c r="F182" s="592"/>
      <c r="G182" s="592"/>
      <c r="H182" s="149" t="s">
        <v>121</v>
      </c>
      <c r="I182" s="420">
        <f t="shared" ref="I182:R182" ca="1" si="131">(I$23*I39*I42*I47*$H$14)/1000</f>
        <v>0</v>
      </c>
      <c r="J182" s="420">
        <f t="shared" ca="1" si="131"/>
        <v>0</v>
      </c>
      <c r="K182" s="420">
        <f t="shared" ca="1" si="131"/>
        <v>0</v>
      </c>
      <c r="L182" s="420">
        <f t="shared" ca="1" si="131"/>
        <v>0</v>
      </c>
      <c r="M182" s="420">
        <f t="shared" ca="1" si="131"/>
        <v>0</v>
      </c>
      <c r="N182" s="420">
        <f t="shared" ca="1" si="131"/>
        <v>0</v>
      </c>
      <c r="O182" s="420">
        <f ca="1">(O$23*O38*O42*O47*$H$14)/1000</f>
        <v>0</v>
      </c>
      <c r="P182" s="420">
        <f t="shared" ca="1" si="131"/>
        <v>0</v>
      </c>
      <c r="Q182" s="420">
        <f t="shared" ca="1" si="131"/>
        <v>0</v>
      </c>
      <c r="R182" s="420">
        <f t="shared" ca="1" si="131"/>
        <v>0</v>
      </c>
      <c r="S182" s="108"/>
      <c r="T182" s="108"/>
    </row>
    <row r="183" spans="2:20" hidden="1" outlineLevel="1">
      <c r="B183" s="144"/>
      <c r="C183" s="591" t="str">
        <f t="shared" ca="1" si="130"/>
        <v>Armatur 3</v>
      </c>
      <c r="D183" s="592"/>
      <c r="E183" s="592"/>
      <c r="F183" s="592"/>
      <c r="G183" s="592"/>
      <c r="H183" s="149" t="s">
        <v>121</v>
      </c>
      <c r="I183" s="420">
        <f ca="1">(I$23*I51*I54*I59*$H$14)/1000</f>
        <v>0</v>
      </c>
      <c r="J183" s="420">
        <f t="shared" ref="J183:R183" ca="1" si="132">(J$23*J51*J54*J59*$H$14)/1000</f>
        <v>0</v>
      </c>
      <c r="K183" s="420">
        <f t="shared" ca="1" si="132"/>
        <v>0</v>
      </c>
      <c r="L183" s="420">
        <f t="shared" ca="1" si="132"/>
        <v>0</v>
      </c>
      <c r="M183" s="420">
        <f t="shared" ca="1" si="132"/>
        <v>0</v>
      </c>
      <c r="N183" s="420">
        <f t="shared" ca="1" si="132"/>
        <v>0</v>
      </c>
      <c r="O183" s="420">
        <f t="shared" ca="1" si="132"/>
        <v>0</v>
      </c>
      <c r="P183" s="420">
        <f t="shared" ca="1" si="132"/>
        <v>0</v>
      </c>
      <c r="Q183" s="420">
        <f t="shared" ca="1" si="132"/>
        <v>0</v>
      </c>
      <c r="R183" s="420">
        <f t="shared" ca="1" si="132"/>
        <v>0</v>
      </c>
      <c r="S183" s="108"/>
      <c r="T183" s="108"/>
    </row>
    <row r="184" spans="2:20" hidden="1" outlineLevel="1">
      <c r="B184" s="144"/>
      <c r="C184" s="591" t="str">
        <f t="shared" ca="1" si="130"/>
        <v>Armatur 4</v>
      </c>
      <c r="D184" s="592"/>
      <c r="E184" s="592"/>
      <c r="F184" s="592"/>
      <c r="G184" s="592"/>
      <c r="H184" s="149" t="s">
        <v>121</v>
      </c>
      <c r="I184" s="420">
        <f ca="1">(I$23*I63*I66*I71*$H$14)/1000</f>
        <v>0</v>
      </c>
      <c r="J184" s="420">
        <f ca="1">(J$23*J63*J66*J71*$H$14)/1000</f>
        <v>0</v>
      </c>
      <c r="K184" s="420">
        <f t="shared" ref="K184:R184" ca="1" si="133">(K$23*K63*K66*K71*$H$14)/1000</f>
        <v>0</v>
      </c>
      <c r="L184" s="420">
        <f t="shared" ca="1" si="133"/>
        <v>0</v>
      </c>
      <c r="M184" s="420">
        <f t="shared" ca="1" si="133"/>
        <v>0</v>
      </c>
      <c r="N184" s="420">
        <f t="shared" ca="1" si="133"/>
        <v>0</v>
      </c>
      <c r="O184" s="420">
        <f t="shared" ca="1" si="133"/>
        <v>0</v>
      </c>
      <c r="P184" s="420">
        <f t="shared" ca="1" si="133"/>
        <v>0</v>
      </c>
      <c r="Q184" s="420">
        <f t="shared" ca="1" si="133"/>
        <v>0</v>
      </c>
      <c r="R184" s="420">
        <f t="shared" ca="1" si="133"/>
        <v>0</v>
      </c>
      <c r="S184" s="108"/>
      <c r="T184" s="108"/>
    </row>
    <row r="185" spans="2:20" hidden="1" outlineLevel="1">
      <c r="B185" s="144"/>
      <c r="C185" s="591" t="str">
        <f t="shared" ca="1" si="130"/>
        <v>Armatur 5</v>
      </c>
      <c r="D185" s="592"/>
      <c r="E185" s="592"/>
      <c r="F185" s="592"/>
      <c r="G185" s="592"/>
      <c r="H185" s="149" t="s">
        <v>121</v>
      </c>
      <c r="I185" s="420">
        <f t="shared" ref="I185:R185" ca="1" si="134">(I$23*I75*I78*I83*$H$14)/1000</f>
        <v>0</v>
      </c>
      <c r="J185" s="420">
        <f t="shared" ca="1" si="134"/>
        <v>0</v>
      </c>
      <c r="K185" s="420">
        <f t="shared" ca="1" si="134"/>
        <v>0</v>
      </c>
      <c r="L185" s="420">
        <f t="shared" ca="1" si="134"/>
        <v>0</v>
      </c>
      <c r="M185" s="420">
        <f t="shared" ca="1" si="134"/>
        <v>0</v>
      </c>
      <c r="N185" s="420">
        <f t="shared" ca="1" si="134"/>
        <v>0</v>
      </c>
      <c r="O185" s="420">
        <f t="shared" ca="1" si="134"/>
        <v>0</v>
      </c>
      <c r="P185" s="420">
        <f t="shared" ca="1" si="134"/>
        <v>0</v>
      </c>
      <c r="Q185" s="420">
        <f t="shared" ca="1" si="134"/>
        <v>0</v>
      </c>
      <c r="R185" s="420">
        <f t="shared" ca="1" si="134"/>
        <v>0</v>
      </c>
      <c r="S185" s="108"/>
      <c r="T185" s="108"/>
    </row>
    <row r="186" spans="2:20" hidden="1" outlineLevel="1">
      <c r="B186" s="144"/>
      <c r="C186" s="591" t="str">
        <f t="shared" ca="1" si="130"/>
        <v>Armatur 6</v>
      </c>
      <c r="D186" s="592"/>
      <c r="E186" s="592"/>
      <c r="F186" s="592"/>
      <c r="G186" s="592"/>
      <c r="H186" s="149" t="s">
        <v>121</v>
      </c>
      <c r="I186" s="420">
        <f t="shared" ref="I186:R186" ca="1" si="135">(I$23*I87*I90*I95*$H$14)/1000</f>
        <v>0</v>
      </c>
      <c r="J186" s="420">
        <f t="shared" ca="1" si="135"/>
        <v>0</v>
      </c>
      <c r="K186" s="420">
        <f t="shared" ca="1" si="135"/>
        <v>0</v>
      </c>
      <c r="L186" s="420">
        <f t="shared" ca="1" si="135"/>
        <v>0</v>
      </c>
      <c r="M186" s="420">
        <f t="shared" ca="1" si="135"/>
        <v>0</v>
      </c>
      <c r="N186" s="420">
        <f t="shared" ca="1" si="135"/>
        <v>0</v>
      </c>
      <c r="O186" s="420">
        <f t="shared" ca="1" si="135"/>
        <v>0</v>
      </c>
      <c r="P186" s="420">
        <f t="shared" ca="1" si="135"/>
        <v>0</v>
      </c>
      <c r="Q186" s="420">
        <f t="shared" ca="1" si="135"/>
        <v>0</v>
      </c>
      <c r="R186" s="420">
        <f t="shared" ca="1" si="135"/>
        <v>0</v>
      </c>
      <c r="S186" s="108"/>
      <c r="T186" s="108"/>
    </row>
    <row r="187" spans="2:20" hidden="1" outlineLevel="1">
      <c r="B187" s="144"/>
      <c r="C187" s="591" t="str">
        <f t="shared" ca="1" si="130"/>
        <v>Armatur 7</v>
      </c>
      <c r="D187" s="592"/>
      <c r="E187" s="592"/>
      <c r="F187" s="592"/>
      <c r="G187" s="592"/>
      <c r="H187" s="149" t="s">
        <v>121</v>
      </c>
      <c r="I187" s="420">
        <f t="shared" ref="I187:R187" ca="1" si="136">(I$23*I99*I102*I107*$H$14)/1000</f>
        <v>0</v>
      </c>
      <c r="J187" s="420">
        <f t="shared" ca="1" si="136"/>
        <v>0</v>
      </c>
      <c r="K187" s="420">
        <f t="shared" ca="1" si="136"/>
        <v>0</v>
      </c>
      <c r="L187" s="420">
        <f t="shared" ca="1" si="136"/>
        <v>0</v>
      </c>
      <c r="M187" s="420">
        <f t="shared" ca="1" si="136"/>
        <v>0</v>
      </c>
      <c r="N187" s="420">
        <f t="shared" ca="1" si="136"/>
        <v>0</v>
      </c>
      <c r="O187" s="420">
        <f t="shared" ca="1" si="136"/>
        <v>0</v>
      </c>
      <c r="P187" s="420">
        <f t="shared" ca="1" si="136"/>
        <v>0</v>
      </c>
      <c r="Q187" s="420">
        <f t="shared" ca="1" si="136"/>
        <v>0</v>
      </c>
      <c r="R187" s="420">
        <f t="shared" ca="1" si="136"/>
        <v>0</v>
      </c>
      <c r="S187" s="108"/>
      <c r="T187" s="108"/>
    </row>
    <row r="188" spans="2:20" hidden="1" outlineLevel="1">
      <c r="B188" s="144"/>
      <c r="C188" s="591" t="str">
        <f t="shared" ca="1" si="130"/>
        <v>Armatur 8</v>
      </c>
      <c r="D188" s="592"/>
      <c r="E188" s="592"/>
      <c r="F188" s="592"/>
      <c r="G188" s="592"/>
      <c r="H188" s="149" t="s">
        <v>121</v>
      </c>
      <c r="I188" s="420">
        <f t="shared" ref="I188:R188" ca="1" si="137">(I$23*I111*I114*I119*$H$14)/1000</f>
        <v>0</v>
      </c>
      <c r="J188" s="420">
        <f t="shared" ca="1" si="137"/>
        <v>0</v>
      </c>
      <c r="K188" s="420">
        <f t="shared" ca="1" si="137"/>
        <v>0</v>
      </c>
      <c r="L188" s="420">
        <f t="shared" ca="1" si="137"/>
        <v>0</v>
      </c>
      <c r="M188" s="420">
        <f t="shared" ca="1" si="137"/>
        <v>0</v>
      </c>
      <c r="N188" s="420">
        <f t="shared" ca="1" si="137"/>
        <v>0</v>
      </c>
      <c r="O188" s="420">
        <f t="shared" ca="1" si="137"/>
        <v>0</v>
      </c>
      <c r="P188" s="420">
        <f t="shared" ca="1" si="137"/>
        <v>0</v>
      </c>
      <c r="Q188" s="420">
        <f t="shared" ca="1" si="137"/>
        <v>0</v>
      </c>
      <c r="R188" s="420">
        <f t="shared" ca="1" si="137"/>
        <v>0</v>
      </c>
      <c r="S188" s="108"/>
      <c r="T188" s="108"/>
    </row>
    <row r="189" spans="2:20" hidden="1" outlineLevel="1">
      <c r="B189" s="144"/>
      <c r="C189" s="591" t="str">
        <f t="shared" ca="1" si="130"/>
        <v>Armatur 9</v>
      </c>
      <c r="D189" s="592"/>
      <c r="E189" s="592"/>
      <c r="F189" s="592"/>
      <c r="G189" s="592"/>
      <c r="H189" s="149" t="s">
        <v>121</v>
      </c>
      <c r="I189" s="420">
        <f t="shared" ref="I189:R189" ca="1" si="138">(I$23*I23*I126*I131*$H$14)/1000</f>
        <v>0</v>
      </c>
      <c r="J189" s="420">
        <f t="shared" ca="1" si="138"/>
        <v>0</v>
      </c>
      <c r="K189" s="420">
        <f t="shared" ca="1" si="138"/>
        <v>0</v>
      </c>
      <c r="L189" s="420">
        <f t="shared" ca="1" si="138"/>
        <v>0</v>
      </c>
      <c r="M189" s="420">
        <f t="shared" ca="1" si="138"/>
        <v>0</v>
      </c>
      <c r="N189" s="420">
        <f t="shared" ca="1" si="138"/>
        <v>0</v>
      </c>
      <c r="O189" s="420">
        <f t="shared" ca="1" si="138"/>
        <v>0</v>
      </c>
      <c r="P189" s="420">
        <f t="shared" ca="1" si="138"/>
        <v>0</v>
      </c>
      <c r="Q189" s="420">
        <f t="shared" ca="1" si="138"/>
        <v>0</v>
      </c>
      <c r="R189" s="420">
        <f t="shared" ca="1" si="138"/>
        <v>0</v>
      </c>
      <c r="S189" s="108"/>
      <c r="T189" s="108"/>
    </row>
    <row r="190" spans="2:20" hidden="1" outlineLevel="1">
      <c r="B190" s="144"/>
      <c r="C190" s="591" t="str">
        <f t="shared" ca="1" si="130"/>
        <v>Armatur 10</v>
      </c>
      <c r="D190" s="592"/>
      <c r="E190" s="592"/>
      <c r="F190" s="592"/>
      <c r="G190" s="592"/>
      <c r="H190" s="149" t="s">
        <v>121</v>
      </c>
      <c r="I190" s="420">
        <f t="shared" ref="I190:R190" ca="1" si="139">(I$23*I135*I138*I143*$H$14)/1000</f>
        <v>0</v>
      </c>
      <c r="J190" s="420">
        <f t="shared" ca="1" si="139"/>
        <v>0</v>
      </c>
      <c r="K190" s="420">
        <f t="shared" ca="1" si="139"/>
        <v>0</v>
      </c>
      <c r="L190" s="420">
        <f t="shared" ca="1" si="139"/>
        <v>0</v>
      </c>
      <c r="M190" s="420">
        <f t="shared" ca="1" si="139"/>
        <v>0</v>
      </c>
      <c r="N190" s="420">
        <f t="shared" ca="1" si="139"/>
        <v>0</v>
      </c>
      <c r="O190" s="420">
        <f t="shared" ca="1" si="139"/>
        <v>0</v>
      </c>
      <c r="P190" s="420">
        <f t="shared" ca="1" si="139"/>
        <v>0</v>
      </c>
      <c r="Q190" s="420">
        <f t="shared" ca="1" si="139"/>
        <v>0</v>
      </c>
      <c r="R190" s="420">
        <f t="shared" ca="1" si="139"/>
        <v>0</v>
      </c>
      <c r="S190" s="108"/>
      <c r="T190" s="108"/>
    </row>
    <row r="191" spans="2:20" s="185" customFormat="1" hidden="1" outlineLevel="1">
      <c r="B191" s="150"/>
      <c r="C191" s="151" t="str" cm="1">
        <f t="array" aca="1" ref="C191" ca="1">IFERROR(
  INDEX(
    tblStrings[],
    MATCH(
      1,
      (tblStrings[Cell]=SUBSTITUTE(CELL("adress",INDIRECT("RC",FALSE)),"$","")) *
      (tblStrings[Sheet]=AllStrings!$C$433),
      0
    ),
    MATCH(Språkval, tblStrings[#Headers], 0)
  ),
)</f>
        <v>Summa energianvändning per rumstyp</v>
      </c>
      <c r="D191" s="152"/>
      <c r="E191" s="152"/>
      <c r="F191" s="152"/>
      <c r="G191" s="152"/>
      <c r="H191" s="153" t="str" cm="1">
        <f t="array" aca="1" ref="H191" ca="1">IFERROR(
  INDEX(
    tblStrings[],
    MATCH(
      1,
      (tblStrings[Cell]=SUBSTITUTE(CELL("adress",INDIRECT("RC",FALSE)),"$","")) *
      (tblStrings[Sheet]=AllStrings!$C$433),
      0
    ),
    MATCH(Språkval, tblStrings[#Headers], 0)
  ),
)</f>
        <v>kWh/år</v>
      </c>
      <c r="I191" s="421">
        <f ca="1">SUM(I181:I190)</f>
        <v>0</v>
      </c>
      <c r="J191" s="421">
        <f ca="1">SUM(J181:J190)</f>
        <v>0</v>
      </c>
      <c r="K191" s="421">
        <f t="shared" ref="K191:N191" ca="1" si="140">SUM(K181:K190)</f>
        <v>0</v>
      </c>
      <c r="L191" s="421">
        <f t="shared" ca="1" si="140"/>
        <v>0</v>
      </c>
      <c r="M191" s="421">
        <f t="shared" ca="1" si="140"/>
        <v>0</v>
      </c>
      <c r="N191" s="421">
        <f t="shared" ca="1" si="140"/>
        <v>0</v>
      </c>
      <c r="O191" s="421">
        <f t="shared" ref="O191" ca="1" si="141">SUM(O181:O190)</f>
        <v>0</v>
      </c>
      <c r="P191" s="421">
        <f t="shared" ref="P191" ca="1" si="142">SUM(P181:P190)</f>
        <v>0</v>
      </c>
      <c r="Q191" s="421">
        <f t="shared" ref="Q191" ca="1" si="143">SUM(Q181:Q190)</f>
        <v>0</v>
      </c>
      <c r="R191" s="421">
        <f t="shared" ref="R191" ca="1" si="144">SUM(R181:R190)</f>
        <v>0</v>
      </c>
      <c r="S191" s="108"/>
      <c r="T191" s="108"/>
    </row>
    <row r="192" spans="2:20" s="186" customFormat="1" hidden="1" outlineLevel="1">
      <c r="B192" s="154"/>
      <c r="C192" s="145" t="str" cm="1">
        <f t="array" aca="1" ref="C192" ca="1">IFERROR(
  INDEX(
    tblStrings[],
    MATCH(
      1,
      (tblStrings[Cell]=SUBSTITUTE(CELL("adress",INDIRECT("RC",FALSE)),"$","")) *
      (tblStrings[Sheet]=AllStrings!$C$433),
      0
    ),
    MATCH(Språkval, tblStrings[#Headers], 0)
  ),
)</f>
        <v>Summa energianvändning hela anläggningen</v>
      </c>
      <c r="D192" s="141"/>
      <c r="E192" s="141"/>
      <c r="F192" s="141"/>
      <c r="G192" s="141"/>
      <c r="H192" s="139" t="str">
        <f ca="1">$H$191</f>
        <v>kWh/år</v>
      </c>
      <c r="I192" s="413">
        <f ca="1">SUM(I191:XFD191)</f>
        <v>0</v>
      </c>
      <c r="J192" s="413"/>
      <c r="K192" s="413"/>
      <c r="L192" s="413"/>
      <c r="M192" s="413"/>
      <c r="N192" s="413"/>
      <c r="O192" s="413"/>
      <c r="P192" s="413"/>
      <c r="Q192" s="413"/>
      <c r="R192" s="413"/>
      <c r="S192" s="108"/>
      <c r="T192" s="108"/>
    </row>
    <row r="193" spans="2:20" hidden="1" outlineLevel="1">
      <c r="B193" s="144"/>
      <c r="C193" s="155"/>
      <c r="D193" s="156"/>
      <c r="E193" s="156"/>
      <c r="F193" s="156"/>
      <c r="G193" s="156"/>
      <c r="H193" s="154"/>
      <c r="I193" s="422"/>
      <c r="J193" s="422"/>
      <c r="K193" s="422"/>
      <c r="L193" s="422"/>
      <c r="M193" s="422"/>
      <c r="N193" s="422"/>
      <c r="O193" s="422"/>
      <c r="P193" s="422"/>
      <c r="Q193" s="422"/>
      <c r="R193" s="422"/>
      <c r="S193" s="108"/>
      <c r="T193" s="108"/>
    </row>
    <row r="194" spans="2:20" hidden="1" outlineLevel="1">
      <c r="B194" s="144"/>
      <c r="C194" s="157" t="str" cm="1">
        <f t="array" aca="1" ref="C194" ca="1">IFERROR(
  INDEX(
    tblStrings[],
    MATCH(
      1,
      (tblStrings[Cell]=SUBSTITUTE(CELL("adress",INDIRECT("RC",FALSE)),"$","")) *
      (tblStrings[Sheet]=AllStrings!$C$433),
      0
    ),
    MATCH(Språkval, tblStrings[#Headers], 0)
  ),
)</f>
        <v>Årlig energikostnad per rumstyp</v>
      </c>
      <c r="D194" s="158"/>
      <c r="E194" s="158"/>
      <c r="F194" s="158"/>
      <c r="G194" s="158"/>
      <c r="H194" s="159" t="str">
        <f ca="1">$H$147</f>
        <v>kr/år</v>
      </c>
      <c r="I194" s="423">
        <f t="shared" ref="I194:R194" ca="1" si="145">$H$11*I191</f>
        <v>0</v>
      </c>
      <c r="J194" s="423">
        <f t="shared" ca="1" si="145"/>
        <v>0</v>
      </c>
      <c r="K194" s="423">
        <f t="shared" ca="1" si="145"/>
        <v>0</v>
      </c>
      <c r="L194" s="423">
        <f t="shared" ca="1" si="145"/>
        <v>0</v>
      </c>
      <c r="M194" s="423">
        <f t="shared" ca="1" si="145"/>
        <v>0</v>
      </c>
      <c r="N194" s="423">
        <f t="shared" ca="1" si="145"/>
        <v>0</v>
      </c>
      <c r="O194" s="423">
        <f t="shared" ca="1" si="145"/>
        <v>0</v>
      </c>
      <c r="P194" s="423">
        <f t="shared" ca="1" si="145"/>
        <v>0</v>
      </c>
      <c r="Q194" s="423">
        <f t="shared" ca="1" si="145"/>
        <v>0</v>
      </c>
      <c r="R194" s="423">
        <f t="shared" ca="1" si="145"/>
        <v>0</v>
      </c>
      <c r="S194" s="108"/>
      <c r="T194" s="108"/>
    </row>
    <row r="195" spans="2:20" hidden="1" outlineLevel="1">
      <c r="B195" s="144"/>
      <c r="C195" s="155" t="str" cm="1">
        <f t="array" aca="1" ref="C195" ca="1">IFERROR(
  INDEX(
    tblStrings[],
    MATCH(
      1,
      (tblStrings[Cell]=SUBSTITUTE(CELL("adress",INDIRECT("RC",FALSE)),"$","")) *
      (tblStrings[Sheet]=AllStrings!$C$433),
      0
    ),
    MATCH(Språkval, tblStrings[#Headers], 0)
  ),
)</f>
        <v>Årlig energikostnad hela anläggningen</v>
      </c>
      <c r="D195" s="156"/>
      <c r="E195" s="156"/>
      <c r="F195" s="156"/>
      <c r="G195" s="156"/>
      <c r="H195" s="159" t="str">
        <f ca="1">$H$147</f>
        <v>kr/år</v>
      </c>
      <c r="I195" s="422">
        <f ca="1">$H$11*I192</f>
        <v>0</v>
      </c>
      <c r="J195" s="422"/>
      <c r="K195" s="422"/>
      <c r="L195" s="422"/>
      <c r="M195" s="422"/>
      <c r="N195" s="422"/>
      <c r="O195" s="422"/>
      <c r="P195" s="422"/>
      <c r="Q195" s="422"/>
      <c r="R195" s="422"/>
      <c r="S195" s="108"/>
      <c r="T195" s="108"/>
    </row>
    <row r="196" spans="2:20" hidden="1" outlineLevel="1">
      <c r="B196" s="144"/>
      <c r="C196" s="157" t="str" cm="1">
        <f t="array" aca="1" ref="C196" ca="1">IFERROR(
  INDEX(
    tblStrings[],
    MATCH(
      1,
      (tblStrings[Cell]=SUBSTITUTE(CELL("adress",INDIRECT("RC",FALSE)),"$","")) *
      (tblStrings[Sheet]=AllStrings!$C$433),
      0
    ),
    MATCH(Språkval, tblStrings[#Headers], 0)
  ),
)</f>
        <v>Omräkningsfaktor till nuvärde</v>
      </c>
      <c r="D196" s="158"/>
      <c r="E196" s="158"/>
      <c r="F196" s="158"/>
      <c r="G196" s="158"/>
      <c r="H196" s="159"/>
      <c r="I196" s="424">
        <f>IF($H$10=$H$12,$H$9,(1/($H$10-$H$12))*(1-((1+$H$12)/(1+$H$10))^$H$9))</f>
        <v>0.33333301544189453</v>
      </c>
      <c r="J196" s="422"/>
      <c r="K196" s="422"/>
      <c r="L196" s="422"/>
      <c r="M196" s="422"/>
      <c r="N196" s="422"/>
      <c r="O196" s="422"/>
      <c r="P196" s="422"/>
      <c r="Q196" s="422"/>
      <c r="R196" s="422"/>
      <c r="S196" s="108"/>
      <c r="T196" s="108"/>
    </row>
    <row r="197" spans="2:20" hidden="1" outlineLevel="1">
      <c r="B197" s="144"/>
      <c r="C197" s="155" t="s">
        <v>100</v>
      </c>
      <c r="D197" s="156"/>
      <c r="E197" s="156"/>
      <c r="F197" s="156"/>
      <c r="G197" s="156"/>
      <c r="H197" s="154" t="str">
        <f ca="1">$H$176</f>
        <v>kr</v>
      </c>
      <c r="I197" s="422">
        <f ca="1">I195*I196</f>
        <v>0</v>
      </c>
      <c r="J197" s="422"/>
      <c r="K197" s="422"/>
      <c r="L197" s="422"/>
      <c r="M197" s="422"/>
      <c r="N197" s="422"/>
      <c r="O197" s="422"/>
      <c r="P197" s="422"/>
      <c r="Q197" s="422"/>
      <c r="R197" s="422"/>
      <c r="S197" s="108"/>
      <c r="T197" s="108"/>
    </row>
    <row r="198" spans="2:20" hidden="1" outlineLevel="1">
      <c r="B198" s="144"/>
      <c r="C198" s="156"/>
      <c r="D198" s="156"/>
      <c r="E198" s="156"/>
      <c r="F198" s="156"/>
      <c r="G198" s="156"/>
      <c r="H198" s="154"/>
      <c r="I198" s="422"/>
      <c r="J198" s="422"/>
      <c r="K198" s="422"/>
      <c r="L198" s="422"/>
      <c r="M198" s="422"/>
      <c r="N198" s="422"/>
      <c r="O198" s="422"/>
      <c r="P198" s="422"/>
      <c r="Q198" s="422"/>
      <c r="R198" s="422"/>
      <c r="S198" s="108"/>
      <c r="T198" s="108"/>
    </row>
    <row r="199" spans="2:20" hidden="1" outlineLevel="1">
      <c r="B199" s="144"/>
      <c r="C199" s="157" t="s">
        <v>128</v>
      </c>
      <c r="D199" s="158"/>
      <c r="E199" s="158"/>
      <c r="F199" s="158"/>
      <c r="G199" s="158"/>
      <c r="H199" s="159"/>
      <c r="I199" s="423"/>
      <c r="J199" s="423"/>
      <c r="K199" s="423"/>
      <c r="L199" s="423"/>
      <c r="M199" s="423"/>
      <c r="N199" s="423"/>
      <c r="O199" s="423"/>
      <c r="P199" s="423"/>
      <c r="Q199" s="423"/>
      <c r="R199" s="423"/>
      <c r="S199" s="108"/>
      <c r="T199" s="108"/>
    </row>
    <row r="200" spans="2:20" hidden="1" outlineLevel="1">
      <c r="B200" s="144"/>
      <c r="C200" s="148" t="s">
        <v>129</v>
      </c>
      <c r="D200" s="147"/>
      <c r="E200" s="147"/>
      <c r="F200" s="147"/>
      <c r="G200" s="147"/>
      <c r="H200" s="144" t="s">
        <v>1483</v>
      </c>
      <c r="I200" s="420">
        <f>I36</f>
        <v>0</v>
      </c>
      <c r="J200" s="420">
        <f>J36</f>
        <v>0</v>
      </c>
      <c r="K200" s="420">
        <f t="shared" ref="K200:M200" si="146">K36</f>
        <v>0</v>
      </c>
      <c r="L200" s="420">
        <f t="shared" si="146"/>
        <v>0</v>
      </c>
      <c r="M200" s="420">
        <f t="shared" si="146"/>
        <v>0</v>
      </c>
      <c r="N200" s="420">
        <f t="shared" ref="N200:O200" si="147">N36</f>
        <v>0</v>
      </c>
      <c r="O200" s="420">
        <f t="shared" si="147"/>
        <v>0</v>
      </c>
      <c r="P200" s="420">
        <f t="shared" ref="P200:R200" si="148">P36</f>
        <v>0</v>
      </c>
      <c r="Q200" s="420">
        <f t="shared" si="148"/>
        <v>0</v>
      </c>
      <c r="R200" s="420">
        <f t="shared" si="148"/>
        <v>0</v>
      </c>
      <c r="S200" s="108"/>
      <c r="T200" s="108"/>
    </row>
    <row r="201" spans="2:20" hidden="1" outlineLevel="1">
      <c r="B201" s="144"/>
      <c r="C201" s="597" t="s">
        <v>130</v>
      </c>
      <c r="D201" s="584"/>
      <c r="E201" s="584"/>
      <c r="F201" s="584"/>
      <c r="G201" s="584"/>
      <c r="H201" s="144" t="s">
        <v>1483</v>
      </c>
      <c r="I201" s="413">
        <f>I48</f>
        <v>0</v>
      </c>
      <c r="J201" s="413">
        <f>J48</f>
        <v>0</v>
      </c>
      <c r="K201" s="413">
        <f t="shared" ref="K201:M201" si="149">K48</f>
        <v>0</v>
      </c>
      <c r="L201" s="413">
        <f t="shared" si="149"/>
        <v>0</v>
      </c>
      <c r="M201" s="413">
        <f t="shared" si="149"/>
        <v>0</v>
      </c>
      <c r="N201" s="413">
        <f t="shared" ref="N201:O201" si="150">N48</f>
        <v>0</v>
      </c>
      <c r="O201" s="413">
        <f t="shared" si="150"/>
        <v>0</v>
      </c>
      <c r="P201" s="413">
        <f t="shared" ref="P201:R201" si="151">P48</f>
        <v>0</v>
      </c>
      <c r="Q201" s="413">
        <f t="shared" si="151"/>
        <v>0</v>
      </c>
      <c r="R201" s="413">
        <f t="shared" si="151"/>
        <v>0</v>
      </c>
      <c r="S201" s="108"/>
      <c r="T201" s="108"/>
    </row>
    <row r="202" spans="2:20" hidden="1" outlineLevel="1">
      <c r="B202" s="144"/>
      <c r="C202" s="148" t="s">
        <v>131</v>
      </c>
      <c r="D202" s="147"/>
      <c r="E202" s="147"/>
      <c r="F202" s="147"/>
      <c r="G202" s="147"/>
      <c r="H202" s="144" t="s">
        <v>1483</v>
      </c>
      <c r="I202" s="413">
        <f>I60</f>
        <v>0</v>
      </c>
      <c r="J202" s="413">
        <f>J60</f>
        <v>0</v>
      </c>
      <c r="K202" s="413">
        <f t="shared" ref="K202:M202" si="152">K60</f>
        <v>0</v>
      </c>
      <c r="L202" s="413">
        <f t="shared" si="152"/>
        <v>0</v>
      </c>
      <c r="M202" s="413">
        <f t="shared" si="152"/>
        <v>0</v>
      </c>
      <c r="N202" s="413">
        <f t="shared" ref="N202:O202" si="153">N60</f>
        <v>0</v>
      </c>
      <c r="O202" s="413">
        <f t="shared" si="153"/>
        <v>0</v>
      </c>
      <c r="P202" s="413">
        <f t="shared" ref="P202:R202" si="154">P60</f>
        <v>0</v>
      </c>
      <c r="Q202" s="413">
        <f t="shared" si="154"/>
        <v>0</v>
      </c>
      <c r="R202" s="413">
        <f t="shared" si="154"/>
        <v>0</v>
      </c>
      <c r="S202" s="108"/>
      <c r="T202" s="108"/>
    </row>
    <row r="203" spans="2:20" hidden="1" outlineLevel="1">
      <c r="B203" s="144"/>
      <c r="C203" s="597" t="s">
        <v>132</v>
      </c>
      <c r="D203" s="584"/>
      <c r="E203" s="584"/>
      <c r="F203" s="584"/>
      <c r="G203" s="584"/>
      <c r="H203" s="144" t="s">
        <v>1483</v>
      </c>
      <c r="I203" s="413">
        <f>I72</f>
        <v>0</v>
      </c>
      <c r="J203" s="413">
        <f>J72</f>
        <v>0</v>
      </c>
      <c r="K203" s="413">
        <f t="shared" ref="K203:M203" si="155">K72</f>
        <v>0</v>
      </c>
      <c r="L203" s="413">
        <f t="shared" si="155"/>
        <v>0</v>
      </c>
      <c r="M203" s="413">
        <f t="shared" si="155"/>
        <v>0</v>
      </c>
      <c r="N203" s="413">
        <f t="shared" ref="N203:O203" si="156">N72</f>
        <v>0</v>
      </c>
      <c r="O203" s="413">
        <f t="shared" si="156"/>
        <v>0</v>
      </c>
      <c r="P203" s="413">
        <f t="shared" ref="P203:R203" si="157">P72</f>
        <v>0</v>
      </c>
      <c r="Q203" s="413">
        <f t="shared" si="157"/>
        <v>0</v>
      </c>
      <c r="R203" s="413">
        <f t="shared" si="157"/>
        <v>0</v>
      </c>
      <c r="S203" s="108"/>
      <c r="T203" s="108"/>
    </row>
    <row r="204" spans="2:20" hidden="1" outlineLevel="1">
      <c r="B204" s="144"/>
      <c r="C204" s="148" t="s">
        <v>133</v>
      </c>
      <c r="D204" s="147"/>
      <c r="E204" s="147"/>
      <c r="F204" s="147"/>
      <c r="G204" s="147"/>
      <c r="H204" s="144" t="s">
        <v>1483</v>
      </c>
      <c r="I204" s="413">
        <f>I84</f>
        <v>0</v>
      </c>
      <c r="J204" s="413">
        <f>J84</f>
        <v>0</v>
      </c>
      <c r="K204" s="413">
        <f t="shared" ref="K204:M204" si="158">K84</f>
        <v>0</v>
      </c>
      <c r="L204" s="413">
        <f t="shared" si="158"/>
        <v>0</v>
      </c>
      <c r="M204" s="413">
        <f t="shared" si="158"/>
        <v>0</v>
      </c>
      <c r="N204" s="413">
        <f t="shared" ref="N204:O204" si="159">N84</f>
        <v>0</v>
      </c>
      <c r="O204" s="413">
        <f t="shared" si="159"/>
        <v>0</v>
      </c>
      <c r="P204" s="413">
        <f t="shared" ref="P204:R204" si="160">P84</f>
        <v>0</v>
      </c>
      <c r="Q204" s="413">
        <f t="shared" si="160"/>
        <v>0</v>
      </c>
      <c r="R204" s="413">
        <f t="shared" si="160"/>
        <v>0</v>
      </c>
      <c r="S204" s="108"/>
      <c r="T204" s="108"/>
    </row>
    <row r="205" spans="2:20" hidden="1" outlineLevel="1">
      <c r="B205" s="144"/>
      <c r="C205" s="597" t="s">
        <v>134</v>
      </c>
      <c r="D205" s="584"/>
      <c r="E205" s="584"/>
      <c r="F205" s="584"/>
      <c r="G205" s="584"/>
      <c r="H205" s="144" t="s">
        <v>1483</v>
      </c>
      <c r="I205" s="413">
        <f>I96</f>
        <v>0</v>
      </c>
      <c r="J205" s="413">
        <f>J96</f>
        <v>0</v>
      </c>
      <c r="K205" s="413">
        <f t="shared" ref="K205:M205" si="161">K96</f>
        <v>0</v>
      </c>
      <c r="L205" s="413">
        <f t="shared" si="161"/>
        <v>0</v>
      </c>
      <c r="M205" s="413">
        <f t="shared" si="161"/>
        <v>0</v>
      </c>
      <c r="N205" s="413">
        <f t="shared" ref="N205:O205" si="162">N96</f>
        <v>0</v>
      </c>
      <c r="O205" s="413">
        <f t="shared" si="162"/>
        <v>0</v>
      </c>
      <c r="P205" s="413">
        <f t="shared" ref="P205:R205" si="163">P96</f>
        <v>0</v>
      </c>
      <c r="Q205" s="413">
        <f t="shared" si="163"/>
        <v>0</v>
      </c>
      <c r="R205" s="413">
        <f t="shared" si="163"/>
        <v>0</v>
      </c>
      <c r="S205" s="108"/>
      <c r="T205" s="108"/>
    </row>
    <row r="206" spans="2:20" hidden="1" outlineLevel="1">
      <c r="B206" s="144"/>
      <c r="C206" s="148" t="s">
        <v>135</v>
      </c>
      <c r="D206" s="147"/>
      <c r="E206" s="147"/>
      <c r="F206" s="147"/>
      <c r="G206" s="147"/>
      <c r="H206" s="144" t="s">
        <v>1483</v>
      </c>
      <c r="I206" s="413">
        <f>I108</f>
        <v>0</v>
      </c>
      <c r="J206" s="413">
        <f>J108</f>
        <v>0</v>
      </c>
      <c r="K206" s="413">
        <f t="shared" ref="K206:M206" si="164">K108</f>
        <v>0</v>
      </c>
      <c r="L206" s="413">
        <f t="shared" si="164"/>
        <v>0</v>
      </c>
      <c r="M206" s="413">
        <f t="shared" si="164"/>
        <v>0</v>
      </c>
      <c r="N206" s="413">
        <f t="shared" ref="N206:O206" si="165">N108</f>
        <v>0</v>
      </c>
      <c r="O206" s="413">
        <f t="shared" si="165"/>
        <v>0</v>
      </c>
      <c r="P206" s="413">
        <f t="shared" ref="P206:R206" si="166">P108</f>
        <v>0</v>
      </c>
      <c r="Q206" s="413">
        <f t="shared" si="166"/>
        <v>0</v>
      </c>
      <c r="R206" s="413">
        <f t="shared" si="166"/>
        <v>0</v>
      </c>
      <c r="S206" s="108"/>
      <c r="T206" s="108"/>
    </row>
    <row r="207" spans="2:20" hidden="1" outlineLevel="1">
      <c r="B207" s="144"/>
      <c r="C207" s="597" t="s">
        <v>136</v>
      </c>
      <c r="D207" s="584"/>
      <c r="E207" s="584"/>
      <c r="F207" s="584"/>
      <c r="G207" s="584"/>
      <c r="H207" s="144" t="s">
        <v>1483</v>
      </c>
      <c r="I207" s="413">
        <f>I120</f>
        <v>0</v>
      </c>
      <c r="J207" s="413">
        <f>J120</f>
        <v>0</v>
      </c>
      <c r="K207" s="413">
        <f t="shared" ref="K207:M207" si="167">K120</f>
        <v>0</v>
      </c>
      <c r="L207" s="413">
        <f t="shared" si="167"/>
        <v>0</v>
      </c>
      <c r="M207" s="413">
        <f t="shared" si="167"/>
        <v>0</v>
      </c>
      <c r="N207" s="413">
        <f t="shared" ref="N207:O207" si="168">N120</f>
        <v>0</v>
      </c>
      <c r="O207" s="413">
        <f t="shared" si="168"/>
        <v>0</v>
      </c>
      <c r="P207" s="413">
        <f t="shared" ref="P207:R207" si="169">P120</f>
        <v>0</v>
      </c>
      <c r="Q207" s="413">
        <f t="shared" si="169"/>
        <v>0</v>
      </c>
      <c r="R207" s="413">
        <f t="shared" si="169"/>
        <v>0</v>
      </c>
      <c r="S207" s="108"/>
      <c r="T207" s="108"/>
    </row>
    <row r="208" spans="2:20" hidden="1" outlineLevel="1">
      <c r="B208" s="144"/>
      <c r="C208" s="148" t="s">
        <v>137</v>
      </c>
      <c r="D208" s="147"/>
      <c r="E208" s="147"/>
      <c r="F208" s="147"/>
      <c r="G208" s="147"/>
      <c r="H208" s="144" t="s">
        <v>1483</v>
      </c>
      <c r="I208" s="413">
        <f>I132</f>
        <v>0</v>
      </c>
      <c r="J208" s="413">
        <f>J132</f>
        <v>0</v>
      </c>
      <c r="K208" s="413">
        <f t="shared" ref="K208:M208" si="170">K132</f>
        <v>0</v>
      </c>
      <c r="L208" s="413">
        <f t="shared" si="170"/>
        <v>0</v>
      </c>
      <c r="M208" s="413">
        <f t="shared" si="170"/>
        <v>0</v>
      </c>
      <c r="N208" s="413">
        <f t="shared" ref="N208:O208" si="171">N132</f>
        <v>0</v>
      </c>
      <c r="O208" s="413">
        <f t="shared" si="171"/>
        <v>0</v>
      </c>
      <c r="P208" s="413">
        <f t="shared" ref="P208:R208" si="172">P132</f>
        <v>0</v>
      </c>
      <c r="Q208" s="413">
        <f t="shared" si="172"/>
        <v>0</v>
      </c>
      <c r="R208" s="413">
        <f t="shared" si="172"/>
        <v>0</v>
      </c>
      <c r="S208" s="108"/>
      <c r="T208" s="108"/>
    </row>
    <row r="209" spans="2:20" hidden="1" outlineLevel="1">
      <c r="B209" s="144"/>
      <c r="C209" s="597" t="s">
        <v>138</v>
      </c>
      <c r="D209" s="584"/>
      <c r="E209" s="584"/>
      <c r="F209" s="584"/>
      <c r="G209" s="584"/>
      <c r="H209" s="144" t="s">
        <v>1483</v>
      </c>
      <c r="I209" s="413">
        <f>I144</f>
        <v>0</v>
      </c>
      <c r="J209" s="413">
        <f>J144</f>
        <v>0</v>
      </c>
      <c r="K209" s="413">
        <f t="shared" ref="K209:M209" si="173">K144</f>
        <v>0</v>
      </c>
      <c r="L209" s="413">
        <f t="shared" si="173"/>
        <v>0</v>
      </c>
      <c r="M209" s="413">
        <f t="shared" si="173"/>
        <v>0</v>
      </c>
      <c r="N209" s="413">
        <f t="shared" ref="N209:O209" si="174">N144</f>
        <v>0</v>
      </c>
      <c r="O209" s="413">
        <f t="shared" si="174"/>
        <v>0</v>
      </c>
      <c r="P209" s="413">
        <f t="shared" ref="P209:R209" si="175">P144</f>
        <v>0</v>
      </c>
      <c r="Q209" s="413">
        <f t="shared" si="175"/>
        <v>0</v>
      </c>
      <c r="R209" s="413">
        <f t="shared" si="175"/>
        <v>0</v>
      </c>
      <c r="S209" s="108"/>
      <c r="T209" s="108"/>
    </row>
    <row r="210" spans="2:20" hidden="1" outlineLevel="1">
      <c r="B210" s="144"/>
      <c r="C210" s="160" t="s">
        <v>139</v>
      </c>
      <c r="D210" s="152"/>
      <c r="E210" s="152"/>
      <c r="F210" s="152"/>
      <c r="G210" s="152"/>
      <c r="H210" s="153" t="s">
        <v>1483</v>
      </c>
      <c r="I210" s="421">
        <f>SUM(I200:I209)</f>
        <v>0</v>
      </c>
      <c r="J210" s="421">
        <f>SUM(J200:J209)</f>
        <v>0</v>
      </c>
      <c r="K210" s="421">
        <f t="shared" ref="K210:N210" si="176">SUM(K200:K209)</f>
        <v>0</v>
      </c>
      <c r="L210" s="421">
        <f t="shared" si="176"/>
        <v>0</v>
      </c>
      <c r="M210" s="421">
        <f t="shared" si="176"/>
        <v>0</v>
      </c>
      <c r="N210" s="421">
        <f t="shared" si="176"/>
        <v>0</v>
      </c>
      <c r="O210" s="421">
        <f t="shared" ref="O210" si="177">SUM(O200:O209)</f>
        <v>0</v>
      </c>
      <c r="P210" s="421">
        <f t="shared" ref="P210" si="178">SUM(P200:P209)</f>
        <v>0</v>
      </c>
      <c r="Q210" s="421">
        <f t="shared" ref="Q210" si="179">SUM(Q200:Q209)</f>
        <v>0</v>
      </c>
      <c r="R210" s="421">
        <f t="shared" ref="R210" si="180">SUM(R200:R209)</f>
        <v>0</v>
      </c>
      <c r="S210" s="108"/>
      <c r="T210" s="108"/>
    </row>
    <row r="211" spans="2:20" hidden="1" outlineLevel="1">
      <c r="B211" s="144"/>
      <c r="C211" s="145" t="s">
        <v>140</v>
      </c>
      <c r="D211" s="141"/>
      <c r="E211" s="141"/>
      <c r="F211" s="141"/>
      <c r="G211" s="141"/>
      <c r="H211" s="139" t="s">
        <v>1483</v>
      </c>
      <c r="I211" s="413">
        <f>SUM(I210:XFD210)</f>
        <v>0</v>
      </c>
      <c r="J211" s="413"/>
      <c r="K211" s="413"/>
      <c r="L211" s="413"/>
      <c r="M211" s="413"/>
      <c r="N211" s="413"/>
      <c r="O211" s="413"/>
      <c r="P211" s="413"/>
      <c r="Q211" s="413"/>
      <c r="R211" s="413"/>
      <c r="S211" s="108"/>
      <c r="T211" s="108"/>
    </row>
    <row r="212" spans="2:20" ht="12.75" hidden="1" customHeight="1" outlineLevel="1">
      <c r="B212" s="144"/>
      <c r="C212" s="146" t="s">
        <v>127</v>
      </c>
      <c r="D212" s="140"/>
      <c r="E212" s="140"/>
      <c r="F212" s="140"/>
      <c r="G212" s="140"/>
      <c r="H212" s="138"/>
      <c r="I212" s="419">
        <f>(1/$H$10)*(1-(1/(1+$H$10))^$H$9)</f>
        <v>0.19999999999999996</v>
      </c>
      <c r="J212" s="413"/>
      <c r="K212" s="413"/>
      <c r="L212" s="413"/>
      <c r="M212" s="413"/>
      <c r="N212" s="413"/>
      <c r="O212" s="413"/>
      <c r="P212" s="413"/>
      <c r="Q212" s="413"/>
      <c r="R212" s="413"/>
      <c r="S212" s="108"/>
      <c r="T212" s="108"/>
    </row>
    <row r="213" spans="2:20" ht="12.75" hidden="1" customHeight="1" outlineLevel="1">
      <c r="B213" s="144"/>
      <c r="C213" s="145" t="s">
        <v>141</v>
      </c>
      <c r="D213" s="141"/>
      <c r="E213" s="141"/>
      <c r="F213" s="141"/>
      <c r="G213" s="141"/>
      <c r="H213" s="139" t="str">
        <f ca="1">$H$176</f>
        <v>kr</v>
      </c>
      <c r="I213" s="413">
        <f>I212*I211</f>
        <v>0</v>
      </c>
      <c r="J213" s="413"/>
      <c r="K213" s="413"/>
      <c r="L213" s="413"/>
      <c r="M213" s="413"/>
      <c r="N213" s="413"/>
      <c r="O213" s="413"/>
      <c r="P213" s="413"/>
      <c r="Q213" s="413"/>
      <c r="R213" s="413"/>
      <c r="S213" s="108"/>
      <c r="T213" s="108"/>
    </row>
    <row r="214" spans="2:20" ht="12.75" hidden="1" customHeight="1" outlineLevel="1">
      <c r="B214" s="144"/>
      <c r="C214" s="156"/>
      <c r="D214" s="156"/>
      <c r="E214" s="156"/>
      <c r="F214" s="156"/>
      <c r="G214" s="156"/>
      <c r="H214" s="154"/>
      <c r="I214" s="422"/>
      <c r="J214" s="422"/>
      <c r="K214" s="422"/>
      <c r="L214" s="422"/>
      <c r="M214" s="422"/>
      <c r="N214" s="422"/>
      <c r="O214" s="422"/>
      <c r="P214" s="422"/>
      <c r="Q214" s="422"/>
      <c r="R214" s="422"/>
      <c r="S214" s="108"/>
      <c r="T214" s="108"/>
    </row>
    <row r="215" spans="2:20" ht="12.75" hidden="1" customHeight="1" outlineLevel="1">
      <c r="B215" s="144"/>
      <c r="C215" s="157" t="s">
        <v>142</v>
      </c>
      <c r="D215" s="158"/>
      <c r="E215" s="158"/>
      <c r="F215" s="158"/>
      <c r="G215" s="158"/>
      <c r="H215" s="159"/>
      <c r="I215" s="423">
        <f t="shared" ref="I215:R215" ca="1" si="181">SUM(I181:I190)*$H$13</f>
        <v>0</v>
      </c>
      <c r="J215" s="423">
        <f t="shared" ca="1" si="181"/>
        <v>0</v>
      </c>
      <c r="K215" s="423">
        <f t="shared" ca="1" si="181"/>
        <v>0</v>
      </c>
      <c r="L215" s="423">
        <f t="shared" ca="1" si="181"/>
        <v>0</v>
      </c>
      <c r="M215" s="423">
        <f t="shared" ca="1" si="181"/>
        <v>0</v>
      </c>
      <c r="N215" s="423">
        <f t="shared" ca="1" si="181"/>
        <v>0</v>
      </c>
      <c r="O215" s="423">
        <f t="shared" ca="1" si="181"/>
        <v>0</v>
      </c>
      <c r="P215" s="423">
        <f t="shared" ca="1" si="181"/>
        <v>0</v>
      </c>
      <c r="Q215" s="423">
        <f t="shared" ca="1" si="181"/>
        <v>0</v>
      </c>
      <c r="R215" s="423">
        <f t="shared" ca="1" si="181"/>
        <v>0</v>
      </c>
      <c r="S215" s="108"/>
      <c r="T215" s="108"/>
    </row>
    <row r="216" spans="2:20" ht="12.75" hidden="1" customHeight="1" outlineLevel="1">
      <c r="B216" s="144"/>
      <c r="C216" s="161" t="s">
        <v>92</v>
      </c>
      <c r="D216" s="162"/>
      <c r="E216" s="162"/>
      <c r="F216" s="162"/>
      <c r="G216" s="162"/>
      <c r="H216" s="163" t="s">
        <v>143</v>
      </c>
      <c r="I216" s="425" t="e">
        <f ca="1">SUM(I217:I226)</f>
        <v>#DIV/0!</v>
      </c>
      <c r="J216" s="425" t="e">
        <f ca="1">SUM(J217:J226)</f>
        <v>#DIV/0!</v>
      </c>
      <c r="K216" s="425" t="e">
        <f t="shared" ref="K216:N216" ca="1" si="182">SUM(K217:K226)</f>
        <v>#DIV/0!</v>
      </c>
      <c r="L216" s="425" t="e">
        <f t="shared" ca="1" si="182"/>
        <v>#DIV/0!</v>
      </c>
      <c r="M216" s="425" t="e">
        <f t="shared" ca="1" si="182"/>
        <v>#DIV/0!</v>
      </c>
      <c r="N216" s="425" t="e">
        <f t="shared" ca="1" si="182"/>
        <v>#DIV/0!</v>
      </c>
      <c r="O216" s="425" t="e">
        <f t="shared" ref="O216" ca="1" si="183">SUM(O217:O226)</f>
        <v>#DIV/0!</v>
      </c>
      <c r="P216" s="425" t="e">
        <f t="shared" ref="P216" ca="1" si="184">SUM(P217:P226)</f>
        <v>#DIV/0!</v>
      </c>
      <c r="Q216" s="425" t="e">
        <f t="shared" ref="Q216" ca="1" si="185">SUM(Q217:Q226)</f>
        <v>#DIV/0!</v>
      </c>
      <c r="R216" s="425" t="e">
        <f t="shared" ref="R216" ca="1" si="186">SUM(R217:R226)</f>
        <v>#DIV/0!</v>
      </c>
      <c r="S216" s="108"/>
      <c r="T216" s="108"/>
    </row>
    <row r="217" spans="2:20" ht="12.75" hidden="1" customHeight="1" outlineLevel="1">
      <c r="B217" s="144"/>
      <c r="C217" s="148" t="s">
        <v>144</v>
      </c>
      <c r="D217" s="147"/>
      <c r="E217" s="147"/>
      <c r="F217" s="147"/>
      <c r="G217" s="147"/>
      <c r="H217" s="144" t="s">
        <v>143</v>
      </c>
      <c r="I217" s="420" t="e">
        <f t="shared" ref="I217:R217" ca="1" si="187">(I27*I30*$H$14*I35/1000)/I24</f>
        <v>#DIV/0!</v>
      </c>
      <c r="J217" s="420" t="e">
        <f t="shared" ca="1" si="187"/>
        <v>#DIV/0!</v>
      </c>
      <c r="K217" s="420" t="e">
        <f t="shared" ca="1" si="187"/>
        <v>#DIV/0!</v>
      </c>
      <c r="L217" s="420" t="e">
        <f t="shared" ca="1" si="187"/>
        <v>#DIV/0!</v>
      </c>
      <c r="M217" s="420" t="e">
        <f t="shared" ca="1" si="187"/>
        <v>#DIV/0!</v>
      </c>
      <c r="N217" s="420" t="e">
        <f t="shared" ca="1" si="187"/>
        <v>#DIV/0!</v>
      </c>
      <c r="O217" s="420" t="e">
        <f t="shared" ca="1" si="187"/>
        <v>#DIV/0!</v>
      </c>
      <c r="P217" s="420" t="e">
        <f t="shared" ca="1" si="187"/>
        <v>#DIV/0!</v>
      </c>
      <c r="Q217" s="420" t="e">
        <f t="shared" ca="1" si="187"/>
        <v>#DIV/0!</v>
      </c>
      <c r="R217" s="420" t="e">
        <f t="shared" ca="1" si="187"/>
        <v>#DIV/0!</v>
      </c>
      <c r="S217" s="108"/>
      <c r="T217" s="108"/>
    </row>
    <row r="218" spans="2:20" ht="12.75" hidden="1" customHeight="1" outlineLevel="1">
      <c r="B218" s="144"/>
      <c r="C218" s="597" t="s">
        <v>145</v>
      </c>
      <c r="D218" s="584"/>
      <c r="E218" s="584"/>
      <c r="F218" s="584"/>
      <c r="G218" s="584"/>
      <c r="H218" s="137" t="s">
        <v>143</v>
      </c>
      <c r="I218" s="413" t="e">
        <f t="shared" ref="I218:R218" ca="1" si="188">(I39*I42*$H$14*I47/1000)/I24</f>
        <v>#DIV/0!</v>
      </c>
      <c r="J218" s="413" t="e">
        <f t="shared" ca="1" si="188"/>
        <v>#DIV/0!</v>
      </c>
      <c r="K218" s="413" t="e">
        <f t="shared" ca="1" si="188"/>
        <v>#DIV/0!</v>
      </c>
      <c r="L218" s="413" t="e">
        <f t="shared" ca="1" si="188"/>
        <v>#DIV/0!</v>
      </c>
      <c r="M218" s="413" t="e">
        <f t="shared" ca="1" si="188"/>
        <v>#DIV/0!</v>
      </c>
      <c r="N218" s="413" t="e">
        <f t="shared" ca="1" si="188"/>
        <v>#DIV/0!</v>
      </c>
      <c r="O218" s="413" t="e">
        <f ca="1">(O38*O42*$H$14*O47/1000)/O24</f>
        <v>#DIV/0!</v>
      </c>
      <c r="P218" s="413" t="e">
        <f t="shared" ca="1" si="188"/>
        <v>#DIV/0!</v>
      </c>
      <c r="Q218" s="413" t="e">
        <f t="shared" ca="1" si="188"/>
        <v>#DIV/0!</v>
      </c>
      <c r="R218" s="413" t="e">
        <f t="shared" ca="1" si="188"/>
        <v>#DIV/0!</v>
      </c>
      <c r="S218" s="108"/>
      <c r="T218" s="108"/>
    </row>
    <row r="219" spans="2:20" ht="12.75" hidden="1" customHeight="1" outlineLevel="1">
      <c r="B219" s="144"/>
      <c r="C219" s="148" t="s">
        <v>146</v>
      </c>
      <c r="D219" s="147"/>
      <c r="E219" s="147"/>
      <c r="F219" s="147"/>
      <c r="G219" s="147"/>
      <c r="H219" s="144" t="s">
        <v>143</v>
      </c>
      <c r="I219" s="413" t="e">
        <f ca="1">(I51*I54*$H$14*I59/1000)/I24</f>
        <v>#DIV/0!</v>
      </c>
      <c r="J219" s="413" t="e">
        <f t="shared" ref="J219:R219" ca="1" si="189">(J51*J54*$H$14*J59/1000)/J24</f>
        <v>#DIV/0!</v>
      </c>
      <c r="K219" s="413" t="e">
        <f t="shared" ca="1" si="189"/>
        <v>#DIV/0!</v>
      </c>
      <c r="L219" s="413" t="e">
        <f t="shared" ca="1" si="189"/>
        <v>#DIV/0!</v>
      </c>
      <c r="M219" s="413" t="e">
        <f t="shared" ca="1" si="189"/>
        <v>#DIV/0!</v>
      </c>
      <c r="N219" s="413" t="e">
        <f t="shared" ca="1" si="189"/>
        <v>#DIV/0!</v>
      </c>
      <c r="O219" s="413" t="e">
        <f t="shared" ca="1" si="189"/>
        <v>#DIV/0!</v>
      </c>
      <c r="P219" s="413" t="e">
        <f t="shared" ca="1" si="189"/>
        <v>#DIV/0!</v>
      </c>
      <c r="Q219" s="413" t="e">
        <f t="shared" ca="1" si="189"/>
        <v>#DIV/0!</v>
      </c>
      <c r="R219" s="413" t="e">
        <f t="shared" ca="1" si="189"/>
        <v>#DIV/0!</v>
      </c>
      <c r="S219" s="108"/>
      <c r="T219" s="108"/>
    </row>
    <row r="220" spans="2:20" ht="12.75" hidden="1" customHeight="1" outlineLevel="1">
      <c r="B220" s="144"/>
      <c r="C220" s="597" t="s">
        <v>147</v>
      </c>
      <c r="D220" s="584"/>
      <c r="E220" s="584"/>
      <c r="F220" s="584"/>
      <c r="G220" s="584"/>
      <c r="H220" s="137" t="s">
        <v>143</v>
      </c>
      <c r="I220" s="413" t="e">
        <f ca="1">(I63*I66*$H$14*I71/1000)/I24</f>
        <v>#DIV/0!</v>
      </c>
      <c r="J220" s="413" t="e">
        <f ca="1">(J63*J66*$H$14*J71/1000)/J24</f>
        <v>#DIV/0!</v>
      </c>
      <c r="K220" s="413" t="e">
        <f t="shared" ref="K220:R220" ca="1" si="190">(K63*K66*$H$14*K71/1000)/K24</f>
        <v>#DIV/0!</v>
      </c>
      <c r="L220" s="413" t="e">
        <f t="shared" ca="1" si="190"/>
        <v>#DIV/0!</v>
      </c>
      <c r="M220" s="413" t="e">
        <f t="shared" ca="1" si="190"/>
        <v>#DIV/0!</v>
      </c>
      <c r="N220" s="413" t="e">
        <f t="shared" ca="1" si="190"/>
        <v>#DIV/0!</v>
      </c>
      <c r="O220" s="413" t="e">
        <f t="shared" ca="1" si="190"/>
        <v>#DIV/0!</v>
      </c>
      <c r="P220" s="413" t="e">
        <f t="shared" ca="1" si="190"/>
        <v>#DIV/0!</v>
      </c>
      <c r="Q220" s="413" t="e">
        <f t="shared" ca="1" si="190"/>
        <v>#DIV/0!</v>
      </c>
      <c r="R220" s="413" t="e">
        <f t="shared" ca="1" si="190"/>
        <v>#DIV/0!</v>
      </c>
      <c r="S220" s="108"/>
      <c r="T220" s="108"/>
    </row>
    <row r="221" spans="2:20" ht="12.75" hidden="1" customHeight="1" outlineLevel="1">
      <c r="B221" s="144"/>
      <c r="C221" s="148" t="s">
        <v>148</v>
      </c>
      <c r="D221" s="147"/>
      <c r="E221" s="147"/>
      <c r="F221" s="147"/>
      <c r="G221" s="147"/>
      <c r="H221" s="144" t="s">
        <v>143</v>
      </c>
      <c r="I221" s="413" t="e">
        <f t="shared" ref="I221:R221" ca="1" si="191">(I75*I78*$H$14*I83/1000)/I24</f>
        <v>#DIV/0!</v>
      </c>
      <c r="J221" s="413" t="e">
        <f t="shared" ca="1" si="191"/>
        <v>#DIV/0!</v>
      </c>
      <c r="K221" s="413" t="e">
        <f t="shared" ca="1" si="191"/>
        <v>#DIV/0!</v>
      </c>
      <c r="L221" s="413" t="e">
        <f t="shared" ca="1" si="191"/>
        <v>#DIV/0!</v>
      </c>
      <c r="M221" s="413" t="e">
        <f t="shared" ca="1" si="191"/>
        <v>#DIV/0!</v>
      </c>
      <c r="N221" s="413" t="e">
        <f t="shared" ca="1" si="191"/>
        <v>#DIV/0!</v>
      </c>
      <c r="O221" s="413" t="e">
        <f t="shared" ca="1" si="191"/>
        <v>#DIV/0!</v>
      </c>
      <c r="P221" s="413" t="e">
        <f t="shared" ca="1" si="191"/>
        <v>#DIV/0!</v>
      </c>
      <c r="Q221" s="413" t="e">
        <f t="shared" ca="1" si="191"/>
        <v>#DIV/0!</v>
      </c>
      <c r="R221" s="413" t="e">
        <f t="shared" ca="1" si="191"/>
        <v>#DIV/0!</v>
      </c>
      <c r="S221" s="108"/>
      <c r="T221" s="108"/>
    </row>
    <row r="222" spans="2:20" ht="12.75" hidden="1" customHeight="1" outlineLevel="1">
      <c r="B222" s="144"/>
      <c r="C222" s="597" t="s">
        <v>149</v>
      </c>
      <c r="D222" s="584"/>
      <c r="E222" s="584"/>
      <c r="F222" s="584"/>
      <c r="G222" s="584"/>
      <c r="H222" s="137" t="s">
        <v>143</v>
      </c>
      <c r="I222" s="413" t="e">
        <f t="shared" ref="I222:R222" ca="1" si="192">(I87*I90*$H$14*I95/1000)/I24</f>
        <v>#DIV/0!</v>
      </c>
      <c r="J222" s="413" t="e">
        <f t="shared" ca="1" si="192"/>
        <v>#DIV/0!</v>
      </c>
      <c r="K222" s="413" t="e">
        <f t="shared" ca="1" si="192"/>
        <v>#DIV/0!</v>
      </c>
      <c r="L222" s="413" t="e">
        <f t="shared" ca="1" si="192"/>
        <v>#DIV/0!</v>
      </c>
      <c r="M222" s="413" t="e">
        <f t="shared" ca="1" si="192"/>
        <v>#DIV/0!</v>
      </c>
      <c r="N222" s="413" t="e">
        <f t="shared" ca="1" si="192"/>
        <v>#DIV/0!</v>
      </c>
      <c r="O222" s="413" t="e">
        <f t="shared" ca="1" si="192"/>
        <v>#DIV/0!</v>
      </c>
      <c r="P222" s="413" t="e">
        <f t="shared" ca="1" si="192"/>
        <v>#DIV/0!</v>
      </c>
      <c r="Q222" s="413" t="e">
        <f t="shared" ca="1" si="192"/>
        <v>#DIV/0!</v>
      </c>
      <c r="R222" s="413" t="e">
        <f t="shared" ca="1" si="192"/>
        <v>#DIV/0!</v>
      </c>
      <c r="S222" s="108"/>
      <c r="T222" s="108"/>
    </row>
    <row r="223" spans="2:20" ht="12.75" hidden="1" customHeight="1" outlineLevel="1">
      <c r="B223" s="144"/>
      <c r="C223" s="148" t="s">
        <v>150</v>
      </c>
      <c r="D223" s="147"/>
      <c r="E223" s="147"/>
      <c r="F223" s="147"/>
      <c r="G223" s="147"/>
      <c r="H223" s="144" t="s">
        <v>143</v>
      </c>
      <c r="I223" s="413" t="e">
        <f t="shared" ref="I223:R223" ca="1" si="193">(I99*I102*$H$14*I107/1000)/I24</f>
        <v>#DIV/0!</v>
      </c>
      <c r="J223" s="413" t="e">
        <f t="shared" ca="1" si="193"/>
        <v>#DIV/0!</v>
      </c>
      <c r="K223" s="413" t="e">
        <f t="shared" ca="1" si="193"/>
        <v>#DIV/0!</v>
      </c>
      <c r="L223" s="413" t="e">
        <f t="shared" ca="1" si="193"/>
        <v>#DIV/0!</v>
      </c>
      <c r="M223" s="413" t="e">
        <f t="shared" ca="1" si="193"/>
        <v>#DIV/0!</v>
      </c>
      <c r="N223" s="413" t="e">
        <f t="shared" ca="1" si="193"/>
        <v>#DIV/0!</v>
      </c>
      <c r="O223" s="413" t="e">
        <f t="shared" ca="1" si="193"/>
        <v>#DIV/0!</v>
      </c>
      <c r="P223" s="413" t="e">
        <f t="shared" ca="1" si="193"/>
        <v>#DIV/0!</v>
      </c>
      <c r="Q223" s="413" t="e">
        <f t="shared" ca="1" si="193"/>
        <v>#DIV/0!</v>
      </c>
      <c r="R223" s="413" t="e">
        <f t="shared" ca="1" si="193"/>
        <v>#DIV/0!</v>
      </c>
      <c r="S223" s="108"/>
      <c r="T223" s="108"/>
    </row>
    <row r="224" spans="2:20" ht="12.75" hidden="1" customHeight="1" outlineLevel="1">
      <c r="B224" s="144"/>
      <c r="C224" s="597" t="s">
        <v>151</v>
      </c>
      <c r="D224" s="584"/>
      <c r="E224" s="584"/>
      <c r="F224" s="584"/>
      <c r="G224" s="584"/>
      <c r="H224" s="137" t="s">
        <v>143</v>
      </c>
      <c r="I224" s="413" t="e">
        <f t="shared" ref="I224:R224" ca="1" si="194">(I111*I114*$H$14*I119/1000)/I24</f>
        <v>#DIV/0!</v>
      </c>
      <c r="J224" s="413" t="e">
        <f t="shared" ca="1" si="194"/>
        <v>#DIV/0!</v>
      </c>
      <c r="K224" s="413" t="e">
        <f t="shared" ca="1" si="194"/>
        <v>#DIV/0!</v>
      </c>
      <c r="L224" s="413" t="e">
        <f t="shared" ca="1" si="194"/>
        <v>#DIV/0!</v>
      </c>
      <c r="M224" s="413" t="e">
        <f t="shared" ca="1" si="194"/>
        <v>#DIV/0!</v>
      </c>
      <c r="N224" s="413" t="e">
        <f t="shared" ca="1" si="194"/>
        <v>#DIV/0!</v>
      </c>
      <c r="O224" s="413" t="e">
        <f t="shared" ca="1" si="194"/>
        <v>#DIV/0!</v>
      </c>
      <c r="P224" s="413" t="e">
        <f t="shared" ca="1" si="194"/>
        <v>#DIV/0!</v>
      </c>
      <c r="Q224" s="413" t="e">
        <f t="shared" ca="1" si="194"/>
        <v>#DIV/0!</v>
      </c>
      <c r="R224" s="413" t="e">
        <f t="shared" ca="1" si="194"/>
        <v>#DIV/0!</v>
      </c>
      <c r="S224" s="108"/>
      <c r="T224" s="108"/>
    </row>
    <row r="225" spans="2:20" ht="12.75" hidden="1" customHeight="1" outlineLevel="1">
      <c r="B225" s="144"/>
      <c r="C225" s="148" t="s">
        <v>152</v>
      </c>
      <c r="D225" s="147"/>
      <c r="E225" s="147"/>
      <c r="F225" s="147"/>
      <c r="G225" s="147"/>
      <c r="H225" s="144" t="s">
        <v>143</v>
      </c>
      <c r="I225" s="413" t="e">
        <f t="shared" ref="I225:R225" ca="1" si="195">(I123*I126*$H$14*I131/1000)/I24</f>
        <v>#DIV/0!</v>
      </c>
      <c r="J225" s="413" t="e">
        <f t="shared" ca="1" si="195"/>
        <v>#DIV/0!</v>
      </c>
      <c r="K225" s="413" t="e">
        <f t="shared" ca="1" si="195"/>
        <v>#DIV/0!</v>
      </c>
      <c r="L225" s="413" t="e">
        <f t="shared" ca="1" si="195"/>
        <v>#DIV/0!</v>
      </c>
      <c r="M225" s="413" t="e">
        <f t="shared" ca="1" si="195"/>
        <v>#DIV/0!</v>
      </c>
      <c r="N225" s="413" t="e">
        <f t="shared" ca="1" si="195"/>
        <v>#DIV/0!</v>
      </c>
      <c r="O225" s="413" t="e">
        <f t="shared" ca="1" si="195"/>
        <v>#DIV/0!</v>
      </c>
      <c r="P225" s="413" t="e">
        <f t="shared" ca="1" si="195"/>
        <v>#DIV/0!</v>
      </c>
      <c r="Q225" s="413" t="e">
        <f t="shared" ca="1" si="195"/>
        <v>#DIV/0!</v>
      </c>
      <c r="R225" s="413" t="e">
        <f t="shared" ca="1" si="195"/>
        <v>#DIV/0!</v>
      </c>
      <c r="S225" s="108"/>
      <c r="T225" s="108"/>
    </row>
    <row r="226" spans="2:20" ht="12.75" hidden="1" customHeight="1" outlineLevel="1">
      <c r="B226" s="144"/>
      <c r="C226" s="597" t="s">
        <v>153</v>
      </c>
      <c r="D226" s="584"/>
      <c r="E226" s="584"/>
      <c r="F226" s="584"/>
      <c r="G226" s="584"/>
      <c r="H226" s="137" t="s">
        <v>143</v>
      </c>
      <c r="I226" s="413" t="e">
        <f t="shared" ref="I226:R226" ca="1" si="196">(I135*I138*$H$14*I143/1000)/I24</f>
        <v>#DIV/0!</v>
      </c>
      <c r="J226" s="413" t="e">
        <f t="shared" ca="1" si="196"/>
        <v>#DIV/0!</v>
      </c>
      <c r="K226" s="413" t="e">
        <f t="shared" ca="1" si="196"/>
        <v>#DIV/0!</v>
      </c>
      <c r="L226" s="413" t="e">
        <f t="shared" ca="1" si="196"/>
        <v>#DIV/0!</v>
      </c>
      <c r="M226" s="413" t="e">
        <f t="shared" ca="1" si="196"/>
        <v>#DIV/0!</v>
      </c>
      <c r="N226" s="413" t="e">
        <f t="shared" ca="1" si="196"/>
        <v>#DIV/0!</v>
      </c>
      <c r="O226" s="413" t="e">
        <f t="shared" ca="1" si="196"/>
        <v>#DIV/0!</v>
      </c>
      <c r="P226" s="413" t="e">
        <f t="shared" ca="1" si="196"/>
        <v>#DIV/0!</v>
      </c>
      <c r="Q226" s="413" t="e">
        <f t="shared" ca="1" si="196"/>
        <v>#DIV/0!</v>
      </c>
      <c r="R226" s="413" t="e">
        <f t="shared" ca="1" si="196"/>
        <v>#DIV/0!</v>
      </c>
      <c r="S226" s="108"/>
      <c r="T226" s="108"/>
    </row>
    <row r="227" spans="2:20" ht="13.25" hidden="1" customHeight="1" outlineLevel="1">
      <c r="B227" s="415"/>
      <c r="C227" s="621" t="s">
        <v>154</v>
      </c>
      <c r="D227" s="621"/>
      <c r="E227" s="621"/>
      <c r="F227" s="621"/>
      <c r="G227" s="621"/>
      <c r="H227" s="415" t="s">
        <v>90</v>
      </c>
      <c r="I227" s="417">
        <f ca="1">I213+I197</f>
        <v>0</v>
      </c>
      <c r="J227" s="417"/>
      <c r="K227" s="417"/>
      <c r="L227" s="417"/>
      <c r="M227" s="417"/>
      <c r="N227" s="417"/>
      <c r="O227" s="417"/>
      <c r="P227" s="417"/>
      <c r="Q227" s="417"/>
      <c r="R227" s="417"/>
      <c r="S227" s="417"/>
      <c r="T227" s="417"/>
    </row>
    <row r="228" spans="2:20" ht="29.25" hidden="1" customHeight="1" outlineLevel="1">
      <c r="B228" s="426"/>
      <c r="C228" s="427" t="s">
        <v>155</v>
      </c>
      <c r="D228" s="427"/>
      <c r="E228" s="427"/>
      <c r="F228" s="427"/>
      <c r="G228" s="427"/>
      <c r="H228" s="427" t="s">
        <v>90</v>
      </c>
      <c r="I228" s="428">
        <f ca="1">I227+I176</f>
        <v>0</v>
      </c>
      <c r="J228" s="428"/>
      <c r="K228" s="428"/>
      <c r="L228" s="428"/>
      <c r="M228" s="428"/>
      <c r="N228" s="428"/>
      <c r="O228" s="428"/>
      <c r="P228" s="428"/>
      <c r="Q228" s="428"/>
      <c r="R228" s="428"/>
      <c r="S228" s="428"/>
      <c r="T228" s="428"/>
    </row>
    <row r="229" spans="2:20" collapsed="1">
      <c r="C229" s="188"/>
      <c r="D229" s="188"/>
      <c r="E229" s="189"/>
      <c r="F229" s="189"/>
      <c r="G229" s="189"/>
      <c r="H229" s="189"/>
      <c r="I229" s="189"/>
      <c r="J229" s="193"/>
      <c r="K229" s="191"/>
    </row>
    <row r="230" spans="2:20">
      <c r="F230" s="193"/>
      <c r="G230" s="193"/>
      <c r="H230" s="193"/>
      <c r="I230" s="475"/>
      <c r="J230" s="193"/>
      <c r="K230" s="191"/>
    </row>
    <row r="232" spans="2:20">
      <c r="I232" s="192" t="str" cm="1">
        <f t="array" aca="1" ref="I232" ca="1">IFERROR(
  INDEX(
    tblStrings[],
    MATCH(
      1,
      (tblStrings[Cell]=SUBSTITUTE(CELL("adress",INDIRECT("RC",FALSE)),"$","")) *
      (tblStrings[Sheet]=AllStrings!$C$433),
      0
    ),
    MATCH(Språkval, tblStrings[#Headers], 0)
  ),
)</f>
        <v>Ingen</v>
      </c>
    </row>
    <row r="233" spans="2:20">
      <c r="I233" s="192" t="str" cm="1">
        <f t="array" aca="1" ref="I233" ca="1">IFERROR(
  INDEX(
    tblStrings[],
    MATCH(
      1,
      (tblStrings[Cell]=SUBSTITUTE(CELL("adress",INDIRECT("RC",FALSE)),"$","")) *
      (tblStrings[Sheet]=AllStrings!$C$433),
      0
    ),
    MATCH(Språkval, tblStrings[#Headers], 0)
  ),
)</f>
        <v>Manuell</v>
      </c>
    </row>
    <row r="234" spans="2:20">
      <c r="I234" s="192" t="str" cm="1">
        <f t="array" aca="1" ref="I234" ca="1">IFERROR(
  INDEX(
    tblStrings[],
    MATCH(
      1,
      (tblStrings[Cell]=SUBSTITUTE(CELL("adress",INDIRECT("RC",FALSE)),"$","")) *
      (tblStrings[Sheet]=AllStrings!$C$433),
      0
    ),
    MATCH(Språkval, tblStrings[#Headers], 0)
  ),
)</f>
        <v>Manuell + Närvaro/frånvaro</v>
      </c>
    </row>
    <row r="235" spans="2:20">
      <c r="I235" s="192" t="str" cm="1">
        <f t="array" aca="1" ref="I235" ca="1">IFERROR(
  INDEX(
    tblStrings[],
    MATCH(
      1,
      (tblStrings[Cell]=SUBSTITUTE(CELL("adress",INDIRECT("RC",FALSE)),"$","")) *
      (tblStrings[Sheet]=AllStrings!$C$433),
      0
    ),
    MATCH(Språkval, tblStrings[#Headers], 0)
  ),
)</f>
        <v>Manuell + Närvaro/frånvaro + Dagsljus</v>
      </c>
    </row>
  </sheetData>
  <sheetProtection algorithmName="SHA-512" hashValue="JWGkrKIAPkJarcfoVcObRAIkqlemt2/79wJPqFuDJNy/Hk24DyYaBUKIYiiwh1E7mAKJO6jJi6tLvYqXBMVWlA==" saltValue="U7HV1KLCtP1TuEnDifZVxQ==" spinCount="100000" sheet="1" selectLockedCells="1"/>
  <mergeCells count="63">
    <mergeCell ref="C209:G209"/>
    <mergeCell ref="C220:G220"/>
    <mergeCell ref="C222:G222"/>
    <mergeCell ref="C224:G224"/>
    <mergeCell ref="C226:G226"/>
    <mergeCell ref="C190:G190"/>
    <mergeCell ref="C203:G203"/>
    <mergeCell ref="C205:G205"/>
    <mergeCell ref="C207:G207"/>
    <mergeCell ref="C201:G201"/>
    <mergeCell ref="C9:G9"/>
    <mergeCell ref="C11:G11"/>
    <mergeCell ref="C4:H4"/>
    <mergeCell ref="C10:G10"/>
    <mergeCell ref="C189:G189"/>
    <mergeCell ref="C172:G172"/>
    <mergeCell ref="C173:G173"/>
    <mergeCell ref="C174:G174"/>
    <mergeCell ref="C167:G167"/>
    <mergeCell ref="C168:G168"/>
    <mergeCell ref="C169:G169"/>
    <mergeCell ref="C170:G170"/>
    <mergeCell ref="C171:G171"/>
    <mergeCell ref="C12:G12"/>
    <mergeCell ref="C13:G13"/>
    <mergeCell ref="C14:G14"/>
    <mergeCell ref="C3:H3"/>
    <mergeCell ref="C8:H8"/>
    <mergeCell ref="C5:E5"/>
    <mergeCell ref="F5:I5"/>
    <mergeCell ref="C6:E6"/>
    <mergeCell ref="F6:I6"/>
    <mergeCell ref="C7:E7"/>
    <mergeCell ref="F7:I7"/>
    <mergeCell ref="C186:G186"/>
    <mergeCell ref="C187:G187"/>
    <mergeCell ref="C18:H18"/>
    <mergeCell ref="C166:G166"/>
    <mergeCell ref="C165:G165"/>
    <mergeCell ref="C164:G164"/>
    <mergeCell ref="C149:D149"/>
    <mergeCell ref="C162:G162"/>
    <mergeCell ref="C160:G160"/>
    <mergeCell ref="C155:G155"/>
    <mergeCell ref="C163:G163"/>
    <mergeCell ref="C175:G175"/>
    <mergeCell ref="C21:G21"/>
    <mergeCell ref="C15:G15"/>
    <mergeCell ref="E2:G2"/>
    <mergeCell ref="C188:G188"/>
    <mergeCell ref="C227:G227"/>
    <mergeCell ref="C158:G158"/>
    <mergeCell ref="C151:G151"/>
    <mergeCell ref="C178:G178"/>
    <mergeCell ref="C177:G177"/>
    <mergeCell ref="C176:G176"/>
    <mergeCell ref="C182:G182"/>
    <mergeCell ref="C181:G181"/>
    <mergeCell ref="C180:G180"/>
    <mergeCell ref="C218:G218"/>
    <mergeCell ref="C183:G183"/>
    <mergeCell ref="C184:G184"/>
    <mergeCell ref="C185:G185"/>
  </mergeCells>
  <phoneticPr fontId="82" type="noConversion"/>
  <dataValidations count="3">
    <dataValidation allowBlank="1" showInputMessage="1" showErrorMessage="1" prompt="Markera cell till vänster för att välja pris i dropdown-menyn" sqref="G11" xr:uid="{C34707A9-7CD5-4BFE-9C0E-D6F0C43C5AED}"/>
    <dataValidation type="list" allowBlank="1" showInputMessage="1" showErrorMessage="1" sqref="I31:R31 I139:R139 I115:R115 I55:R55 I67:R67 I127:R127 I43:R43 I79:R79 I103:R103 I91:R91" xr:uid="{ABEF7BCC-3703-4082-8DF4-179CA6F85134}">
      <formula1>$I$232:$I$235</formula1>
    </dataValidation>
    <dataValidation type="list" allowBlank="1" showInputMessage="1" showErrorMessage="1" sqref="I21:R21" xr:uid="{D7E700B2-A57B-4DFE-99AE-622CA95ACAEB}">
      <formula1>INDIRECT(I$20)</formula1>
    </dataValidation>
  </dataValidations>
  <pageMargins left="0.75" right="0.75" top="1" bottom="1" header="0.5" footer="0.5"/>
  <pageSetup paperSize="9" scale="35" orientation="portrait" horizontalDpi="1200" verticalDpi="1200"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CE210C0-0894-400F-BBE1-D3CC0C483FAC}">
          <x14:formula1>
            <xm:f>'4. Reduktionsfaktorer, LENI-tal'!$Q$12:$U$12</xm:f>
          </x14:formula1>
          <xm:sqref>I19:R19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F9B4-1726-406E-940F-B46AB6B0C72F}">
  <sheetPr codeName="Blad5">
    <tabColor rgb="FF007E48"/>
  </sheetPr>
  <dimension ref="A1:T235"/>
  <sheetViews>
    <sheetView zoomScaleNormal="100" workbookViewId="0">
      <pane ySplit="16" topLeftCell="A17" activePane="bottomLeft" state="frozen"/>
      <selection activeCell="Y51" sqref="Y51"/>
      <selection pane="bottomLeft" activeCell="I27" sqref="I27"/>
    </sheetView>
  </sheetViews>
  <sheetFormatPr baseColWidth="10" defaultColWidth="9.1640625" defaultRowHeight="16" outlineLevelRow="1"/>
  <cols>
    <col min="1" max="1" width="15.1640625" style="173" customWidth="1"/>
    <col min="2" max="2" width="12.5" style="173" customWidth="1"/>
    <col min="3" max="3" width="10.5" style="173" customWidth="1"/>
    <col min="4" max="4" width="8.5" style="173" customWidth="1"/>
    <col min="5" max="5" width="8.1640625" style="192" customWidth="1"/>
    <col min="6" max="6" width="10" style="192" customWidth="1"/>
    <col min="7" max="7" width="16.5" style="192" customWidth="1"/>
    <col min="8" max="8" width="8.83203125" style="192" customWidth="1"/>
    <col min="9" max="10" width="20.5" style="192" customWidth="1"/>
    <col min="11" max="11" width="20.5" style="195" customWidth="1"/>
    <col min="12" max="18" width="20.5" style="192" customWidth="1"/>
    <col min="19" max="16384" width="9.1640625" style="173"/>
  </cols>
  <sheetData>
    <row r="1" spans="2:20" s="170" customFormat="1" ht="23" hidden="1">
      <c r="C1" s="4"/>
      <c r="D1" s="4"/>
      <c r="E1" s="4"/>
      <c r="F1" s="4"/>
      <c r="G1" s="4"/>
      <c r="H1" s="171"/>
      <c r="I1" s="171"/>
      <c r="J1" s="4"/>
      <c r="K1" s="4"/>
      <c r="L1" s="4"/>
      <c r="M1" s="4"/>
      <c r="N1" s="4"/>
      <c r="O1" s="4"/>
      <c r="P1" s="4"/>
      <c r="Q1" s="4"/>
      <c r="R1" s="4"/>
    </row>
    <row r="2" spans="2:20" s="170" customFormat="1" ht="23" hidden="1">
      <c r="B2" s="355"/>
      <c r="C2" s="324" t="s">
        <v>42</v>
      </c>
      <c r="D2" s="325"/>
      <c r="E2" s="325" t="s">
        <v>158</v>
      </c>
      <c r="F2" s="325"/>
      <c r="G2" s="325"/>
      <c r="H2" s="356"/>
      <c r="I2" s="356"/>
      <c r="J2" s="325"/>
      <c r="K2" s="325"/>
      <c r="L2" s="325"/>
      <c r="M2" s="325"/>
      <c r="N2" s="325"/>
      <c r="O2" s="325"/>
      <c r="P2" s="325"/>
      <c r="Q2" s="325"/>
      <c r="R2" s="325"/>
      <c r="S2" s="325"/>
      <c r="T2" s="325"/>
    </row>
    <row r="3" spans="2:20" ht="15.75" hidden="1" customHeight="1">
      <c r="B3" s="129"/>
      <c r="C3" s="578"/>
      <c r="D3" s="578"/>
      <c r="E3" s="578"/>
      <c r="F3" s="578"/>
      <c r="G3" s="578"/>
      <c r="H3" s="578"/>
      <c r="I3" s="172"/>
      <c r="J3" s="129"/>
      <c r="K3" s="129"/>
      <c r="L3" s="129"/>
      <c r="M3" s="129"/>
      <c r="N3" s="129"/>
      <c r="O3" s="129"/>
      <c r="P3" s="129"/>
      <c r="Q3" s="129"/>
      <c r="R3" s="129"/>
      <c r="S3" s="129"/>
      <c r="T3" s="129"/>
    </row>
    <row r="4" spans="2:20" ht="23" hidden="1">
      <c r="B4" s="129"/>
      <c r="C4" s="579" t="s">
        <v>21</v>
      </c>
      <c r="D4" s="579"/>
      <c r="E4" s="579"/>
      <c r="F4" s="579"/>
      <c r="G4" s="579"/>
      <c r="H4" s="579"/>
      <c r="I4" s="166"/>
      <c r="J4" s="129"/>
      <c r="K4" s="129"/>
      <c r="L4" s="129"/>
      <c r="M4" s="129"/>
      <c r="N4" s="129"/>
      <c r="O4" s="129"/>
      <c r="P4" s="129"/>
      <c r="Q4" s="129"/>
      <c r="R4" s="129"/>
      <c r="S4" s="129"/>
      <c r="T4" s="129"/>
    </row>
    <row r="5" spans="2:20" s="174" customFormat="1" hidden="1">
      <c r="B5" s="129"/>
      <c r="C5" s="573" t="s">
        <v>22</v>
      </c>
      <c r="D5" s="573"/>
      <c r="E5" s="574"/>
      <c r="F5" s="575">
        <f>Förutsättningar!S20</f>
        <v>0</v>
      </c>
      <c r="G5" s="576"/>
      <c r="H5" s="576"/>
      <c r="I5" s="577"/>
      <c r="J5" s="129"/>
      <c r="K5" s="129"/>
      <c r="L5" s="129"/>
      <c r="M5" s="129"/>
      <c r="N5" s="129"/>
      <c r="O5" s="129"/>
      <c r="P5" s="129"/>
      <c r="Q5" s="129"/>
      <c r="R5" s="129"/>
      <c r="S5" s="129"/>
      <c r="T5" s="129"/>
    </row>
    <row r="6" spans="2:20" s="174" customFormat="1" hidden="1">
      <c r="B6" s="129"/>
      <c r="C6" s="573" t="s">
        <v>23</v>
      </c>
      <c r="D6" s="573"/>
      <c r="E6" s="574"/>
      <c r="F6" s="575">
        <f>Förutsättningar!S21</f>
        <v>0</v>
      </c>
      <c r="G6" s="576"/>
      <c r="H6" s="576"/>
      <c r="I6" s="577"/>
      <c r="J6" s="129"/>
      <c r="K6" s="129"/>
      <c r="L6" s="129"/>
      <c r="M6" s="129"/>
      <c r="N6" s="129"/>
      <c r="O6" s="129"/>
      <c r="P6" s="129"/>
      <c r="Q6" s="129"/>
      <c r="R6" s="129"/>
      <c r="S6" s="129"/>
      <c r="T6" s="129"/>
    </row>
    <row r="7" spans="2:20" s="174" customFormat="1" hidden="1">
      <c r="B7" s="129"/>
      <c r="C7" s="573" t="s">
        <v>24</v>
      </c>
      <c r="D7" s="573"/>
      <c r="E7" s="574"/>
      <c r="F7" s="575">
        <f>Förutsättningar!S22</f>
        <v>0</v>
      </c>
      <c r="G7" s="576"/>
      <c r="H7" s="576"/>
      <c r="I7" s="577"/>
      <c r="J7" s="129"/>
      <c r="K7" s="129"/>
      <c r="L7" s="129"/>
      <c r="M7" s="129"/>
      <c r="N7" s="129"/>
      <c r="O7" s="129"/>
      <c r="P7" s="129"/>
      <c r="Q7" s="129"/>
      <c r="R7" s="129"/>
      <c r="S7" s="129"/>
      <c r="T7" s="129"/>
    </row>
    <row r="8" spans="2:20" ht="15" hidden="1">
      <c r="B8" s="129"/>
      <c r="C8" s="581"/>
      <c r="D8" s="581"/>
      <c r="E8" s="581"/>
      <c r="F8" s="581"/>
      <c r="G8" s="581"/>
      <c r="H8" s="581"/>
      <c r="I8" s="172"/>
      <c r="J8" s="129"/>
      <c r="K8" s="129"/>
      <c r="L8" s="129"/>
      <c r="M8" s="129"/>
      <c r="N8" s="129"/>
      <c r="O8" s="129"/>
      <c r="P8" s="129"/>
      <c r="Q8" s="129"/>
      <c r="R8" s="129"/>
      <c r="S8" s="129"/>
      <c r="T8" s="129"/>
    </row>
    <row r="9" spans="2:20" s="174" customFormat="1" hidden="1">
      <c r="B9" s="111" t="s">
        <v>25</v>
      </c>
      <c r="C9" s="582" t="s">
        <v>26</v>
      </c>
      <c r="D9" s="582"/>
      <c r="E9" s="582"/>
      <c r="F9" s="582"/>
      <c r="G9" s="583"/>
      <c r="H9" s="357">
        <f>Förutsättningar!U24</f>
        <v>20</v>
      </c>
      <c r="I9" s="468" t="s">
        <v>27</v>
      </c>
      <c r="J9" s="129"/>
      <c r="K9" s="129"/>
      <c r="L9" s="129"/>
      <c r="M9" s="129"/>
      <c r="N9" s="129"/>
      <c r="O9" s="129"/>
      <c r="P9" s="129"/>
      <c r="Q9" s="129"/>
      <c r="R9" s="129"/>
      <c r="S9" s="129"/>
      <c r="T9" s="129"/>
    </row>
    <row r="10" spans="2:20" s="174" customFormat="1" hidden="1">
      <c r="B10" s="111" t="s">
        <v>28</v>
      </c>
      <c r="C10" s="582" t="s">
        <v>29</v>
      </c>
      <c r="D10" s="582"/>
      <c r="E10" s="582"/>
      <c r="F10" s="582"/>
      <c r="G10" s="583"/>
      <c r="H10" s="358">
        <f>Förutsättningar!U25</f>
        <v>5</v>
      </c>
      <c r="I10" s="176"/>
      <c r="J10" s="129"/>
      <c r="K10" s="129"/>
      <c r="L10" s="129"/>
      <c r="M10" s="129"/>
      <c r="N10" s="129"/>
      <c r="O10" s="129"/>
      <c r="P10" s="129"/>
      <c r="Q10" s="129"/>
      <c r="R10" s="129"/>
      <c r="S10" s="129"/>
      <c r="T10" s="129"/>
    </row>
    <row r="11" spans="2:20" s="174" customFormat="1" hidden="1">
      <c r="B11" s="111" t="s">
        <v>31</v>
      </c>
      <c r="C11" s="582" t="s">
        <v>32</v>
      </c>
      <c r="D11" s="582"/>
      <c r="E11" s="582"/>
      <c r="F11" s="582"/>
      <c r="G11" s="583"/>
      <c r="H11" s="358">
        <f>Förutsättningar!U26</f>
        <v>3</v>
      </c>
      <c r="I11" s="468" t="s">
        <v>33</v>
      </c>
      <c r="J11" s="129"/>
      <c r="K11" s="129"/>
      <c r="L11" s="129"/>
      <c r="M11" s="129"/>
      <c r="N11" s="129"/>
      <c r="O11" s="129"/>
      <c r="P11" s="129"/>
      <c r="Q11" s="129"/>
      <c r="R11" s="129"/>
      <c r="S11" s="129"/>
      <c r="T11" s="129"/>
    </row>
    <row r="12" spans="2:20" s="174" customFormat="1" hidden="1">
      <c r="B12" s="111" t="s">
        <v>34</v>
      </c>
      <c r="C12" s="582" t="s">
        <v>35</v>
      </c>
      <c r="D12" s="582"/>
      <c r="E12" s="582"/>
      <c r="F12" s="582"/>
      <c r="G12" s="583"/>
      <c r="H12" s="358">
        <f>Förutsättningar!U27</f>
        <v>2</v>
      </c>
      <c r="I12" s="176"/>
      <c r="J12" s="129"/>
      <c r="K12" s="129"/>
      <c r="L12" s="129"/>
      <c r="M12" s="129"/>
      <c r="N12" s="129"/>
      <c r="O12" s="129"/>
      <c r="P12" s="129"/>
      <c r="Q12" s="129"/>
      <c r="R12" s="129"/>
      <c r="S12" s="129"/>
      <c r="T12" s="129"/>
    </row>
    <row r="13" spans="2:20" s="174" customFormat="1" hidden="1">
      <c r="B13" s="111" t="s">
        <v>36</v>
      </c>
      <c r="C13" s="582" t="s">
        <v>37</v>
      </c>
      <c r="D13" s="582"/>
      <c r="E13" s="582"/>
      <c r="F13" s="582"/>
      <c r="G13" s="583"/>
      <c r="H13" s="358">
        <f>Förutsättningar!U28</f>
        <v>0.02</v>
      </c>
      <c r="I13" s="176" t="s">
        <v>38</v>
      </c>
      <c r="J13" s="129"/>
      <c r="K13" s="129"/>
      <c r="L13" s="129"/>
      <c r="M13" s="129"/>
      <c r="N13" s="129"/>
      <c r="O13" s="129"/>
      <c r="P13" s="129"/>
      <c r="Q13" s="129"/>
      <c r="R13" s="129"/>
      <c r="S13" s="129"/>
      <c r="T13" s="129"/>
    </row>
    <row r="14" spans="2:20" s="174" customFormat="1" hidden="1">
      <c r="B14" s="111" t="s">
        <v>39</v>
      </c>
      <c r="C14" s="582" t="s">
        <v>40</v>
      </c>
      <c r="D14" s="582"/>
      <c r="E14" s="582"/>
      <c r="F14" s="582"/>
      <c r="G14" s="583"/>
      <c r="H14" s="357">
        <f>Förutsättningar!U29</f>
        <v>4000</v>
      </c>
      <c r="I14" s="176" t="s">
        <v>41</v>
      </c>
      <c r="J14" s="129"/>
      <c r="K14" s="129"/>
      <c r="L14" s="129"/>
      <c r="M14" s="129"/>
      <c r="N14" s="129"/>
      <c r="O14" s="129"/>
      <c r="P14" s="129"/>
      <c r="Q14" s="129"/>
      <c r="R14" s="129"/>
      <c r="S14" s="129"/>
      <c r="T14" s="129"/>
    </row>
    <row r="15" spans="2:20" s="174" customFormat="1" ht="15.75" hidden="1" customHeight="1">
      <c r="B15" s="129"/>
      <c r="C15" s="580"/>
      <c r="D15" s="580"/>
      <c r="E15" s="580"/>
      <c r="F15" s="580"/>
      <c r="G15" s="580"/>
      <c r="H15" s="139"/>
      <c r="I15" s="178"/>
      <c r="J15" s="129"/>
      <c r="K15" s="129"/>
      <c r="L15" s="129"/>
      <c r="M15" s="129"/>
      <c r="N15" s="129"/>
      <c r="O15" s="129"/>
      <c r="P15" s="129"/>
      <c r="Q15" s="129"/>
      <c r="R15" s="129"/>
      <c r="S15" s="129"/>
      <c r="T15" s="129"/>
    </row>
    <row r="16" spans="2:20" s="174" customFormat="1" ht="28.5" customHeight="1">
      <c r="B16" s="359"/>
      <c r="C16" s="360" t="str">
        <f ca="1">'1. LCC Befintlig Installation'!C16</f>
        <v>Beskrivning av anläggningen och belysningsförslag</v>
      </c>
      <c r="D16" s="361"/>
      <c r="E16" s="361"/>
      <c r="F16" s="361"/>
      <c r="G16" s="359"/>
      <c r="H16" s="359"/>
      <c r="I16" s="477"/>
      <c r="J16" s="477"/>
      <c r="K16" s="477"/>
      <c r="L16" s="477"/>
      <c r="M16" s="477"/>
      <c r="N16" s="477"/>
      <c r="O16" s="477"/>
      <c r="P16" s="477"/>
      <c r="Q16" s="477"/>
      <c r="R16" s="477"/>
      <c r="S16" s="359"/>
      <c r="T16" s="359"/>
    </row>
    <row r="17" spans="1:20" s="174" customFormat="1" ht="16.5" customHeight="1">
      <c r="B17" s="108"/>
      <c r="C17" s="109"/>
      <c r="D17" s="108"/>
      <c r="E17" s="108"/>
      <c r="F17" s="108"/>
      <c r="G17" s="108"/>
      <c r="H17" s="108"/>
      <c r="I17" s="470"/>
      <c r="J17" s="470"/>
      <c r="K17" s="470"/>
      <c r="L17" s="470"/>
      <c r="M17" s="470"/>
      <c r="N17" s="470"/>
      <c r="O17" s="470"/>
      <c r="P17" s="470"/>
      <c r="Q17" s="470"/>
      <c r="R17" s="470"/>
      <c r="S17" s="108"/>
      <c r="T17" s="108"/>
    </row>
    <row r="18" spans="1:20" s="174" customFormat="1" ht="16.5" customHeight="1">
      <c r="B18" s="108"/>
      <c r="C18" s="389" t="str" cm="1">
        <f t="array" aca="1" ref="C18" ca="1">IFERROR(
  INDEX(
    tblStrings[],
    MATCH(
      1,
      (tblStrings[Cell]=SUBSTITUTE(CELL("adress",INDIRECT("RC",FALSE)),"$","")) *
      (tblStrings[Sheet]=AllStrings!$C$63),
      0
    ),
    MATCH(Språkval, tblStrings[#Headers], 0)
  ),
)</f>
        <v>BESKRIVNING AV ANLÄGGNINGEN (Denna information hämtas från "Befintlig installation" för att säkerställa kvalitet på data)</v>
      </c>
      <c r="D18" s="389"/>
      <c r="E18" s="389"/>
      <c r="F18" s="389"/>
      <c r="G18" s="389"/>
      <c r="H18" s="389"/>
      <c r="I18" s="470"/>
      <c r="J18" s="470"/>
      <c r="K18" s="470"/>
      <c r="L18" s="470"/>
      <c r="M18" s="470"/>
      <c r="N18" s="470"/>
      <c r="O18" s="470"/>
      <c r="P18" s="470"/>
      <c r="Q18" s="470"/>
      <c r="R18" s="470"/>
      <c r="S18" s="108"/>
      <c r="T18" s="108"/>
    </row>
    <row r="19" spans="1:20" s="174" customFormat="1" ht="33" customHeight="1">
      <c r="B19" s="111"/>
      <c r="C19" s="112" t="str" cm="1">
        <f t="array" aca="1" ref="C19" ca="1">IFERROR(
  INDEX(
    tblStrings[],
    MATCH(
      1,
      (tblStrings[Cell]=SUBSTITUTE(CELL("adress",INDIRECT("RC",FALSE)),"$","")) *
      (tblStrings[Sheet]=AllStrings!$C$433),
      0
    ),
    MATCH(Språkval, tblStrings[#Headers], 0)
  ),
)</f>
        <v>Byggnadstyp</v>
      </c>
      <c r="D19" s="113"/>
      <c r="E19" s="113"/>
      <c r="F19" s="113"/>
      <c r="G19" s="114"/>
      <c r="H19" s="114"/>
      <c r="I19" s="386" t="str">
        <f>IF('1. LCC Befintlig Installation'!I19 &lt;&gt; "",'1. LCC Befintlig Installation'!I19,"")</f>
        <v/>
      </c>
      <c r="J19" s="386" t="str">
        <f>IF('1. LCC Befintlig Installation'!J19 &lt;&gt; "",'1. LCC Befintlig Installation'!J19,"")</f>
        <v/>
      </c>
      <c r="K19" s="386" t="str">
        <f>IF('1. LCC Befintlig Installation'!K19 &lt;&gt; "",'1. LCC Befintlig Installation'!K19,"")</f>
        <v/>
      </c>
      <c r="L19" s="386" t="str">
        <f>IF('1. LCC Befintlig Installation'!L19 &lt;&gt; "",'1. LCC Befintlig Installation'!L19,"")</f>
        <v/>
      </c>
      <c r="M19" s="386" t="str">
        <f>IF('1. LCC Befintlig Installation'!M19 &lt;&gt; "",'1. LCC Befintlig Installation'!M19,"")</f>
        <v/>
      </c>
      <c r="N19" s="386" t="str">
        <f>IF('1. LCC Befintlig Installation'!N19 &lt;&gt; "",'1. LCC Befintlig Installation'!N19,"")</f>
        <v/>
      </c>
      <c r="O19" s="386" t="str">
        <f>IF('1. LCC Befintlig Installation'!O19 &lt;&gt; "",'1. LCC Befintlig Installation'!O19,"")</f>
        <v/>
      </c>
      <c r="P19" s="386" t="str">
        <f>IF('1. LCC Befintlig Installation'!P19 &lt;&gt; "",'1. LCC Befintlig Installation'!P19,"")</f>
        <v/>
      </c>
      <c r="Q19" s="386" t="str">
        <f>IF('1. LCC Befintlig Installation'!Q19 &lt;&gt; "",'1. LCC Befintlig Installation'!Q19,"")</f>
        <v/>
      </c>
      <c r="R19" s="386" t="str">
        <f>IF('1. LCC Befintlig Installation'!R19 &lt;&gt; "",'1. LCC Befintlig Installation'!R19,"")</f>
        <v/>
      </c>
      <c r="S19" s="108"/>
      <c r="T19" s="108"/>
    </row>
    <row r="20" spans="1:20" s="174" customFormat="1" ht="16.5" hidden="1" customHeight="1">
      <c r="B20" s="111"/>
      <c r="C20" s="112" t="str" cm="1">
        <f t="array" aca="1" ref="C20" ca="1">IFERROR(
  INDEX(
    tblStrings[],
    MATCH(
      1,
      (tblStrings[Cell]=SUBSTITUTE(CELL("adress",INDIRECT("RC",FALSE)),"$","")) *
      (tblStrings[Sheet]=AllStrings!$C$433),
      0
    ),
    MATCH(Språkval, tblStrings[#Headers], 0)
  ),
)</f>
        <v>Byggnadstyp hjälprad</v>
      </c>
      <c r="D20" s="113"/>
      <c r="E20" s="113"/>
      <c r="F20" s="113"/>
      <c r="G20" s="114"/>
      <c r="H20" s="114"/>
      <c r="I20" s="386" t="str">
        <f>IF('1. LCC Befintlig Installation'!I20 &lt;&gt; "",'1. LCC Befintlig Installation'!I20,"")</f>
        <v/>
      </c>
      <c r="J20" s="387" t="str">
        <f t="shared" ref="J20:R20" si="0">SUBSTITUTE(J19," ","_")</f>
        <v/>
      </c>
      <c r="K20" s="387" t="str">
        <f t="shared" si="0"/>
        <v/>
      </c>
      <c r="L20" s="387" t="str">
        <f t="shared" si="0"/>
        <v/>
      </c>
      <c r="M20" s="387" t="str">
        <f t="shared" si="0"/>
        <v/>
      </c>
      <c r="N20" s="387" t="str">
        <f t="shared" si="0"/>
        <v/>
      </c>
      <c r="O20" s="387" t="str">
        <f t="shared" si="0"/>
        <v/>
      </c>
      <c r="P20" s="387" t="str">
        <f t="shared" si="0"/>
        <v/>
      </c>
      <c r="Q20" s="387" t="str">
        <f t="shared" si="0"/>
        <v/>
      </c>
      <c r="R20" s="387" t="str">
        <f t="shared" si="0"/>
        <v/>
      </c>
      <c r="S20" s="108"/>
      <c r="T20" s="108"/>
    </row>
    <row r="21" spans="1:20" s="174" customFormat="1" ht="33" customHeight="1">
      <c r="B21" s="111"/>
      <c r="C21" s="112" t="str" cm="1">
        <f t="array" aca="1" ref="C21" ca="1">IFERROR(
  INDEX(
    tblStrings[],
    MATCH(
      1,
      (tblStrings[Cell]=SUBSTITUTE(CELL("adress",INDIRECT("RC",FALSE)),"$","")) *
      (tblStrings[Sheet]=AllStrings!$C$433),
      0
    ),
    MATCH(Språkval, tblStrings[#Headers], 0)
  ),
)</f>
        <v>Rumstyp (välj byggnadstyp ovan för att få lista med giltiga rumstyper)</v>
      </c>
      <c r="D21" s="113"/>
      <c r="E21" s="113"/>
      <c r="F21" s="113"/>
      <c r="G21" s="114"/>
      <c r="H21" s="114"/>
      <c r="I21" s="386" t="str">
        <f>IF('1. LCC Befintlig Installation'!I21 &lt;&gt; "",'1. LCC Befintlig Installation'!I21,"")</f>
        <v/>
      </c>
      <c r="J21" s="386" t="str">
        <f>IF('1. LCC Befintlig Installation'!J21 &lt;&gt; "",'1. LCC Befintlig Installation'!J21,"")</f>
        <v/>
      </c>
      <c r="K21" s="386" t="str">
        <f>IF('1. LCC Befintlig Installation'!K21 &lt;&gt; "",'1. LCC Befintlig Installation'!K21,"")</f>
        <v/>
      </c>
      <c r="L21" s="386" t="str">
        <f>IF('1. LCC Befintlig Installation'!L21 &lt;&gt; "",'1. LCC Befintlig Installation'!L21,"")</f>
        <v/>
      </c>
      <c r="M21" s="386" t="str">
        <f>IF('1. LCC Befintlig Installation'!M21 &lt;&gt; "",'1. LCC Befintlig Installation'!M21,"")</f>
        <v/>
      </c>
      <c r="N21" s="386" t="str">
        <f>IF('1. LCC Befintlig Installation'!N21 &lt;&gt; "",'1. LCC Befintlig Installation'!N21,"")</f>
        <v/>
      </c>
      <c r="O21" s="386" t="str">
        <f>IF('1. LCC Befintlig Installation'!O21 &lt;&gt; "",'1. LCC Befintlig Installation'!O21,"")</f>
        <v/>
      </c>
      <c r="P21" s="386" t="str">
        <f>IF('1. LCC Befintlig Installation'!P21 &lt;&gt; "",'1. LCC Befintlig Installation'!P21,"")</f>
        <v/>
      </c>
      <c r="Q21" s="386" t="str">
        <f>IF('1. LCC Befintlig Installation'!Q21 &lt;&gt; "",'1. LCC Befintlig Installation'!Q21,"")</f>
        <v/>
      </c>
      <c r="R21" s="386" t="str">
        <f>IF('1. LCC Befintlig Installation'!R21 &lt;&gt; "",'1. LCC Befintlig Installation'!R21,"")</f>
        <v/>
      </c>
      <c r="S21" s="108"/>
      <c r="T21" s="108"/>
    </row>
    <row r="22" spans="1:20" s="174" customFormat="1" ht="21" customHeight="1">
      <c r="A22" s="362"/>
      <c r="B22" s="111"/>
      <c r="C22" s="112" t="str" cm="1">
        <f t="array" aca="1" ref="C22" ca="1">IFERROR(
  INDEX(
    tblStrings[],
    MATCH(
      1,
      (tblStrings[Cell]=SUBSTITUTE(CELL("adress",INDIRECT("RC",FALSE)),"$","")) *
      (tblStrings[Sheet]=AllStrings!$C$433),
      0
    ),
    MATCH(Språkval, tblStrings[#Headers], 0)
  ),
)</f>
        <v>Rumsbeteckning</v>
      </c>
      <c r="D22" s="113"/>
      <c r="E22" s="113"/>
      <c r="F22" s="113"/>
      <c r="G22" s="114"/>
      <c r="H22" s="114"/>
      <c r="I22" s="386" t="str">
        <f>IF('1. LCC Befintlig Installation'!I22 &lt;&gt; "",'1. LCC Befintlig Installation'!I22,"")</f>
        <v/>
      </c>
      <c r="J22" s="386" t="str">
        <f>IF('1. LCC Befintlig Installation'!J22 &lt;&gt; "",'1. LCC Befintlig Installation'!J22,"")</f>
        <v/>
      </c>
      <c r="K22" s="386" t="str">
        <f>IF('1. LCC Befintlig Installation'!K22 &lt;&gt; "",'1. LCC Befintlig Installation'!K22,"")</f>
        <v/>
      </c>
      <c r="L22" s="386" t="str">
        <f>IF('1. LCC Befintlig Installation'!L22 &lt;&gt; "",'1. LCC Befintlig Installation'!L22,"")</f>
        <v/>
      </c>
      <c r="M22" s="386" t="str">
        <f>IF('1. LCC Befintlig Installation'!M22 &lt;&gt; "",'1. LCC Befintlig Installation'!M22,"")</f>
        <v/>
      </c>
      <c r="N22" s="386" t="str">
        <f>IF('1. LCC Befintlig Installation'!N22 &lt;&gt; "",'1. LCC Befintlig Installation'!N22,"")</f>
        <v/>
      </c>
      <c r="O22" s="386" t="str">
        <f>IF('1. LCC Befintlig Installation'!O22 &lt;&gt; "",'1. LCC Befintlig Installation'!O22,"")</f>
        <v/>
      </c>
      <c r="P22" s="386" t="str">
        <f>IF('1. LCC Befintlig Installation'!P22 &lt;&gt; "",'1. LCC Befintlig Installation'!P22,"")</f>
        <v/>
      </c>
      <c r="Q22" s="386" t="str">
        <f>IF('1. LCC Befintlig Installation'!Q22 &lt;&gt; "",'1. LCC Befintlig Installation'!Q22,"")</f>
        <v/>
      </c>
      <c r="R22" s="386" t="str">
        <f>IF('1. LCC Befintlig Installation'!R22 &lt;&gt; "",'1. LCC Befintlig Installation'!R22,"")</f>
        <v/>
      </c>
      <c r="S22" s="108"/>
      <c r="T22" s="108"/>
    </row>
    <row r="23" spans="1:20" s="174" customFormat="1" ht="16.5" customHeight="1">
      <c r="B23" s="111"/>
      <c r="C23" s="112" t="str" cm="1">
        <f t="array" aca="1" ref="C23" ca="1">IFERROR(
  INDEX(
    tblStrings[],
    MATCH(
      1,
      (tblStrings[Cell]=SUBSTITUTE(CELL("adress",INDIRECT("RC",FALSE)),"$","")) *
      (tblStrings[Sheet]=AllStrings!$C$433),
      0
    ),
    MATCH(Språkval, tblStrings[#Headers], 0)
  ),
)</f>
        <v>Antal rum av samma typ</v>
      </c>
      <c r="D23" s="116"/>
      <c r="E23" s="116"/>
      <c r="F23" s="116"/>
      <c r="G23" s="117"/>
      <c r="H23" s="117" t="str" cm="1">
        <f t="array" aca="1" ref="H23" ca="1">IFERROR(
  INDEX(
    tblStrings[],
    MATCH(
      1,
      (tblStrings[Cell]=SUBSTITUTE(CELL("adress",INDIRECT("RC",FALSE)),"$","")) *
      (tblStrings[Sheet]=AllStrings!$C$433),
      0
    ),
    MATCH(Språkval, tblStrings[#Headers], 0)
  ),
)</f>
        <v>stk</v>
      </c>
      <c r="I23" s="388" t="str">
        <f>IF('1. LCC Befintlig Installation'!I23 &lt;&gt; "",'1. LCC Befintlig Installation'!I23,"")</f>
        <v/>
      </c>
      <c r="J23" s="388" t="str">
        <f>IF('1. LCC Befintlig Installation'!J23 &lt;&gt; "",'1. LCC Befintlig Installation'!J23,"")</f>
        <v/>
      </c>
      <c r="K23" s="388" t="str">
        <f>IF('1. LCC Befintlig Installation'!K23 &lt;&gt; "",'1. LCC Befintlig Installation'!K23,"")</f>
        <v/>
      </c>
      <c r="L23" s="388" t="str">
        <f>IF('1. LCC Befintlig Installation'!L23 &lt;&gt; "",'1. LCC Befintlig Installation'!L23,"")</f>
        <v/>
      </c>
      <c r="M23" s="388" t="str">
        <f>IF('1. LCC Befintlig Installation'!M23 &lt;&gt; "",'1. LCC Befintlig Installation'!M23,"")</f>
        <v/>
      </c>
      <c r="N23" s="388" t="str">
        <f>IF('1. LCC Befintlig Installation'!N23 &lt;&gt; "",'1. LCC Befintlig Installation'!N23,"")</f>
        <v/>
      </c>
      <c r="O23" s="388" t="str">
        <f>IF('1. LCC Befintlig Installation'!O23 &lt;&gt; "",'1. LCC Befintlig Installation'!O23,"")</f>
        <v/>
      </c>
      <c r="P23" s="388" t="str">
        <f>IF('1. LCC Befintlig Installation'!P23 &lt;&gt; "",'1. LCC Befintlig Installation'!P23,"")</f>
        <v/>
      </c>
      <c r="Q23" s="388" t="str">
        <f>IF('1. LCC Befintlig Installation'!Q23 &lt;&gt; "",'1. LCC Befintlig Installation'!Q23,"")</f>
        <v/>
      </c>
      <c r="R23" s="388" t="str">
        <f>IF('1. LCC Befintlig Installation'!R23 &lt;&gt; "",'1. LCC Befintlig Installation'!R23,"")</f>
        <v/>
      </c>
      <c r="S23" s="108"/>
      <c r="T23" s="108"/>
    </row>
    <row r="24" spans="1:20" s="174" customFormat="1" ht="16.5" customHeight="1">
      <c r="B24" s="111"/>
      <c r="C24" s="112" t="str" cm="1">
        <f t="array" aca="1" ref="C24" ca="1">IFERROR(
  INDEX(
    tblStrings[],
    MATCH(
      1,
      (tblStrings[Cell]=SUBSTITUTE(CELL("adress",INDIRECT("RC",FALSE)),"$","")) *
      (tblStrings[Sheet]=AllStrings!$C$433),
      0
    ),
    MATCH(Språkval, tblStrings[#Headers], 0)
  ),
)</f>
        <v>Antal kvadratmeter</v>
      </c>
      <c r="D24" s="116"/>
      <c r="E24" s="116"/>
      <c r="F24" s="116"/>
      <c r="G24" s="117"/>
      <c r="H24" s="117" t="str" cm="1">
        <f t="array" aca="1" ref="H24" ca="1">IFERROR(
  INDEX(
    tblStrings[],
    MATCH(
      1,
      (tblStrings[Cell]=SUBSTITUTE(CELL("adress",INDIRECT("RC",FALSE)),"$","")) *
      (tblStrings[Sheet]=AllStrings!$C$433),
      0
    ),
    MATCH(Språkval, tblStrings[#Headers], 0)
  ),
)</f>
        <v>m2/rum</v>
      </c>
      <c r="I24" s="388" t="str">
        <f>IF('1. LCC Befintlig Installation'!I24 &lt;&gt; "",'1. LCC Befintlig Installation'!I24,"")</f>
        <v/>
      </c>
      <c r="J24" s="388" t="str">
        <f>IF('1. LCC Befintlig Installation'!J24 &lt;&gt; "",'1. LCC Befintlig Installation'!J24,"")</f>
        <v/>
      </c>
      <c r="K24" s="388" t="str">
        <f>IF('1. LCC Befintlig Installation'!K24 &lt;&gt; "",'1. LCC Befintlig Installation'!K24,"")</f>
        <v/>
      </c>
      <c r="L24" s="388" t="str">
        <f>IF('1. LCC Befintlig Installation'!L24 &lt;&gt; "",'1. LCC Befintlig Installation'!L24,"")</f>
        <v/>
      </c>
      <c r="M24" s="388" t="str">
        <f>IF('1. LCC Befintlig Installation'!M24 &lt;&gt; "",'1. LCC Befintlig Installation'!M24,"")</f>
        <v/>
      </c>
      <c r="N24" s="388" t="str">
        <f>IF('1. LCC Befintlig Installation'!N24 &lt;&gt; "",'1. LCC Befintlig Installation'!N24,"")</f>
        <v/>
      </c>
      <c r="O24" s="388" t="str">
        <f>IF('1. LCC Befintlig Installation'!O24 &lt;&gt; "",'1. LCC Befintlig Installation'!O24,"")</f>
        <v/>
      </c>
      <c r="P24" s="388" t="str">
        <f>IF('1. LCC Befintlig Installation'!P24 &lt;&gt; "",'1. LCC Befintlig Installation'!P24,"")</f>
        <v/>
      </c>
      <c r="Q24" s="388" t="str">
        <f>IF('1. LCC Befintlig Installation'!Q24 &lt;&gt; "",'1. LCC Befintlig Installation'!Q24,"")</f>
        <v/>
      </c>
      <c r="R24" s="388" t="str">
        <f>IF('1. LCC Befintlig Installation'!R24 &lt;&gt; "",'1. LCC Befintlig Installation'!R24,"")</f>
        <v/>
      </c>
      <c r="S24" s="108"/>
      <c r="T24" s="108"/>
    </row>
    <row r="25" spans="1:20" s="174" customFormat="1" ht="16.5" customHeight="1">
      <c r="B25" s="111"/>
      <c r="C25" s="110" t="str" cm="1">
        <f t="array" aca="1" ref="C25" ca="1">IFERROR(
  INDEX(
    tblStrings[],
    MATCH(
      1,
      (tblStrings[Cell]=SUBSTITUTE(CELL("adress",INDIRECT("RC",FALSE)),"$","")) *
      (tblStrings[Sheet]=AllStrings!$C$433),
      0
    ),
    MATCH(Språkval, tblStrings[#Headers], 0)
  ),
)</f>
        <v>BELYSNINGSFÖRSLAG</v>
      </c>
      <c r="D25" s="118"/>
      <c r="E25" s="118"/>
      <c r="F25" s="118"/>
      <c r="G25" s="118"/>
      <c r="H25" s="465"/>
      <c r="I25" s="471"/>
      <c r="J25" s="471"/>
      <c r="K25" s="471"/>
      <c r="L25" s="471"/>
      <c r="M25" s="471"/>
      <c r="N25" s="471"/>
      <c r="O25" s="471"/>
      <c r="P25" s="471"/>
      <c r="Q25" s="471"/>
      <c r="R25" s="471"/>
      <c r="S25" s="108"/>
      <c r="T25" s="108"/>
    </row>
    <row r="26" spans="1:20" s="174" customFormat="1" ht="16.5" customHeight="1">
      <c r="B26" s="111"/>
      <c r="C26" s="110" t="str" cm="1">
        <f t="array" aca="1" ref="C26" ca="1">IFERROR(
  INDEX(
    tblStrings[],
    MATCH(
      1,
      (tblStrings[Cell]=SUBSTITUTE(CELL("adress",INDIRECT("RC",FALSE)),"$","")) *
      (tblStrings[Sheet]=AllStrings!$C$433),
      0
    ),
    MATCH(Språkval, tblStrings[#Headers], 0)
  ),
)</f>
        <v>Armaturbeteckning</v>
      </c>
      <c r="D26" s="118"/>
      <c r="E26" s="118"/>
      <c r="F26" s="118"/>
      <c r="G26" s="118"/>
      <c r="H26" s="118"/>
      <c r="I26" s="466" t="str">
        <f>IF('1. LCC Befintlig Installation'!I26 &lt;&gt; "",'1. LCC Befintlig Installation'!I26,"")</f>
        <v/>
      </c>
      <c r="J26" s="466" t="str">
        <f>IF('1. LCC Befintlig Installation'!J26 &lt;&gt; "",'1. LCC Befintlig Installation'!J26,"")</f>
        <v/>
      </c>
      <c r="K26" s="466" t="str">
        <f>IF('1. LCC Befintlig Installation'!K26 &lt;&gt; "",'1. LCC Befintlig Installation'!K26,"")</f>
        <v/>
      </c>
      <c r="L26" s="466" t="str">
        <f>IF('1. LCC Befintlig Installation'!L26 &lt;&gt; "",'1. LCC Befintlig Installation'!L26,"")</f>
        <v/>
      </c>
      <c r="M26" s="466" t="str">
        <f>IF('1. LCC Befintlig Installation'!M26 &lt;&gt; "",'1. LCC Befintlig Installation'!M26,"")</f>
        <v/>
      </c>
      <c r="N26" s="466" t="str">
        <f>IF('1. LCC Befintlig Installation'!N26 &lt;&gt; "",'1. LCC Befintlig Installation'!N26,"")</f>
        <v/>
      </c>
      <c r="O26" s="466" t="str">
        <f>IF('1. LCC Befintlig Installation'!O26 &lt;&gt; "",'1. LCC Befintlig Installation'!O26,"")</f>
        <v/>
      </c>
      <c r="P26" s="466" t="str">
        <f>IF('1. LCC Befintlig Installation'!P26 &lt;&gt; "",'1. LCC Befintlig Installation'!P26,"")</f>
        <v/>
      </c>
      <c r="Q26" s="466" t="str">
        <f>IF('1. LCC Befintlig Installation'!Q26 &lt;&gt; "",'1. LCC Befintlig Installation'!Q26,"")</f>
        <v/>
      </c>
      <c r="R26" s="466" t="str">
        <f>IF('1. LCC Befintlig Installation'!R26 &lt;&gt; "",'1. LCC Befintlig Installation'!R26,"")</f>
        <v/>
      </c>
      <c r="S26" s="108"/>
      <c r="T26" s="108"/>
    </row>
    <row r="27" spans="1:20" s="174" customFormat="1" ht="16.5" customHeight="1">
      <c r="B27" s="111" t="s">
        <v>58</v>
      </c>
      <c r="C27" s="115" t="str" cm="1">
        <f t="array" aca="1" ref="C27" ca="1">IFERROR(
  INDEX(
    tblStrings[],
    MATCH(
      1,
      (tblStrings[Cell]=SUBSTITUTE(CELL("adress",INDIRECT("RC",FALSE)),"$","")) *
      (tblStrings[Sheet]=AllStrings!$C$433),
      0
    ),
    MATCH(Språkval, tblStrings[#Headers], 0)
  ),
)</f>
        <v>Antal armaturer</v>
      </c>
      <c r="D27" s="116"/>
      <c r="E27" s="116"/>
      <c r="F27" s="116"/>
      <c r="G27" s="117"/>
      <c r="H27" s="117" t="str" cm="1">
        <f t="array" aca="1" ref="H27" ca="1">IFERROR(
  INDEX(
    tblStrings[],
    MATCH(
      1,
      (tblStrings[Cell]=SUBSTITUTE(CELL("adress",INDIRECT("RC",FALSE)),"$","")) *
      (tblStrings[Sheet]=AllStrings!$C$433),
      0
    ),
    MATCH(Språkval, tblStrings[#Headers], 0)
  ),
)</f>
        <v>stk</v>
      </c>
      <c r="I27" s="437"/>
      <c r="J27" s="437"/>
      <c r="K27" s="437"/>
      <c r="L27" s="437"/>
      <c r="M27" s="437"/>
      <c r="N27" s="437"/>
      <c r="O27" s="437"/>
      <c r="P27" s="437"/>
      <c r="Q27" s="437"/>
      <c r="R27" s="437"/>
      <c r="S27" s="108"/>
      <c r="T27" s="108"/>
    </row>
    <row r="28" spans="1:20" s="174" customFormat="1" ht="16.5" customHeight="1">
      <c r="B28" s="111" t="s">
        <v>60</v>
      </c>
      <c r="C28" s="115" t="str" cm="1">
        <f t="array" aca="1" ref="C28" ca="1">IFERROR(
  INDEX(
    tblStrings[],
    MATCH(
      1,
      (tblStrings[Cell]=SUBSTITUTE(CELL("adress",INDIRECT("RC",FALSE)),"$","")) *
      (tblStrings[Sheet]=AllStrings!$C$433),
      0
    ),
    MATCH(Språkval, tblStrings[#Headers], 0)
  ),
)</f>
        <v>Armaturpris</v>
      </c>
      <c r="D28" s="116"/>
      <c r="E28" s="116"/>
      <c r="F28" s="116"/>
      <c r="G28" s="117"/>
      <c r="H28" s="117" t="str" cm="1">
        <f t="array" aca="1" ref="H28" ca="1">IFERROR(
  INDEX(
    tblStrings[],
    MATCH(
      1,
      (tblStrings[Cell]=SUBSTITUTE(CELL("adress",INDIRECT("RC",FALSE)),"$","")) *
      (tblStrings[Sheet]=AllStrings!$C$433),
      0
    ),
    MATCH(Språkval, tblStrings[#Headers], 0)
  ),
)</f>
        <v>kr/stk</v>
      </c>
      <c r="I28" s="437"/>
      <c r="J28" s="437"/>
      <c r="K28" s="437"/>
      <c r="L28" s="437"/>
      <c r="M28" s="437"/>
      <c r="N28" s="437"/>
      <c r="O28" s="437"/>
      <c r="P28" s="437"/>
      <c r="Q28" s="437"/>
      <c r="R28" s="437"/>
      <c r="S28" s="108"/>
      <c r="T28" s="108"/>
    </row>
    <row r="29" spans="1:20" s="174" customFormat="1" ht="16.5" customHeight="1">
      <c r="B29" s="111" t="s">
        <v>63</v>
      </c>
      <c r="C29" s="115" t="str" cm="1">
        <f t="array" aca="1" ref="C29" ca="1">IFERROR(
  INDEX(
    tblStrings[],
    MATCH(
      1,
      (tblStrings[Cell]=SUBSTITUTE(CELL("adress",INDIRECT("RC",FALSE)),"$","")) *
      (tblStrings[Sheet]=AllStrings!$C$433),
      0
    ),
    MATCH(Språkval, tblStrings[#Headers], 0)
  ),
)</f>
        <v>Material- och arbetskostnader armatur</v>
      </c>
      <c r="D29" s="116"/>
      <c r="E29" s="116"/>
      <c r="F29" s="116"/>
      <c r="G29" s="117"/>
      <c r="H29" s="117" t="str" cm="1">
        <f t="array" aca="1" ref="H29" ca="1">IFERROR(
  INDEX(
    tblStrings[],
    MATCH(
      1,
      (tblStrings[Cell]=SUBSTITUTE(CELL("adress",INDIRECT("RC",FALSE)),"$","")) *
      (tblStrings[Sheet]=AllStrings!$C$433),
      0
    ),
    MATCH(Språkval, tblStrings[#Headers], 0)
  ),
)</f>
        <v>kr</v>
      </c>
      <c r="I29" s="437"/>
      <c r="J29" s="437"/>
      <c r="K29" s="437"/>
      <c r="L29" s="437"/>
      <c r="M29" s="437"/>
      <c r="N29" s="437"/>
      <c r="O29" s="437"/>
      <c r="P29" s="437"/>
      <c r="Q29" s="437"/>
      <c r="R29" s="437"/>
      <c r="S29" s="108"/>
      <c r="T29" s="108"/>
    </row>
    <row r="30" spans="1:20" s="174" customFormat="1" ht="16.5" customHeight="1">
      <c r="B30" s="111" t="s">
        <v>65</v>
      </c>
      <c r="C30" s="115" t="str" cm="1">
        <f t="array" aca="1" ref="C30" ca="1">IFERROR(
  INDEX(
    tblStrings[],
    MATCH(
      1,
      (tblStrings[Cell]=SUBSTITUTE(CELL("adress",INDIRECT("RC",FALSE)),"$","")) *
      (tblStrings[Sheet]=AllStrings!$C$433),
      0
    ),
    MATCH(Språkval, tblStrings[#Headers], 0)
  ),
)</f>
        <v>Effekt per armatur, inkl. driftsförluster</v>
      </c>
      <c r="D30" s="116"/>
      <c r="E30" s="116"/>
      <c r="F30" s="116"/>
      <c r="G30" s="117"/>
      <c r="H30" s="117" t="str" cm="1">
        <f t="array" aca="1" ref="H30" ca="1">IFERROR(
  INDEX(
    tblStrings[],
    MATCH(
      1,
      (tblStrings[Cell]=SUBSTITUTE(CELL("adress",INDIRECT("RC",FALSE)),"$","")) *
      (tblStrings[Sheet]=AllStrings!$C$433),
      0
    ),
    MATCH(Språkval, tblStrings[#Headers], 0)
  ),
)</f>
        <v>W/stk</v>
      </c>
      <c r="I30" s="437"/>
      <c r="J30" s="437"/>
      <c r="K30" s="437"/>
      <c r="L30" s="437"/>
      <c r="M30" s="437"/>
      <c r="N30" s="437"/>
      <c r="O30" s="437"/>
      <c r="P30" s="437"/>
      <c r="Q30" s="437"/>
      <c r="R30" s="437"/>
      <c r="S30" s="108"/>
      <c r="T30" s="108"/>
    </row>
    <row r="31" spans="1:20" s="174" customFormat="1" ht="30" customHeight="1">
      <c r="B31" s="111" t="s">
        <v>68</v>
      </c>
      <c r="C31" s="115" t="str" cm="1">
        <f t="array" aca="1" ref="C31" ca="1">IFERROR(
  INDEX(
    tblStrings[],
    MATCH(
      1,
      (tblStrings[Cell]=SUBSTITUTE(CELL("adress",INDIRECT("RC",FALSE)),"$","")) *
      (tblStrings[Sheet]=AllStrings!$C$433),
      0
    ),
    MATCH(Språkval, tblStrings[#Headers], 0)
  ),
)</f>
        <v>Typ av styrning</v>
      </c>
      <c r="D31" s="116"/>
      <c r="E31" s="116"/>
      <c r="F31" s="116"/>
      <c r="G31" s="117"/>
      <c r="H31" s="117"/>
      <c r="I31" s="437"/>
      <c r="J31" s="437"/>
      <c r="K31" s="437"/>
      <c r="L31" s="437"/>
      <c r="M31" s="437"/>
      <c r="N31" s="437"/>
      <c r="O31" s="437"/>
      <c r="P31" s="437"/>
      <c r="Q31" s="437"/>
      <c r="R31" s="437"/>
      <c r="S31" s="108"/>
      <c r="T31" s="108"/>
    </row>
    <row r="32" spans="1:20" s="174" customFormat="1" ht="28.5" hidden="1" customHeight="1" outlineLevel="1">
      <c r="A32" s="363" t="s">
        <v>159</v>
      </c>
      <c r="B32" s="111" t="s">
        <v>71</v>
      </c>
      <c r="C32" s="115" t="str" cm="1">
        <f t="array" aca="1" ref="C32" ca="1">IFERROR(
  INDEX(
    tblStrings[],
    MATCH(
      1,
      (tblStrings[Cell]=SUBSTITUTE(CELL("adress",INDIRECT("RC",FALSE)),"$","")) *
      (tblStrings[Sheet]=AllStrings!$C$433),
      0
    ),
    MATCH(Språkval, tblStrings[#Headers], 0)
  ),
)</f>
        <v>Reduktionsfaktor manuell styrning</v>
      </c>
      <c r="D32" s="116"/>
      <c r="E32" s="116"/>
      <c r="F32" s="116"/>
      <c r="G32" s="117"/>
      <c r="H32" s="117"/>
      <c r="I32" s="437" t="str" cm="1">
        <f t="array" aca="1" ref="I32"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32" s="437" t="str" cm="1">
        <f t="array" aca="1" ref="J32"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32" s="437" t="str" cm="1">
        <f t="array" aca="1" ref="K32"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32" s="437" t="str" cm="1">
        <f t="array" aca="1" ref="L32"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32" s="437" t="str" cm="1">
        <f t="array" aca="1" ref="M32"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32" s="437" t="str" cm="1">
        <f t="array" aca="1" ref="N32"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32" s="437" t="str" cm="1">
        <f t="array" aca="1" ref="O32"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32" s="437" t="str" cm="1">
        <f t="array" aca="1" ref="P32"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32" s="437" t="str" cm="1">
        <f t="array" aca="1" ref="Q32"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32" s="437" t="str" cm="1">
        <f t="array" aca="1" ref="R32"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32" s="108"/>
      <c r="T32" s="108"/>
    </row>
    <row r="33" spans="1:20" s="174" customFormat="1" ht="28.5" hidden="1" customHeight="1" outlineLevel="1">
      <c r="A33" s="364"/>
      <c r="B33" s="111" t="s">
        <v>73</v>
      </c>
      <c r="C33" s="115" t="str" cm="1">
        <f t="array" aca="1" ref="C33" ca="1">IFERROR(
  INDEX(
    tblStrings[],
    MATCH(
      1,
      (tblStrings[Cell]=SUBSTITUTE(CELL("adress",INDIRECT("RC",FALSE)),"$","")) *
      (tblStrings[Sheet]=AllStrings!$C$433),
      0
    ),
    MATCH(Språkval, tblStrings[#Headers], 0)
  ),
)</f>
        <v>Reduktionsfaktor närvaro-/frånvarostyrning</v>
      </c>
      <c r="D33" s="116"/>
      <c r="E33" s="116"/>
      <c r="F33" s="116"/>
      <c r="G33" s="117"/>
      <c r="H33" s="117"/>
      <c r="I33" s="437" t="str" cm="1">
        <f t="array" aca="1" ref="I33"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33" s="437" t="str" cm="1">
        <f t="array" aca="1" ref="J33"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33" s="437" t="str" cm="1">
        <f t="array" aca="1" ref="K33"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33" s="437" t="str" cm="1">
        <f t="array" aca="1" ref="L33"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33" s="437" t="str" cm="1">
        <f t="array" aca="1" ref="M33"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33" s="437" t="str" cm="1">
        <f t="array" aca="1" ref="N33"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33" s="437" t="str" cm="1">
        <f t="array" aca="1" ref="O33"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33" s="437" t="str" cm="1">
        <f t="array" aca="1" ref="P33"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33" s="437" t="str" cm="1">
        <f t="array" aca="1" ref="Q33"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33" s="437" t="str" cm="1">
        <f t="array" aca="1" ref="R33"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33" s="108"/>
      <c r="T33" s="108"/>
    </row>
    <row r="34" spans="1:20" s="174" customFormat="1" ht="28.5" hidden="1" customHeight="1" outlineLevel="1">
      <c r="A34" s="364"/>
      <c r="B34" s="111" t="s">
        <v>75</v>
      </c>
      <c r="C34" s="115" t="str" cm="1">
        <f t="array" aca="1" ref="C34" ca="1">IFERROR(
  INDEX(
    tblStrings[],
    MATCH(
      1,
      (tblStrings[Cell]=SUBSTITUTE(CELL("adress",INDIRECT("RC",FALSE)),"$","")) *
      (tblStrings[Sheet]=AllStrings!$C$433),
      0
    ),
    MATCH(Språkval, tblStrings[#Headers], 0)
  ),
)</f>
        <v>Reduktionsfaktor dagsljusstyrning</v>
      </c>
      <c r="D34" s="116"/>
      <c r="E34" s="116"/>
      <c r="F34" s="116"/>
      <c r="G34" s="117"/>
      <c r="H34" s="117"/>
      <c r="I34" s="437" t="str" cm="1">
        <f t="array" aca="1" ref="I34"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34" s="437" t="str" cm="1">
        <f t="array" aca="1" ref="J34"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34" s="437" t="str" cm="1">
        <f t="array" aca="1" ref="K34"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34" s="437" t="str" cm="1">
        <f t="array" aca="1" ref="L34"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34" s="437" t="str" cm="1">
        <f t="array" aca="1" ref="M34"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34" s="437" t="str" cm="1">
        <f t="array" aca="1" ref="N34"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34" s="437" t="str" cm="1">
        <f t="array" aca="1" ref="O34"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34" s="437" t="str" cm="1">
        <f t="array" aca="1" ref="P34"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34" s="437" t="str" cm="1">
        <f t="array" aca="1" ref="Q34"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34" s="437" t="str" cm="1">
        <f t="array" aca="1" ref="R34"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34" s="108"/>
      <c r="T34" s="108"/>
    </row>
    <row r="35" spans="1:20" s="174" customFormat="1" ht="16.5" customHeight="1" collapsed="1">
      <c r="A35" s="362"/>
      <c r="B35" s="111" t="s">
        <v>77</v>
      </c>
      <c r="C35" s="115" t="str" cm="1">
        <f t="array" aca="1" ref="C35" ca="1">IFERROR(
  INDEX(
    tblStrings[],
    MATCH(
      1,
      (tblStrings[Cell]=SUBSTITUTE(CELL("adress",INDIRECT("RC",FALSE)),"$","")) *
      (tblStrings[Sheet]=AllStrings!$C$433),
      0
    ),
    MATCH(Språkval, tblStrings[#Headers], 0)
  ),
)</f>
        <v>Total reduktionsfaktor för styrning</v>
      </c>
      <c r="D35" s="116"/>
      <c r="E35" s="116"/>
      <c r="F35" s="116"/>
      <c r="G35" s="117"/>
      <c r="H35" s="117"/>
      <c r="I35" s="526">
        <f>IF(IF(I31=$I$233,I32,IF(I31=$I$234,I32*I33,IF(I31=$I$235,I32*I33*I34,1)))=0,"Fyll i 2.6-2.8",IF(I31=$I$233,I32,IF(I31=$I$234,I32*I33,IF(I31=$I$235,I32*I33*I34,1))))</f>
        <v>1</v>
      </c>
      <c r="J35" s="526">
        <f t="shared" ref="J35:R35" si="1">IF(IF(J31=$I$233,J32,IF(J31=$I$234,J32*J33,IF(J31=$I$235,J32*J33*J34,1)))=0,"Fyll i 2.6-2.8",IF(J31=$I$233,J32,IF(J31=$I$234,J32*J33,IF(J31=$I$235,J32*J33*J34,1))))</f>
        <v>1</v>
      </c>
      <c r="K35" s="526">
        <f t="shared" si="1"/>
        <v>1</v>
      </c>
      <c r="L35" s="526">
        <f t="shared" si="1"/>
        <v>1</v>
      </c>
      <c r="M35" s="526">
        <f t="shared" si="1"/>
        <v>1</v>
      </c>
      <c r="N35" s="526">
        <f t="shared" si="1"/>
        <v>1</v>
      </c>
      <c r="O35" s="526">
        <f t="shared" si="1"/>
        <v>1</v>
      </c>
      <c r="P35" s="526">
        <f t="shared" si="1"/>
        <v>1</v>
      </c>
      <c r="Q35" s="526">
        <f t="shared" si="1"/>
        <v>1</v>
      </c>
      <c r="R35" s="526">
        <f t="shared" si="1"/>
        <v>1</v>
      </c>
      <c r="S35" s="108"/>
      <c r="T35" s="108"/>
    </row>
    <row r="36" spans="1:20" s="174" customFormat="1" ht="16.5" customHeight="1">
      <c r="B36" s="111" t="s">
        <v>79</v>
      </c>
      <c r="C36" s="115" t="str" cm="1">
        <f t="array" aca="1" ref="C36" ca="1">IFERROR(
  INDEX(
    tblStrings[],
    MATCH(
      1,
      (tblStrings[Cell]=SUBSTITUTE(CELL("adress",INDIRECT("RC",FALSE)),"$","")) *
      (tblStrings[Sheet]=AllStrings!$C$433),
      0
    ),
    MATCH(Språkval, tblStrings[#Headers], 0)
  ),
)</f>
        <v>Underhållskostnader</v>
      </c>
      <c r="D36" s="116"/>
      <c r="E36" s="116"/>
      <c r="F36" s="116"/>
      <c r="G36" s="117"/>
      <c r="H36" s="117" t="str" cm="1">
        <f t="array" aca="1" ref="H36" ca="1">IFERROR(
  INDEX(
    tblStrings[],
    MATCH(
      1,
      (tblStrings[Cell]=SUBSTITUTE(CELL("adress",INDIRECT("RC",FALSE)),"$","")) *
      (tblStrings[Sheet]=AllStrings!$C$433),
      0
    ),
    MATCH(Språkval, tblStrings[#Headers], 0)
  ),
)</f>
        <v>kr/år</v>
      </c>
      <c r="I36" s="437"/>
      <c r="J36" s="437"/>
      <c r="K36" s="437"/>
      <c r="L36" s="437"/>
      <c r="M36" s="437"/>
      <c r="N36" s="437"/>
      <c r="O36" s="437"/>
      <c r="P36" s="437"/>
      <c r="Q36" s="437"/>
      <c r="R36" s="437"/>
      <c r="S36" s="108"/>
      <c r="T36" s="108"/>
    </row>
    <row r="37" spans="1:20" s="174" customFormat="1" ht="16.5" customHeight="1">
      <c r="B37" s="111"/>
      <c r="C37" s="465"/>
      <c r="D37" s="465"/>
      <c r="E37" s="465"/>
      <c r="F37" s="465"/>
      <c r="G37" s="465"/>
      <c r="H37" s="465"/>
      <c r="I37" s="471"/>
      <c r="J37" s="471"/>
      <c r="K37" s="471"/>
      <c r="L37" s="471"/>
      <c r="M37" s="471"/>
      <c r="N37" s="471"/>
      <c r="O37" s="471"/>
      <c r="P37" s="471"/>
      <c r="Q37" s="471"/>
      <c r="R37" s="471"/>
      <c r="S37" s="108"/>
      <c r="T37" s="108"/>
    </row>
    <row r="38" spans="1:20" s="174" customFormat="1" ht="16.5" customHeight="1">
      <c r="B38" s="111"/>
      <c r="C38" s="110" t="str">
        <f ca="1">$C$26</f>
        <v>Armaturbeteckning</v>
      </c>
      <c r="D38" s="118"/>
      <c r="E38" s="118"/>
      <c r="F38" s="118"/>
      <c r="G38" s="118"/>
      <c r="H38" s="118"/>
      <c r="I38" s="478" t="str">
        <f>IF('1. LCC Befintlig Installation'!I38 &lt;&gt; "",'1. LCC Befintlig Installation'!I38,"")</f>
        <v/>
      </c>
      <c r="J38" s="478" t="str">
        <f>IF('1. LCC Befintlig Installation'!J38 &lt;&gt; "",'1. LCC Befintlig Installation'!J38,"")</f>
        <v/>
      </c>
      <c r="K38" s="478" t="str">
        <f>IF('1. LCC Befintlig Installation'!K38 &lt;&gt; "",'1. LCC Befintlig Installation'!K38,"")</f>
        <v/>
      </c>
      <c r="L38" s="478" t="str">
        <f>IF('1. LCC Befintlig Installation'!L38 &lt;&gt; "",'1. LCC Befintlig Installation'!L38,"")</f>
        <v/>
      </c>
      <c r="M38" s="478" t="str">
        <f>IF('1. LCC Befintlig Installation'!M38 &lt;&gt; "",'1. LCC Befintlig Installation'!M38,"")</f>
        <v/>
      </c>
      <c r="N38" s="478" t="str">
        <f>IF('1. LCC Befintlig Installation'!N38 &lt;&gt; "",'1. LCC Befintlig Installation'!N38,"")</f>
        <v/>
      </c>
      <c r="O38" s="478" t="str">
        <f>IF('1. LCC Befintlig Installation'!O38 &lt;&gt; "",'1. LCC Befintlig Installation'!O38,"")</f>
        <v/>
      </c>
      <c r="P38" s="478" t="str">
        <f>IF('1. LCC Befintlig Installation'!P38 &lt;&gt; "",'1. LCC Befintlig Installation'!P38,"")</f>
        <v/>
      </c>
      <c r="Q38" s="478" t="str">
        <f>IF('1. LCC Befintlig Installation'!Q38 &lt;&gt; "",'1. LCC Befintlig Installation'!Q38,"")</f>
        <v/>
      </c>
      <c r="R38" s="478" t="str">
        <f>IF('1. LCC Befintlig Installation'!R38 &lt;&gt; "",'1. LCC Befintlig Installation'!R38,"")</f>
        <v/>
      </c>
      <c r="S38" s="108"/>
      <c r="T38" s="108"/>
    </row>
    <row r="39" spans="1:20" s="174" customFormat="1" ht="16.5" customHeight="1">
      <c r="B39" s="111" t="s">
        <v>58</v>
      </c>
      <c r="C39" s="115" t="str">
        <f ca="1">$C$27</f>
        <v>Antal armaturer</v>
      </c>
      <c r="D39" s="116"/>
      <c r="E39" s="116"/>
      <c r="F39" s="116"/>
      <c r="G39" s="117"/>
      <c r="H39" s="117" t="str">
        <f ca="1">$H$27</f>
        <v>stk</v>
      </c>
      <c r="I39" s="437"/>
      <c r="J39" s="437"/>
      <c r="K39" s="437"/>
      <c r="L39" s="437"/>
      <c r="M39" s="437"/>
      <c r="N39" s="437"/>
      <c r="O39" s="437"/>
      <c r="P39" s="437"/>
      <c r="Q39" s="437"/>
      <c r="R39" s="437"/>
      <c r="S39" s="108"/>
      <c r="T39" s="108"/>
    </row>
    <row r="40" spans="1:20" s="174" customFormat="1" ht="16.5" customHeight="1">
      <c r="B40" s="111" t="s">
        <v>60</v>
      </c>
      <c r="C40" s="115" t="str">
        <f ca="1">$C$28</f>
        <v>Armaturpris</v>
      </c>
      <c r="D40" s="116"/>
      <c r="E40" s="116"/>
      <c r="F40" s="116"/>
      <c r="G40" s="117"/>
      <c r="H40" s="117" t="str">
        <f ca="1">$H$28</f>
        <v>kr/stk</v>
      </c>
      <c r="I40" s="437"/>
      <c r="J40" s="437"/>
      <c r="K40" s="437"/>
      <c r="L40" s="437"/>
      <c r="M40" s="437"/>
      <c r="N40" s="437"/>
      <c r="O40" s="437"/>
      <c r="P40" s="437"/>
      <c r="Q40" s="437"/>
      <c r="R40" s="437"/>
      <c r="S40" s="108"/>
      <c r="T40" s="108"/>
    </row>
    <row r="41" spans="1:20" s="174" customFormat="1" ht="16.5" customHeight="1">
      <c r="B41" s="111" t="s">
        <v>63</v>
      </c>
      <c r="C41" s="115" t="str">
        <f ca="1">$C$29</f>
        <v>Material- och arbetskostnader armatur</v>
      </c>
      <c r="D41" s="116"/>
      <c r="E41" s="116"/>
      <c r="F41" s="116"/>
      <c r="G41" s="117"/>
      <c r="H41" s="117" t="str">
        <f ca="1">$H$29</f>
        <v>kr</v>
      </c>
      <c r="I41" s="437"/>
      <c r="J41" s="437"/>
      <c r="K41" s="437"/>
      <c r="L41" s="437"/>
      <c r="M41" s="437"/>
      <c r="N41" s="437"/>
      <c r="O41" s="437"/>
      <c r="P41" s="437"/>
      <c r="Q41" s="437"/>
      <c r="R41" s="437"/>
      <c r="S41" s="108"/>
      <c r="T41" s="108"/>
    </row>
    <row r="42" spans="1:20" s="174" customFormat="1" ht="16.5" customHeight="1">
      <c r="B42" s="111" t="s">
        <v>65</v>
      </c>
      <c r="C42" s="115" t="str">
        <f ca="1">$C$30</f>
        <v>Effekt per armatur, inkl. driftsförluster</v>
      </c>
      <c r="D42" s="116"/>
      <c r="E42" s="116"/>
      <c r="F42" s="116"/>
      <c r="G42" s="117"/>
      <c r="H42" s="117" t="str">
        <f ca="1">$H$30</f>
        <v>W/stk</v>
      </c>
      <c r="I42" s="437"/>
      <c r="J42" s="437"/>
      <c r="K42" s="437"/>
      <c r="L42" s="437"/>
      <c r="M42" s="437"/>
      <c r="N42" s="437"/>
      <c r="O42" s="437"/>
      <c r="P42" s="437"/>
      <c r="Q42" s="437"/>
      <c r="R42" s="437"/>
      <c r="S42" s="108"/>
      <c r="T42" s="108"/>
    </row>
    <row r="43" spans="1:20" s="174" customFormat="1" ht="30" customHeight="1">
      <c r="B43" s="111" t="s">
        <v>68</v>
      </c>
      <c r="C43" s="115" t="str">
        <f ca="1">$C$31</f>
        <v>Typ av styrning</v>
      </c>
      <c r="D43" s="116"/>
      <c r="E43" s="116"/>
      <c r="F43" s="116"/>
      <c r="G43" s="117"/>
      <c r="H43" s="117"/>
      <c r="I43" s="437"/>
      <c r="J43" s="437"/>
      <c r="K43" s="437"/>
      <c r="L43" s="437"/>
      <c r="M43" s="437"/>
      <c r="N43" s="437"/>
      <c r="O43" s="437"/>
      <c r="P43" s="437"/>
      <c r="Q43" s="437"/>
      <c r="R43" s="437"/>
      <c r="S43" s="108"/>
      <c r="T43" s="108"/>
    </row>
    <row r="44" spans="1:20" s="174" customFormat="1" ht="27" hidden="1" outlineLevel="1">
      <c r="A44" s="364"/>
      <c r="B44" s="111" t="s">
        <v>71</v>
      </c>
      <c r="C44" s="115" t="s">
        <v>72</v>
      </c>
      <c r="D44" s="116"/>
      <c r="E44" s="116"/>
      <c r="F44" s="116"/>
      <c r="G44" s="117"/>
      <c r="H44" s="117"/>
      <c r="I44" s="437" t="str" cm="1">
        <f t="array" aca="1" ref="I44"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44" s="437" t="str" cm="1">
        <f t="array" aca="1" ref="J44"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44" s="437" t="str" cm="1">
        <f t="array" aca="1" ref="K44"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44" s="437" t="str" cm="1">
        <f t="array" aca="1" ref="L44"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44" s="437" t="str" cm="1">
        <f t="array" aca="1" ref="M44"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44" s="437" t="str" cm="1">
        <f t="array" aca="1" ref="N44"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44" s="437" t="str" cm="1">
        <f t="array" aca="1" ref="O44"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44" s="437" t="str" cm="1">
        <f t="array" aca="1" ref="P44"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44" s="437" t="str" cm="1">
        <f t="array" aca="1" ref="Q44"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44" s="437" t="str" cm="1">
        <f t="array" aca="1" ref="R44"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44" s="108"/>
      <c r="T44" s="108"/>
    </row>
    <row r="45" spans="1:20" s="174" customFormat="1" ht="27" hidden="1" outlineLevel="1">
      <c r="A45" s="364"/>
      <c r="B45" s="111" t="s">
        <v>73</v>
      </c>
      <c r="C45" s="115" t="s">
        <v>74</v>
      </c>
      <c r="D45" s="116"/>
      <c r="E45" s="116"/>
      <c r="F45" s="116"/>
      <c r="G45" s="117"/>
      <c r="H45" s="117"/>
      <c r="I45" s="437" t="str" cm="1">
        <f t="array" aca="1" ref="I45"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45" s="437" t="str" cm="1">
        <f t="array" aca="1" ref="J45"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45" s="437" t="str" cm="1">
        <f t="array" aca="1" ref="K45"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45" s="437" t="str" cm="1">
        <f t="array" aca="1" ref="L45"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45" s="437" t="str" cm="1">
        <f t="array" aca="1" ref="M45"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45" s="437" t="str" cm="1">
        <f t="array" aca="1" ref="N45"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45" s="437" t="str" cm="1">
        <f t="array" aca="1" ref="O45"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45" s="437" t="str" cm="1">
        <f t="array" aca="1" ref="P45"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45" s="437" t="str" cm="1">
        <f t="array" aca="1" ref="Q45"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45" s="437" t="str" cm="1">
        <f t="array" aca="1" ref="R45"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45" s="108"/>
      <c r="T45" s="108"/>
    </row>
    <row r="46" spans="1:20" s="174" customFormat="1" ht="27" hidden="1" outlineLevel="1">
      <c r="A46" s="364"/>
      <c r="B46" s="111" t="s">
        <v>75</v>
      </c>
      <c r="C46" s="115" t="s">
        <v>76</v>
      </c>
      <c r="D46" s="116"/>
      <c r="E46" s="116"/>
      <c r="F46" s="116"/>
      <c r="G46" s="117"/>
      <c r="H46" s="117"/>
      <c r="I46" s="437" t="str" cm="1">
        <f t="array" aca="1" ref="I46"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46" s="437" t="str" cm="1">
        <f t="array" aca="1" ref="J46"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46" s="437" t="str" cm="1">
        <f t="array" aca="1" ref="K46"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46" s="437" t="str" cm="1">
        <f t="array" aca="1" ref="L46"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46" s="437" t="str" cm="1">
        <f t="array" aca="1" ref="M46"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46" s="437" t="str" cm="1">
        <f t="array" aca="1" ref="N46"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46" s="437" t="str" cm="1">
        <f t="array" aca="1" ref="O46"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46" s="437" t="str" cm="1">
        <f t="array" aca="1" ref="P46"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46" s="437" t="str" cm="1">
        <f t="array" aca="1" ref="Q46"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46" s="437" t="str" cm="1">
        <f t="array" aca="1" ref="R46"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46" s="108"/>
      <c r="T46" s="108"/>
    </row>
    <row r="47" spans="1:20" s="174" customFormat="1" ht="16.5" customHeight="1" collapsed="1">
      <c r="B47" s="111" t="s">
        <v>77</v>
      </c>
      <c r="C47" s="119" t="str">
        <f ca="1">$C$35</f>
        <v>Total reduktionsfaktor för styrning</v>
      </c>
      <c r="D47" s="116"/>
      <c r="E47" s="116"/>
      <c r="F47" s="116"/>
      <c r="G47" s="117"/>
      <c r="H47" s="117"/>
      <c r="I47" s="526">
        <f t="shared" ref="I47:R47" si="2">IF(IF(I43=$I$233,I44,IF(I43=$I$234,I44*I45,IF(I43=$I$235,I44*I45*I46,1)))=0,"Fyll i 2.6-2.8",IF(I43=$I$233,I44,IF(I43=$I$234,I44*I45,IF(I43=$I$235,I44*I45*I46,1))))</f>
        <v>1</v>
      </c>
      <c r="J47" s="526">
        <f t="shared" si="2"/>
        <v>1</v>
      </c>
      <c r="K47" s="526">
        <f t="shared" si="2"/>
        <v>1</v>
      </c>
      <c r="L47" s="526">
        <f t="shared" si="2"/>
        <v>1</v>
      </c>
      <c r="M47" s="526">
        <f t="shared" si="2"/>
        <v>1</v>
      </c>
      <c r="N47" s="526">
        <f t="shared" si="2"/>
        <v>1</v>
      </c>
      <c r="O47" s="526">
        <f t="shared" si="2"/>
        <v>1</v>
      </c>
      <c r="P47" s="526">
        <f t="shared" si="2"/>
        <v>1</v>
      </c>
      <c r="Q47" s="526">
        <f t="shared" si="2"/>
        <v>1</v>
      </c>
      <c r="R47" s="526">
        <f t="shared" si="2"/>
        <v>1</v>
      </c>
      <c r="S47" s="108"/>
      <c r="T47" s="108"/>
    </row>
    <row r="48" spans="1:20" s="174" customFormat="1" ht="25.5" customHeight="1">
      <c r="B48" s="111" t="s">
        <v>79</v>
      </c>
      <c r="C48" s="115" t="str">
        <f ca="1">$C$36</f>
        <v>Underhållskostnader</v>
      </c>
      <c r="D48" s="116"/>
      <c r="E48" s="116"/>
      <c r="F48" s="116"/>
      <c r="G48" s="117"/>
      <c r="H48" s="117" t="str">
        <f ca="1">$H$36</f>
        <v>kr/år</v>
      </c>
      <c r="I48" s="437"/>
      <c r="J48" s="437"/>
      <c r="K48" s="437"/>
      <c r="L48" s="437"/>
      <c r="M48" s="437"/>
      <c r="N48" s="437"/>
      <c r="O48" s="437"/>
      <c r="P48" s="437"/>
      <c r="Q48" s="437"/>
      <c r="R48" s="437"/>
      <c r="S48" s="108"/>
      <c r="T48" s="108"/>
    </row>
    <row r="49" spans="1:20" s="174" customFormat="1" ht="16.5" customHeight="1">
      <c r="B49" s="111"/>
      <c r="C49" s="465"/>
      <c r="D49" s="465"/>
      <c r="E49" s="465"/>
      <c r="F49" s="465"/>
      <c r="G49" s="465"/>
      <c r="H49" s="465"/>
      <c r="I49" s="471"/>
      <c r="J49" s="471"/>
      <c r="K49" s="471"/>
      <c r="L49" s="471"/>
      <c r="M49" s="471"/>
      <c r="N49" s="471"/>
      <c r="O49" s="471"/>
      <c r="P49" s="471"/>
      <c r="Q49" s="471"/>
      <c r="R49" s="471"/>
      <c r="S49" s="108"/>
      <c r="T49" s="108"/>
    </row>
    <row r="50" spans="1:20" s="174" customFormat="1" ht="16.5" customHeight="1">
      <c r="B50" s="111"/>
      <c r="C50" s="110" t="str">
        <f ca="1">$C$26</f>
        <v>Armaturbeteckning</v>
      </c>
      <c r="D50" s="118"/>
      <c r="E50" s="118"/>
      <c r="F50" s="118"/>
      <c r="G50" s="118"/>
      <c r="H50" s="118"/>
      <c r="I50" s="478" t="str">
        <f>IF('1. LCC Befintlig Installation'!I50 &lt;&gt; "",'1. LCC Befintlig Installation'!I50,"")</f>
        <v/>
      </c>
      <c r="J50" s="478" t="str">
        <f>IF('1. LCC Befintlig Installation'!J50 &lt;&gt; "",'1. LCC Befintlig Installation'!J50,"")</f>
        <v/>
      </c>
      <c r="K50" s="478" t="str">
        <f>IF('1. LCC Befintlig Installation'!K50 &lt;&gt; "",'1. LCC Befintlig Installation'!K50,"")</f>
        <v/>
      </c>
      <c r="L50" s="478" t="str">
        <f>IF('1. LCC Befintlig Installation'!L50 &lt;&gt; "",'1. LCC Befintlig Installation'!L50,"")</f>
        <v/>
      </c>
      <c r="M50" s="478" t="str">
        <f>IF('1. LCC Befintlig Installation'!M50 &lt;&gt; "",'1. LCC Befintlig Installation'!M50,"")</f>
        <v/>
      </c>
      <c r="N50" s="478" t="str">
        <f>IF('1. LCC Befintlig Installation'!N50 &lt;&gt; "",'1. LCC Befintlig Installation'!N50,"")</f>
        <v/>
      </c>
      <c r="O50" s="478" t="str">
        <f>IF('1. LCC Befintlig Installation'!O50 &lt;&gt; "",'1. LCC Befintlig Installation'!O50,"")</f>
        <v/>
      </c>
      <c r="P50" s="478" t="str">
        <f>IF('1. LCC Befintlig Installation'!P50 &lt;&gt; "",'1. LCC Befintlig Installation'!P50,"")</f>
        <v/>
      </c>
      <c r="Q50" s="478" t="str">
        <f>IF('1. LCC Befintlig Installation'!Q50 &lt;&gt; "",'1. LCC Befintlig Installation'!Q50,"")</f>
        <v/>
      </c>
      <c r="R50" s="478" t="str">
        <f>IF('1. LCC Befintlig Installation'!R50 &lt;&gt; "",'1. LCC Befintlig Installation'!R50,"")</f>
        <v/>
      </c>
      <c r="S50" s="108"/>
      <c r="T50" s="108"/>
    </row>
    <row r="51" spans="1:20" s="174" customFormat="1" ht="16.5" customHeight="1">
      <c r="B51" s="111" t="s">
        <v>58</v>
      </c>
      <c r="C51" s="115" t="str">
        <f ca="1">$C$27</f>
        <v>Antal armaturer</v>
      </c>
      <c r="D51" s="116"/>
      <c r="E51" s="116"/>
      <c r="F51" s="116"/>
      <c r="G51" s="117"/>
      <c r="H51" s="117" t="str">
        <f ca="1">$H$27</f>
        <v>stk</v>
      </c>
      <c r="I51" s="437"/>
      <c r="J51" s="437"/>
      <c r="K51" s="437"/>
      <c r="L51" s="437"/>
      <c r="M51" s="437"/>
      <c r="N51" s="437"/>
      <c r="O51" s="437"/>
      <c r="P51" s="437"/>
      <c r="Q51" s="437"/>
      <c r="R51" s="437"/>
      <c r="S51" s="108"/>
      <c r="T51" s="108"/>
    </row>
    <row r="52" spans="1:20" s="174" customFormat="1" ht="16.5" customHeight="1">
      <c r="B52" s="111" t="s">
        <v>60</v>
      </c>
      <c r="C52" s="115" t="str">
        <f ca="1">$C$28</f>
        <v>Armaturpris</v>
      </c>
      <c r="D52" s="116"/>
      <c r="E52" s="116"/>
      <c r="F52" s="116"/>
      <c r="G52" s="117"/>
      <c r="H52" s="117" t="str">
        <f ca="1">$H$28</f>
        <v>kr/stk</v>
      </c>
      <c r="I52" s="437"/>
      <c r="J52" s="437"/>
      <c r="K52" s="437"/>
      <c r="L52" s="437"/>
      <c r="M52" s="437"/>
      <c r="N52" s="437"/>
      <c r="O52" s="437"/>
      <c r="P52" s="437"/>
      <c r="Q52" s="437"/>
      <c r="R52" s="437"/>
      <c r="S52" s="108"/>
      <c r="T52" s="108"/>
    </row>
    <row r="53" spans="1:20" s="174" customFormat="1" ht="16.5" customHeight="1">
      <c r="B53" s="111" t="s">
        <v>63</v>
      </c>
      <c r="C53" s="115" t="str">
        <f ca="1">$C$29</f>
        <v>Material- och arbetskostnader armatur</v>
      </c>
      <c r="D53" s="116"/>
      <c r="E53" s="116"/>
      <c r="F53" s="116"/>
      <c r="G53" s="117"/>
      <c r="H53" s="117" t="str">
        <f ca="1">$H$29</f>
        <v>kr</v>
      </c>
      <c r="I53" s="437"/>
      <c r="J53" s="437"/>
      <c r="K53" s="437"/>
      <c r="L53" s="437"/>
      <c r="M53" s="437"/>
      <c r="N53" s="437"/>
      <c r="O53" s="437"/>
      <c r="P53" s="437"/>
      <c r="Q53" s="437"/>
      <c r="R53" s="437"/>
      <c r="S53" s="108"/>
      <c r="T53" s="108"/>
    </row>
    <row r="54" spans="1:20" s="174" customFormat="1" ht="16.5" customHeight="1">
      <c r="B54" s="111" t="s">
        <v>65</v>
      </c>
      <c r="C54" s="115" t="str">
        <f ca="1">$C$30</f>
        <v>Effekt per armatur, inkl. driftsförluster</v>
      </c>
      <c r="D54" s="116"/>
      <c r="E54" s="116"/>
      <c r="F54" s="116"/>
      <c r="G54" s="117"/>
      <c r="H54" s="117" t="str">
        <f ca="1">$H$30</f>
        <v>W/stk</v>
      </c>
      <c r="I54" s="437"/>
      <c r="J54" s="437"/>
      <c r="K54" s="437"/>
      <c r="L54" s="437"/>
      <c r="M54" s="437"/>
      <c r="N54" s="437"/>
      <c r="O54" s="437"/>
      <c r="P54" s="437"/>
      <c r="Q54" s="437"/>
      <c r="R54" s="437"/>
      <c r="S54" s="108"/>
      <c r="T54" s="108"/>
    </row>
    <row r="55" spans="1:20" s="174" customFormat="1" ht="30" customHeight="1">
      <c r="B55" s="111" t="s">
        <v>68</v>
      </c>
      <c r="C55" s="115" t="str">
        <f ca="1">$C$31</f>
        <v>Typ av styrning</v>
      </c>
      <c r="D55" s="116"/>
      <c r="E55" s="116"/>
      <c r="F55" s="116"/>
      <c r="G55" s="117"/>
      <c r="H55" s="117"/>
      <c r="I55" s="437"/>
      <c r="J55" s="437"/>
      <c r="K55" s="437"/>
      <c r="L55" s="437"/>
      <c r="M55" s="437"/>
      <c r="N55" s="437"/>
      <c r="O55" s="437"/>
      <c r="P55" s="437"/>
      <c r="Q55" s="437"/>
      <c r="R55" s="437"/>
      <c r="S55" s="108"/>
      <c r="T55" s="108"/>
    </row>
    <row r="56" spans="1:20" s="174" customFormat="1" ht="27" hidden="1" outlineLevel="1">
      <c r="A56" s="364"/>
      <c r="B56" s="111" t="s">
        <v>71</v>
      </c>
      <c r="C56" s="115" t="s">
        <v>72</v>
      </c>
      <c r="D56" s="116"/>
      <c r="E56" s="116"/>
      <c r="F56" s="116"/>
      <c r="G56" s="117"/>
      <c r="H56" s="117"/>
      <c r="I56" s="437" t="str" cm="1">
        <f t="array" aca="1" ref="I56"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56" s="437" t="str" cm="1">
        <f t="array" aca="1" ref="J56"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56" s="437" t="str" cm="1">
        <f t="array" aca="1" ref="K56"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56" s="437" t="str" cm="1">
        <f t="array" aca="1" ref="L56"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56" s="437" t="str" cm="1">
        <f t="array" aca="1" ref="M56"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56" s="437" t="str" cm="1">
        <f t="array" aca="1" ref="N56"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56" s="437" t="str" cm="1">
        <f t="array" aca="1" ref="O56"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56" s="437" t="str" cm="1">
        <f t="array" aca="1" ref="P56"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56" s="437" t="str" cm="1">
        <f t="array" aca="1" ref="Q56"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56" s="437" t="str" cm="1">
        <f t="array" aca="1" ref="R56"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56" s="108"/>
      <c r="T56" s="108"/>
    </row>
    <row r="57" spans="1:20" s="174" customFormat="1" ht="27" hidden="1" outlineLevel="1">
      <c r="A57" s="364"/>
      <c r="B57" s="111" t="s">
        <v>73</v>
      </c>
      <c r="C57" s="115" t="s">
        <v>74</v>
      </c>
      <c r="D57" s="116"/>
      <c r="E57" s="116"/>
      <c r="F57" s="116"/>
      <c r="G57" s="117"/>
      <c r="H57" s="117"/>
      <c r="I57" s="437" t="str" cm="1">
        <f t="array" aca="1" ref="I57"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57" s="437" t="str" cm="1">
        <f t="array" aca="1" ref="J57"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57" s="437" t="str" cm="1">
        <f t="array" aca="1" ref="K57"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57" s="437" t="str" cm="1">
        <f t="array" aca="1" ref="L57"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57" s="437" t="str" cm="1">
        <f t="array" aca="1" ref="M57"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57" s="437" t="str" cm="1">
        <f t="array" aca="1" ref="N57"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57" s="437" t="str" cm="1">
        <f t="array" aca="1" ref="O57"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57" s="437" t="str" cm="1">
        <f t="array" aca="1" ref="P57"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57" s="437" t="str" cm="1">
        <f t="array" aca="1" ref="Q57"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57" s="437" t="str" cm="1">
        <f t="array" aca="1" ref="R57"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57" s="108"/>
      <c r="T57" s="108"/>
    </row>
    <row r="58" spans="1:20" s="174" customFormat="1" ht="27" hidden="1" outlineLevel="1">
      <c r="A58" s="364"/>
      <c r="B58" s="111" t="s">
        <v>75</v>
      </c>
      <c r="C58" s="115" t="s">
        <v>76</v>
      </c>
      <c r="D58" s="116"/>
      <c r="E58" s="116"/>
      <c r="F58" s="116"/>
      <c r="G58" s="117"/>
      <c r="H58" s="117"/>
      <c r="I58" s="437" t="str" cm="1">
        <f t="array" aca="1" ref="I58"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58" s="437" t="str" cm="1">
        <f t="array" aca="1" ref="J58"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58" s="437" t="str" cm="1">
        <f t="array" aca="1" ref="K58"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58" s="437" t="str" cm="1">
        <f t="array" aca="1" ref="L58"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58" s="437" t="str" cm="1">
        <f t="array" aca="1" ref="M58"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58" s="437" t="str" cm="1">
        <f t="array" aca="1" ref="N58"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58" s="437" t="str" cm="1">
        <f t="array" aca="1" ref="O58"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58" s="437" t="str" cm="1">
        <f t="array" aca="1" ref="P58"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58" s="437" t="str" cm="1">
        <f t="array" aca="1" ref="Q58"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58" s="437" t="str" cm="1">
        <f t="array" aca="1" ref="R58"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58" s="108"/>
      <c r="T58" s="108"/>
    </row>
    <row r="59" spans="1:20" s="174" customFormat="1" ht="16.5" customHeight="1" collapsed="1">
      <c r="B59" s="111" t="s">
        <v>77</v>
      </c>
      <c r="C59" s="119" t="str">
        <f ca="1">$C$35</f>
        <v>Total reduktionsfaktor för styrning</v>
      </c>
      <c r="D59" s="116"/>
      <c r="E59" s="116"/>
      <c r="F59" s="116"/>
      <c r="G59" s="117"/>
      <c r="H59" s="117"/>
      <c r="I59" s="526">
        <f t="shared" ref="I59:R59" si="3">IF(IF(I55=$I$233,I56,IF(I55=$I$234,I56*I57,IF(I55=$I$235,I56*I57*I58,1)))=0,"Fyll i 2.6-2.8",IF(I55=$I$233,I56,IF(I55=$I$234,I56*I57,IF(I55=$I$235,I56*I57*I58,1))))</f>
        <v>1</v>
      </c>
      <c r="J59" s="526">
        <f t="shared" si="3"/>
        <v>1</v>
      </c>
      <c r="K59" s="526">
        <f t="shared" si="3"/>
        <v>1</v>
      </c>
      <c r="L59" s="526">
        <f t="shared" si="3"/>
        <v>1</v>
      </c>
      <c r="M59" s="526">
        <f t="shared" si="3"/>
        <v>1</v>
      </c>
      <c r="N59" s="526">
        <f t="shared" si="3"/>
        <v>1</v>
      </c>
      <c r="O59" s="526">
        <f t="shared" si="3"/>
        <v>1</v>
      </c>
      <c r="P59" s="526">
        <f t="shared" si="3"/>
        <v>1</v>
      </c>
      <c r="Q59" s="526">
        <f t="shared" si="3"/>
        <v>1</v>
      </c>
      <c r="R59" s="526">
        <f t="shared" si="3"/>
        <v>1</v>
      </c>
      <c r="S59" s="108"/>
      <c r="T59" s="108"/>
    </row>
    <row r="60" spans="1:20" s="174" customFormat="1" ht="16.5" customHeight="1">
      <c r="B60" s="111" t="s">
        <v>79</v>
      </c>
      <c r="C60" s="115" t="str">
        <f ca="1">$C$36</f>
        <v>Underhållskostnader</v>
      </c>
      <c r="D60" s="116"/>
      <c r="E60" s="116"/>
      <c r="F60" s="116"/>
      <c r="G60" s="117"/>
      <c r="H60" s="117" t="str">
        <f ca="1">$H$36</f>
        <v>kr/år</v>
      </c>
      <c r="I60" s="437"/>
      <c r="J60" s="437"/>
      <c r="K60" s="437"/>
      <c r="L60" s="437"/>
      <c r="M60" s="437"/>
      <c r="N60" s="437"/>
      <c r="O60" s="437"/>
      <c r="P60" s="437"/>
      <c r="Q60" s="437"/>
      <c r="R60" s="437"/>
      <c r="S60" s="108"/>
      <c r="T60" s="108"/>
    </row>
    <row r="61" spans="1:20" s="174" customFormat="1" ht="16.5" customHeight="1">
      <c r="B61" s="111"/>
      <c r="C61" s="465"/>
      <c r="D61" s="465"/>
      <c r="E61" s="465"/>
      <c r="F61" s="465"/>
      <c r="G61" s="465"/>
      <c r="H61" s="465"/>
      <c r="I61" s="471"/>
      <c r="J61" s="471"/>
      <c r="K61" s="471"/>
      <c r="L61" s="471"/>
      <c r="M61" s="471"/>
      <c r="N61" s="471"/>
      <c r="O61" s="471"/>
      <c r="P61" s="471"/>
      <c r="Q61" s="471"/>
      <c r="R61" s="471"/>
      <c r="S61" s="108"/>
      <c r="T61" s="108"/>
    </row>
    <row r="62" spans="1:20" s="174" customFormat="1" ht="16.5" customHeight="1">
      <c r="B62" s="111"/>
      <c r="C62" s="110" t="str">
        <f ca="1">$C$26</f>
        <v>Armaturbeteckning</v>
      </c>
      <c r="D62" s="118"/>
      <c r="E62" s="118"/>
      <c r="F62" s="118"/>
      <c r="G62" s="118"/>
      <c r="H62" s="118"/>
      <c r="I62" s="479" t="str">
        <f>IF('1. LCC Befintlig Installation'!I62 &lt;&gt; "",'1. LCC Befintlig Installation'!I62,"")</f>
        <v/>
      </c>
      <c r="J62" s="479" t="str">
        <f>IF('1. LCC Befintlig Installation'!J62 &lt;&gt; "",'1. LCC Befintlig Installation'!J62,"")</f>
        <v/>
      </c>
      <c r="K62" s="479" t="str">
        <f>IF('1. LCC Befintlig Installation'!K62 &lt;&gt; "",'1. LCC Befintlig Installation'!K62,"")</f>
        <v/>
      </c>
      <c r="L62" s="479" t="str">
        <f>IF('1. LCC Befintlig Installation'!L62 &lt;&gt; "",'1. LCC Befintlig Installation'!L62,"")</f>
        <v/>
      </c>
      <c r="M62" s="479" t="str">
        <f>IF('1. LCC Befintlig Installation'!M62 &lt;&gt; "",'1. LCC Befintlig Installation'!M62,"")</f>
        <v/>
      </c>
      <c r="N62" s="479" t="str">
        <f>IF('1. LCC Befintlig Installation'!N62 &lt;&gt; "",'1. LCC Befintlig Installation'!N62,"")</f>
        <v/>
      </c>
      <c r="O62" s="479" t="str">
        <f>IF('1. LCC Befintlig Installation'!O62 &lt;&gt; "",'1. LCC Befintlig Installation'!O62,"")</f>
        <v/>
      </c>
      <c r="P62" s="479" t="str">
        <f>IF('1. LCC Befintlig Installation'!P62 &lt;&gt; "",'1. LCC Befintlig Installation'!P62,"")</f>
        <v/>
      </c>
      <c r="Q62" s="479" t="str">
        <f>IF('1. LCC Befintlig Installation'!Q62 &lt;&gt; "",'1. LCC Befintlig Installation'!Q62,"")</f>
        <v/>
      </c>
      <c r="R62" s="479" t="str">
        <f>IF('1. LCC Befintlig Installation'!R62 &lt;&gt; "",'1. LCC Befintlig Installation'!R62,"")</f>
        <v/>
      </c>
      <c r="S62" s="108"/>
      <c r="T62" s="108"/>
    </row>
    <row r="63" spans="1:20" s="174" customFormat="1" ht="16.5" customHeight="1">
      <c r="B63" s="111" t="s">
        <v>58</v>
      </c>
      <c r="C63" s="115" t="str">
        <f ca="1">$C$27</f>
        <v>Antal armaturer</v>
      </c>
      <c r="D63" s="116"/>
      <c r="E63" s="116"/>
      <c r="F63" s="116"/>
      <c r="G63" s="117"/>
      <c r="H63" s="117" t="str">
        <f ca="1">$H$27</f>
        <v>stk</v>
      </c>
      <c r="I63" s="437"/>
      <c r="J63" s="437"/>
      <c r="K63" s="437"/>
      <c r="L63" s="437"/>
      <c r="M63" s="437"/>
      <c r="N63" s="437"/>
      <c r="O63" s="437"/>
      <c r="P63" s="437"/>
      <c r="Q63" s="437"/>
      <c r="R63" s="437"/>
      <c r="S63" s="108"/>
      <c r="T63" s="108"/>
    </row>
    <row r="64" spans="1:20" s="174" customFormat="1" ht="16.5" customHeight="1">
      <c r="B64" s="111" t="s">
        <v>60</v>
      </c>
      <c r="C64" s="115" t="str">
        <f ca="1">$C$28</f>
        <v>Armaturpris</v>
      </c>
      <c r="D64" s="116"/>
      <c r="E64" s="116"/>
      <c r="F64" s="116"/>
      <c r="G64" s="117"/>
      <c r="H64" s="117" t="str">
        <f ca="1">$H$28</f>
        <v>kr/stk</v>
      </c>
      <c r="I64" s="437"/>
      <c r="J64" s="437"/>
      <c r="K64" s="437"/>
      <c r="L64" s="437"/>
      <c r="M64" s="437"/>
      <c r="N64" s="437"/>
      <c r="O64" s="437"/>
      <c r="P64" s="437"/>
      <c r="Q64" s="437"/>
      <c r="R64" s="437"/>
      <c r="S64" s="108"/>
      <c r="T64" s="108"/>
    </row>
    <row r="65" spans="1:20" s="174" customFormat="1" ht="16.5" customHeight="1">
      <c r="B65" s="111" t="s">
        <v>63</v>
      </c>
      <c r="C65" s="115" t="str">
        <f ca="1">$C$29</f>
        <v>Material- och arbetskostnader armatur</v>
      </c>
      <c r="D65" s="116"/>
      <c r="E65" s="116"/>
      <c r="F65" s="116"/>
      <c r="G65" s="117"/>
      <c r="H65" s="117" t="str">
        <f ca="1">$H$29</f>
        <v>kr</v>
      </c>
      <c r="I65" s="437"/>
      <c r="J65" s="437"/>
      <c r="K65" s="437"/>
      <c r="L65" s="437"/>
      <c r="M65" s="437"/>
      <c r="N65" s="437"/>
      <c r="O65" s="437"/>
      <c r="P65" s="437"/>
      <c r="Q65" s="437"/>
      <c r="R65" s="437"/>
      <c r="S65" s="108"/>
      <c r="T65" s="108"/>
    </row>
    <row r="66" spans="1:20" s="174" customFormat="1" ht="16.5" customHeight="1">
      <c r="B66" s="111" t="s">
        <v>65</v>
      </c>
      <c r="C66" s="115" t="str">
        <f ca="1">$C$30</f>
        <v>Effekt per armatur, inkl. driftsförluster</v>
      </c>
      <c r="D66" s="116"/>
      <c r="E66" s="116"/>
      <c r="F66" s="116"/>
      <c r="G66" s="117"/>
      <c r="H66" s="117" t="str">
        <f ca="1">$H$30</f>
        <v>W/stk</v>
      </c>
      <c r="I66" s="437"/>
      <c r="J66" s="437"/>
      <c r="K66" s="437"/>
      <c r="L66" s="437"/>
      <c r="M66" s="437"/>
      <c r="N66" s="437"/>
      <c r="O66" s="437"/>
      <c r="P66" s="437"/>
      <c r="Q66" s="437"/>
      <c r="R66" s="437"/>
      <c r="S66" s="108"/>
      <c r="T66" s="108"/>
    </row>
    <row r="67" spans="1:20" s="174" customFormat="1" ht="30" customHeight="1">
      <c r="B67" s="111" t="s">
        <v>68</v>
      </c>
      <c r="C67" s="115" t="str">
        <f ca="1">$C$31</f>
        <v>Typ av styrning</v>
      </c>
      <c r="D67" s="116"/>
      <c r="E67" s="116"/>
      <c r="F67" s="116"/>
      <c r="G67" s="117"/>
      <c r="H67" s="117"/>
      <c r="I67" s="437"/>
      <c r="J67" s="437"/>
      <c r="K67" s="437"/>
      <c r="L67" s="437"/>
      <c r="M67" s="437"/>
      <c r="N67" s="437"/>
      <c r="O67" s="437"/>
      <c r="P67" s="437"/>
      <c r="Q67" s="437"/>
      <c r="R67" s="437"/>
      <c r="S67" s="108"/>
      <c r="T67" s="108"/>
    </row>
    <row r="68" spans="1:20" s="174" customFormat="1" ht="27" hidden="1" outlineLevel="1">
      <c r="A68" s="364"/>
      <c r="B68" s="111" t="s">
        <v>71</v>
      </c>
      <c r="C68" s="115" t="s">
        <v>72</v>
      </c>
      <c r="D68" s="116"/>
      <c r="E68" s="116"/>
      <c r="F68" s="116"/>
      <c r="G68" s="117"/>
      <c r="H68" s="117"/>
      <c r="I68" s="437" t="str" cm="1">
        <f t="array" aca="1" ref="I68"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68" s="437" t="str" cm="1">
        <f t="array" aca="1" ref="J68"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68" s="437" t="str" cm="1">
        <f t="array" aca="1" ref="K68"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68" s="437" t="str" cm="1">
        <f t="array" aca="1" ref="L68"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68" s="437" t="str" cm="1">
        <f t="array" aca="1" ref="M68"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68" s="437" t="str" cm="1">
        <f t="array" aca="1" ref="N68"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68" s="437" t="str" cm="1">
        <f t="array" aca="1" ref="O68"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68" s="437" t="str" cm="1">
        <f t="array" aca="1" ref="P68"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68" s="437" t="str" cm="1">
        <f t="array" aca="1" ref="Q68"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68" s="437" t="str" cm="1">
        <f t="array" aca="1" ref="R68"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68" s="108"/>
      <c r="T68" s="108"/>
    </row>
    <row r="69" spans="1:20" s="174" customFormat="1" ht="27" hidden="1" outlineLevel="1">
      <c r="A69" s="364"/>
      <c r="B69" s="111" t="s">
        <v>73</v>
      </c>
      <c r="C69" s="115" t="s">
        <v>74</v>
      </c>
      <c r="D69" s="116"/>
      <c r="E69" s="116"/>
      <c r="F69" s="116"/>
      <c r="G69" s="117"/>
      <c r="H69" s="117"/>
      <c r="I69" s="437" t="str" cm="1">
        <f t="array" aca="1" ref="I69"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69" s="437" t="str" cm="1">
        <f t="array" aca="1" ref="J69"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69" s="437" t="str" cm="1">
        <f t="array" aca="1" ref="K69"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69" s="437" t="str" cm="1">
        <f t="array" aca="1" ref="L69"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69" s="437" t="str" cm="1">
        <f t="array" aca="1" ref="M69"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69" s="437" t="str" cm="1">
        <f t="array" aca="1" ref="N69"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69" s="437" t="str" cm="1">
        <f t="array" aca="1" ref="O69"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69" s="437" t="str" cm="1">
        <f t="array" aca="1" ref="P69"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69" s="437" t="str" cm="1">
        <f t="array" aca="1" ref="Q69"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69" s="437" t="str" cm="1">
        <f t="array" aca="1" ref="R69"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69" s="108"/>
      <c r="T69" s="108"/>
    </row>
    <row r="70" spans="1:20" s="174" customFormat="1" ht="27" hidden="1" outlineLevel="1">
      <c r="A70" s="364"/>
      <c r="B70" s="111" t="s">
        <v>75</v>
      </c>
      <c r="C70" s="115" t="s">
        <v>76</v>
      </c>
      <c r="D70" s="116"/>
      <c r="E70" s="116"/>
      <c r="F70" s="116"/>
      <c r="G70" s="117"/>
      <c r="H70" s="117"/>
      <c r="I70" s="437" t="str" cm="1">
        <f t="array" aca="1" ref="I70"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70" s="437" t="str" cm="1">
        <f t="array" aca="1" ref="J70"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70" s="437" t="str" cm="1">
        <f t="array" aca="1" ref="K70"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70" s="437" t="str" cm="1">
        <f t="array" aca="1" ref="L70"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70" s="437" t="str" cm="1">
        <f t="array" aca="1" ref="M70"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70" s="437" t="str" cm="1">
        <f t="array" aca="1" ref="N70"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70" s="437" t="str" cm="1">
        <f t="array" aca="1" ref="O70"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70" s="437" t="str" cm="1">
        <f t="array" aca="1" ref="P70"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70" s="437" t="str" cm="1">
        <f t="array" aca="1" ref="Q70"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70" s="437" t="str" cm="1">
        <f t="array" aca="1" ref="R70"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70" s="108"/>
      <c r="T70" s="108"/>
    </row>
    <row r="71" spans="1:20" s="174" customFormat="1" ht="16.5" customHeight="1" collapsed="1">
      <c r="B71" s="111" t="s">
        <v>77</v>
      </c>
      <c r="C71" s="119" t="str">
        <f ca="1">$C$35</f>
        <v>Total reduktionsfaktor för styrning</v>
      </c>
      <c r="D71" s="116"/>
      <c r="E71" s="116"/>
      <c r="F71" s="116"/>
      <c r="G71" s="117"/>
      <c r="H71" s="117"/>
      <c r="I71" s="526">
        <f t="shared" ref="I71:R71" si="4">IF(IF(I67=$I$233,I68,IF(I67=$I$234,I68*I69,IF(I67=$I$235,I68*I69*I70,1)))=0,"Fyll i 2.6-2.8",IF(I67=$I$233,I68,IF(I67=$I$234,I68*I69,IF(I67=$I$235,I68*I69*I70,1))))</f>
        <v>1</v>
      </c>
      <c r="J71" s="526">
        <f t="shared" si="4"/>
        <v>1</v>
      </c>
      <c r="K71" s="526">
        <f t="shared" si="4"/>
        <v>1</v>
      </c>
      <c r="L71" s="526">
        <f t="shared" si="4"/>
        <v>1</v>
      </c>
      <c r="M71" s="526">
        <f t="shared" si="4"/>
        <v>1</v>
      </c>
      <c r="N71" s="526">
        <f t="shared" si="4"/>
        <v>1</v>
      </c>
      <c r="O71" s="526">
        <f t="shared" si="4"/>
        <v>1</v>
      </c>
      <c r="P71" s="526">
        <f t="shared" si="4"/>
        <v>1</v>
      </c>
      <c r="Q71" s="526">
        <f t="shared" si="4"/>
        <v>1</v>
      </c>
      <c r="R71" s="526">
        <f t="shared" si="4"/>
        <v>1</v>
      </c>
      <c r="S71" s="108"/>
      <c r="T71" s="108"/>
    </row>
    <row r="72" spans="1:20" s="174" customFormat="1" ht="16.5" customHeight="1">
      <c r="B72" s="111" t="s">
        <v>79</v>
      </c>
      <c r="C72" s="115" t="str">
        <f ca="1">$C$36</f>
        <v>Underhållskostnader</v>
      </c>
      <c r="D72" s="116"/>
      <c r="E72" s="116"/>
      <c r="F72" s="116"/>
      <c r="G72" s="117"/>
      <c r="H72" s="117" t="str">
        <f ca="1">$H$36</f>
        <v>kr/år</v>
      </c>
      <c r="I72" s="437"/>
      <c r="J72" s="437"/>
      <c r="K72" s="437"/>
      <c r="L72" s="437"/>
      <c r="M72" s="437"/>
      <c r="N72" s="437"/>
      <c r="O72" s="437"/>
      <c r="P72" s="437"/>
      <c r="Q72" s="437"/>
      <c r="R72" s="437"/>
      <c r="S72" s="108"/>
      <c r="T72" s="108"/>
    </row>
    <row r="73" spans="1:20" s="174" customFormat="1" ht="16.5" customHeight="1">
      <c r="B73" s="111"/>
      <c r="C73" s="465"/>
      <c r="D73" s="465"/>
      <c r="E73" s="465"/>
      <c r="F73" s="465"/>
      <c r="G73" s="465"/>
      <c r="H73" s="465"/>
      <c r="I73" s="471"/>
      <c r="J73" s="471"/>
      <c r="K73" s="471"/>
      <c r="L73" s="471"/>
      <c r="M73" s="471"/>
      <c r="N73" s="471"/>
      <c r="O73" s="471"/>
      <c r="P73" s="471"/>
      <c r="Q73" s="471"/>
      <c r="R73" s="471"/>
      <c r="S73" s="108"/>
      <c r="T73" s="108"/>
    </row>
    <row r="74" spans="1:20" s="174" customFormat="1" ht="16.5" customHeight="1">
      <c r="B74" s="111"/>
      <c r="C74" s="110" t="str">
        <f ca="1">$C$26</f>
        <v>Armaturbeteckning</v>
      </c>
      <c r="D74" s="118"/>
      <c r="E74" s="118"/>
      <c r="F74" s="118"/>
      <c r="G74" s="118"/>
      <c r="H74" s="118"/>
      <c r="I74" s="479" t="str">
        <f>IF('1. LCC Befintlig Installation'!I74 &lt;&gt; "",'1. LCC Befintlig Installation'!I74,"")</f>
        <v/>
      </c>
      <c r="J74" s="479" t="str">
        <f>IF('1. LCC Befintlig Installation'!J74 &lt;&gt; "",'1. LCC Befintlig Installation'!J74,"")</f>
        <v/>
      </c>
      <c r="K74" s="479" t="str">
        <f>IF('1. LCC Befintlig Installation'!K74 &lt;&gt; "",'1. LCC Befintlig Installation'!K74,"")</f>
        <v/>
      </c>
      <c r="L74" s="479" t="str">
        <f>IF('1. LCC Befintlig Installation'!L74 &lt;&gt; "",'1. LCC Befintlig Installation'!L74,"")</f>
        <v/>
      </c>
      <c r="M74" s="479" t="str">
        <f>IF('1. LCC Befintlig Installation'!M74 &lt;&gt; "",'1. LCC Befintlig Installation'!M74,"")</f>
        <v/>
      </c>
      <c r="N74" s="479" t="str">
        <f>IF('1. LCC Befintlig Installation'!N74 &lt;&gt; "",'1. LCC Befintlig Installation'!N74,"")</f>
        <v/>
      </c>
      <c r="O74" s="479" t="str">
        <f>IF('1. LCC Befintlig Installation'!O74 &lt;&gt; "",'1. LCC Befintlig Installation'!O74,"")</f>
        <v/>
      </c>
      <c r="P74" s="479" t="str">
        <f>IF('1. LCC Befintlig Installation'!P74 &lt;&gt; "",'1. LCC Befintlig Installation'!P74,"")</f>
        <v/>
      </c>
      <c r="Q74" s="479" t="str">
        <f>IF('1. LCC Befintlig Installation'!Q74 &lt;&gt; "",'1. LCC Befintlig Installation'!Q74,"")</f>
        <v/>
      </c>
      <c r="R74" s="479" t="str">
        <f>IF('1. LCC Befintlig Installation'!R74 &lt;&gt; "",'1. LCC Befintlig Installation'!R74,"")</f>
        <v/>
      </c>
      <c r="S74" s="108"/>
      <c r="T74" s="108"/>
    </row>
    <row r="75" spans="1:20" s="174" customFormat="1" ht="16.5" customHeight="1">
      <c r="B75" s="111" t="s">
        <v>58</v>
      </c>
      <c r="C75" s="115" t="str">
        <f ca="1">$C$27</f>
        <v>Antal armaturer</v>
      </c>
      <c r="D75" s="116"/>
      <c r="E75" s="116"/>
      <c r="F75" s="116"/>
      <c r="G75" s="117"/>
      <c r="H75" s="117" t="str">
        <f ca="1">$H$27</f>
        <v>stk</v>
      </c>
      <c r="I75" s="437"/>
      <c r="J75" s="437"/>
      <c r="K75" s="437"/>
      <c r="L75" s="437"/>
      <c r="M75" s="437"/>
      <c r="N75" s="437"/>
      <c r="O75" s="437"/>
      <c r="P75" s="437"/>
      <c r="Q75" s="437"/>
      <c r="R75" s="437"/>
      <c r="S75" s="108"/>
      <c r="T75" s="108"/>
    </row>
    <row r="76" spans="1:20" s="174" customFormat="1" ht="16.5" customHeight="1">
      <c r="B76" s="111" t="s">
        <v>60</v>
      </c>
      <c r="C76" s="115" t="str">
        <f ca="1">$C$28</f>
        <v>Armaturpris</v>
      </c>
      <c r="D76" s="116"/>
      <c r="E76" s="116"/>
      <c r="F76" s="116"/>
      <c r="G76" s="117"/>
      <c r="H76" s="117" t="str">
        <f ca="1">$H$28</f>
        <v>kr/stk</v>
      </c>
      <c r="I76" s="437"/>
      <c r="J76" s="437"/>
      <c r="K76" s="437"/>
      <c r="L76" s="437"/>
      <c r="M76" s="437"/>
      <c r="N76" s="437"/>
      <c r="O76" s="437"/>
      <c r="P76" s="437"/>
      <c r="Q76" s="437"/>
      <c r="R76" s="437"/>
      <c r="S76" s="108"/>
      <c r="T76" s="108"/>
    </row>
    <row r="77" spans="1:20" s="174" customFormat="1" ht="16.5" customHeight="1">
      <c r="B77" s="111" t="s">
        <v>63</v>
      </c>
      <c r="C77" s="115" t="str">
        <f ca="1">$C$29</f>
        <v>Material- och arbetskostnader armatur</v>
      </c>
      <c r="D77" s="116"/>
      <c r="E77" s="116"/>
      <c r="F77" s="116"/>
      <c r="G77" s="117"/>
      <c r="H77" s="117" t="str">
        <f ca="1">$H$29</f>
        <v>kr</v>
      </c>
      <c r="I77" s="437"/>
      <c r="J77" s="437"/>
      <c r="K77" s="437"/>
      <c r="L77" s="437"/>
      <c r="M77" s="437"/>
      <c r="N77" s="437"/>
      <c r="O77" s="437"/>
      <c r="P77" s="437"/>
      <c r="Q77" s="437"/>
      <c r="R77" s="437"/>
      <c r="S77" s="108"/>
      <c r="T77" s="108"/>
    </row>
    <row r="78" spans="1:20" s="174" customFormat="1" ht="16.5" customHeight="1">
      <c r="B78" s="111" t="s">
        <v>65</v>
      </c>
      <c r="C78" s="115" t="str">
        <f ca="1">$C$30</f>
        <v>Effekt per armatur, inkl. driftsförluster</v>
      </c>
      <c r="D78" s="116"/>
      <c r="E78" s="116"/>
      <c r="F78" s="116"/>
      <c r="G78" s="117"/>
      <c r="H78" s="117" t="str">
        <f ca="1">$H$30</f>
        <v>W/stk</v>
      </c>
      <c r="I78" s="437"/>
      <c r="J78" s="437"/>
      <c r="K78" s="437"/>
      <c r="L78" s="437"/>
      <c r="M78" s="437"/>
      <c r="N78" s="437"/>
      <c r="O78" s="437"/>
      <c r="P78" s="437"/>
      <c r="Q78" s="437"/>
      <c r="R78" s="437"/>
      <c r="S78" s="108"/>
      <c r="T78" s="108"/>
    </row>
    <row r="79" spans="1:20" s="180" customFormat="1" ht="30" customHeight="1">
      <c r="B79" s="120" t="s">
        <v>68</v>
      </c>
      <c r="C79" s="115" t="str">
        <f ca="1">$C$31</f>
        <v>Typ av styrning</v>
      </c>
      <c r="D79" s="121"/>
      <c r="E79" s="121"/>
      <c r="F79" s="121"/>
      <c r="G79" s="122"/>
      <c r="H79" s="122"/>
      <c r="I79" s="437"/>
      <c r="J79" s="437"/>
      <c r="K79" s="437"/>
      <c r="L79" s="437"/>
      <c r="M79" s="437"/>
      <c r="N79" s="437"/>
      <c r="O79" s="437"/>
      <c r="P79" s="437"/>
      <c r="Q79" s="437"/>
      <c r="R79" s="437"/>
      <c r="S79" s="108"/>
      <c r="T79" s="108"/>
    </row>
    <row r="80" spans="1:20" s="174" customFormat="1" ht="27" hidden="1" outlineLevel="1">
      <c r="A80" s="364"/>
      <c r="B80" s="111" t="s">
        <v>71</v>
      </c>
      <c r="C80" s="115" t="s">
        <v>72</v>
      </c>
      <c r="D80" s="116"/>
      <c r="E80" s="116"/>
      <c r="F80" s="116"/>
      <c r="G80" s="117"/>
      <c r="H80" s="117"/>
      <c r="I80" s="437" t="str" cm="1">
        <f t="array" aca="1" ref="I80"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80" s="437" t="str" cm="1">
        <f t="array" aca="1" ref="J80"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80" s="437" t="str" cm="1">
        <f t="array" aca="1" ref="K80"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80" s="437" t="str" cm="1">
        <f t="array" aca="1" ref="L80"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80" s="437" t="str" cm="1">
        <f t="array" aca="1" ref="M80"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80" s="437" t="str" cm="1">
        <f t="array" aca="1" ref="N80"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80" s="437" t="str" cm="1">
        <f t="array" aca="1" ref="O80"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80" s="437" t="str" cm="1">
        <f t="array" aca="1" ref="P80"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80" s="437" t="str" cm="1">
        <f t="array" aca="1" ref="Q80"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80" s="437" t="str" cm="1">
        <f t="array" aca="1" ref="R80"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80" s="108"/>
      <c r="T80" s="108"/>
    </row>
    <row r="81" spans="1:20" s="174" customFormat="1" ht="27" hidden="1" outlineLevel="1">
      <c r="A81" s="364"/>
      <c r="B81" s="111" t="s">
        <v>73</v>
      </c>
      <c r="C81" s="115" t="s">
        <v>74</v>
      </c>
      <c r="D81" s="116"/>
      <c r="E81" s="116"/>
      <c r="F81" s="116"/>
      <c r="G81" s="117"/>
      <c r="H81" s="117"/>
      <c r="I81" s="437" t="str" cm="1">
        <f t="array" aca="1" ref="I81"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81" s="437" t="str" cm="1">
        <f t="array" aca="1" ref="J81"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81" s="437" t="str" cm="1">
        <f t="array" aca="1" ref="K81"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81" s="437" t="str" cm="1">
        <f t="array" aca="1" ref="L81"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81" s="437" t="str" cm="1">
        <f t="array" aca="1" ref="M81"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81" s="437" t="str" cm="1">
        <f t="array" aca="1" ref="N81"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81" s="437" t="str" cm="1">
        <f t="array" aca="1" ref="O81"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81" s="437" t="str" cm="1">
        <f t="array" aca="1" ref="P81"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81" s="437" t="str" cm="1">
        <f t="array" aca="1" ref="Q81"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81" s="437" t="str" cm="1">
        <f t="array" aca="1" ref="R81"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81" s="108"/>
      <c r="T81" s="108"/>
    </row>
    <row r="82" spans="1:20" s="174" customFormat="1" ht="27" hidden="1" outlineLevel="1">
      <c r="A82" s="364"/>
      <c r="B82" s="111" t="s">
        <v>75</v>
      </c>
      <c r="C82" s="115" t="s">
        <v>76</v>
      </c>
      <c r="D82" s="116"/>
      <c r="E82" s="116"/>
      <c r="F82" s="116"/>
      <c r="G82" s="117"/>
      <c r="H82" s="117"/>
      <c r="I82" s="437" t="str" cm="1">
        <f t="array" aca="1" ref="I82"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82" s="437" t="str" cm="1">
        <f t="array" aca="1" ref="J82"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82" s="437" t="str" cm="1">
        <f t="array" aca="1" ref="K82"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82" s="437" t="str" cm="1">
        <f t="array" aca="1" ref="L82"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82" s="437" t="str" cm="1">
        <f t="array" aca="1" ref="M82"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82" s="437" t="str" cm="1">
        <f t="array" aca="1" ref="N82"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82" s="437" t="str" cm="1">
        <f t="array" aca="1" ref="O82"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82" s="437" t="str" cm="1">
        <f t="array" aca="1" ref="P82"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82" s="437" t="str" cm="1">
        <f t="array" aca="1" ref="Q82"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82" s="437" t="str" cm="1">
        <f t="array" aca="1" ref="R82"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82" s="108"/>
      <c r="T82" s="108"/>
    </row>
    <row r="83" spans="1:20" s="174" customFormat="1" ht="16.5" customHeight="1" collapsed="1">
      <c r="B83" s="111" t="s">
        <v>77</v>
      </c>
      <c r="C83" s="119" t="str">
        <f ca="1">$C$35</f>
        <v>Total reduktionsfaktor för styrning</v>
      </c>
      <c r="D83" s="116"/>
      <c r="E83" s="116"/>
      <c r="F83" s="116"/>
      <c r="G83" s="117"/>
      <c r="H83" s="117"/>
      <c r="I83" s="526">
        <f t="shared" ref="I83:R83" si="5">IF(IF(I79=$I$233,I80,IF(I79=$I$234,I80*I81,IF(I79=$I$235,I80*I81*I82,1)))=0,"Fyll i 2.6-2.8",IF(I79=$I$233,I80,IF(I79=$I$234,I80*I81,IF(I79=$I$235,I80*I81*I82,1))))</f>
        <v>1</v>
      </c>
      <c r="J83" s="526">
        <f t="shared" si="5"/>
        <v>1</v>
      </c>
      <c r="K83" s="526">
        <f t="shared" si="5"/>
        <v>1</v>
      </c>
      <c r="L83" s="526">
        <f t="shared" si="5"/>
        <v>1</v>
      </c>
      <c r="M83" s="526">
        <f t="shared" si="5"/>
        <v>1</v>
      </c>
      <c r="N83" s="526">
        <f t="shared" si="5"/>
        <v>1</v>
      </c>
      <c r="O83" s="526">
        <f t="shared" si="5"/>
        <v>1</v>
      </c>
      <c r="P83" s="526">
        <f t="shared" si="5"/>
        <v>1</v>
      </c>
      <c r="Q83" s="526">
        <f t="shared" si="5"/>
        <v>1</v>
      </c>
      <c r="R83" s="526">
        <f t="shared" si="5"/>
        <v>1</v>
      </c>
      <c r="S83" s="108"/>
      <c r="T83" s="108"/>
    </row>
    <row r="84" spans="1:20" s="174" customFormat="1" ht="16.5" customHeight="1">
      <c r="B84" s="111" t="s">
        <v>79</v>
      </c>
      <c r="C84" s="115" t="str">
        <f ca="1">$C$36</f>
        <v>Underhållskostnader</v>
      </c>
      <c r="D84" s="116"/>
      <c r="E84" s="116"/>
      <c r="F84" s="116"/>
      <c r="G84" s="117"/>
      <c r="H84" s="117" t="str">
        <f ca="1">$H$36</f>
        <v>kr/år</v>
      </c>
      <c r="I84" s="437"/>
      <c r="J84" s="437"/>
      <c r="K84" s="437"/>
      <c r="L84" s="437"/>
      <c r="M84" s="437"/>
      <c r="N84" s="437"/>
      <c r="O84" s="437"/>
      <c r="P84" s="437"/>
      <c r="Q84" s="437"/>
      <c r="R84" s="437"/>
      <c r="S84" s="108"/>
      <c r="T84" s="108"/>
    </row>
    <row r="85" spans="1:20" s="174" customFormat="1" ht="16.5" customHeight="1">
      <c r="B85" s="111"/>
      <c r="C85" s="465"/>
      <c r="D85" s="465"/>
      <c r="E85" s="465"/>
      <c r="F85" s="465"/>
      <c r="G85" s="465"/>
      <c r="H85" s="465"/>
      <c r="I85" s="471"/>
      <c r="J85" s="471"/>
      <c r="K85" s="471"/>
      <c r="L85" s="471"/>
      <c r="M85" s="471"/>
      <c r="N85" s="471"/>
      <c r="O85" s="471"/>
      <c r="P85" s="471"/>
      <c r="Q85" s="471"/>
      <c r="R85" s="471"/>
      <c r="S85" s="108"/>
      <c r="T85" s="108"/>
    </row>
    <row r="86" spans="1:20" s="174" customFormat="1" ht="16.5" customHeight="1">
      <c r="B86" s="111"/>
      <c r="C86" s="110" t="str">
        <f ca="1">$C$26</f>
        <v>Armaturbeteckning</v>
      </c>
      <c r="D86" s="118"/>
      <c r="E86" s="118"/>
      <c r="F86" s="118"/>
      <c r="G86" s="118"/>
      <c r="H86" s="118"/>
      <c r="I86" s="479" t="str">
        <f>IF('1. LCC Befintlig Installation'!I86 &lt;&gt; "",'1. LCC Befintlig Installation'!I86,"")</f>
        <v/>
      </c>
      <c r="J86" s="479" t="str">
        <f>IF('1. LCC Befintlig Installation'!J86 &lt;&gt; "",'1. LCC Befintlig Installation'!J86,"")</f>
        <v/>
      </c>
      <c r="K86" s="479" t="str">
        <f>IF('1. LCC Befintlig Installation'!K86 &lt;&gt; "",'1. LCC Befintlig Installation'!K86,"")</f>
        <v/>
      </c>
      <c r="L86" s="479" t="str">
        <f>IF('1. LCC Befintlig Installation'!L86 &lt;&gt; "",'1. LCC Befintlig Installation'!L86,"")</f>
        <v/>
      </c>
      <c r="M86" s="479" t="str">
        <f>IF('1. LCC Befintlig Installation'!M86 &lt;&gt; "",'1. LCC Befintlig Installation'!M86,"")</f>
        <v/>
      </c>
      <c r="N86" s="479" t="str">
        <f>IF('1. LCC Befintlig Installation'!N86 &lt;&gt; "",'1. LCC Befintlig Installation'!N86,"")</f>
        <v/>
      </c>
      <c r="O86" s="479" t="str">
        <f>IF('1. LCC Befintlig Installation'!O86 &lt;&gt; "",'1. LCC Befintlig Installation'!O86,"")</f>
        <v/>
      </c>
      <c r="P86" s="479" t="str">
        <f>IF('1. LCC Befintlig Installation'!P86 &lt;&gt; "",'1. LCC Befintlig Installation'!P86,"")</f>
        <v/>
      </c>
      <c r="Q86" s="479" t="str">
        <f>IF('1. LCC Befintlig Installation'!Q86 &lt;&gt; "",'1. LCC Befintlig Installation'!Q86,"")</f>
        <v/>
      </c>
      <c r="R86" s="479" t="str">
        <f>IF('1. LCC Befintlig Installation'!R86 &lt;&gt; "",'1. LCC Befintlig Installation'!R86,"")</f>
        <v/>
      </c>
      <c r="S86" s="108"/>
      <c r="T86" s="108"/>
    </row>
    <row r="87" spans="1:20" s="174" customFormat="1" ht="16.5" customHeight="1">
      <c r="B87" s="111" t="s">
        <v>58</v>
      </c>
      <c r="C87" s="115" t="str">
        <f ca="1">$C$27</f>
        <v>Antal armaturer</v>
      </c>
      <c r="D87" s="116"/>
      <c r="E87" s="116"/>
      <c r="F87" s="116"/>
      <c r="G87" s="117"/>
      <c r="H87" s="117" t="str">
        <f ca="1">$H$27</f>
        <v>stk</v>
      </c>
      <c r="I87" s="437"/>
      <c r="J87" s="437"/>
      <c r="K87" s="437"/>
      <c r="L87" s="437"/>
      <c r="M87" s="437"/>
      <c r="N87" s="437"/>
      <c r="O87" s="437"/>
      <c r="P87" s="437"/>
      <c r="Q87" s="437"/>
      <c r="R87" s="437"/>
      <c r="S87" s="108"/>
      <c r="T87" s="108"/>
    </row>
    <row r="88" spans="1:20" s="174" customFormat="1" ht="16.5" customHeight="1">
      <c r="B88" s="111" t="s">
        <v>60</v>
      </c>
      <c r="C88" s="115" t="str">
        <f ca="1">$C$28</f>
        <v>Armaturpris</v>
      </c>
      <c r="D88" s="116"/>
      <c r="E88" s="116"/>
      <c r="F88" s="116"/>
      <c r="G88" s="117"/>
      <c r="H88" s="117" t="str">
        <f ca="1">$H$28</f>
        <v>kr/stk</v>
      </c>
      <c r="I88" s="437"/>
      <c r="J88" s="437"/>
      <c r="K88" s="437"/>
      <c r="L88" s="437"/>
      <c r="M88" s="437"/>
      <c r="N88" s="437"/>
      <c r="O88" s="437"/>
      <c r="P88" s="437"/>
      <c r="Q88" s="437"/>
      <c r="R88" s="437"/>
      <c r="S88" s="108"/>
      <c r="T88" s="108"/>
    </row>
    <row r="89" spans="1:20" s="174" customFormat="1" ht="16.5" customHeight="1">
      <c r="B89" s="111" t="s">
        <v>63</v>
      </c>
      <c r="C89" s="115" t="str">
        <f ca="1">$C$29</f>
        <v>Material- och arbetskostnader armatur</v>
      </c>
      <c r="D89" s="116"/>
      <c r="E89" s="116"/>
      <c r="F89" s="116"/>
      <c r="G89" s="117"/>
      <c r="H89" s="117" t="str">
        <f ca="1">$H$29</f>
        <v>kr</v>
      </c>
      <c r="I89" s="437"/>
      <c r="J89" s="437"/>
      <c r="K89" s="437"/>
      <c r="L89" s="437"/>
      <c r="M89" s="437"/>
      <c r="N89" s="437"/>
      <c r="O89" s="437"/>
      <c r="P89" s="437"/>
      <c r="Q89" s="437"/>
      <c r="R89" s="437"/>
      <c r="S89" s="108"/>
      <c r="T89" s="108"/>
    </row>
    <row r="90" spans="1:20" s="174" customFormat="1" ht="16.5" customHeight="1">
      <c r="B90" s="111" t="s">
        <v>65</v>
      </c>
      <c r="C90" s="115" t="str">
        <f ca="1">$C$30</f>
        <v>Effekt per armatur, inkl. driftsförluster</v>
      </c>
      <c r="D90" s="116"/>
      <c r="E90" s="116"/>
      <c r="F90" s="116"/>
      <c r="G90" s="117"/>
      <c r="H90" s="117" t="str">
        <f ca="1">$H$30</f>
        <v>W/stk</v>
      </c>
      <c r="I90" s="437"/>
      <c r="J90" s="437"/>
      <c r="K90" s="437"/>
      <c r="L90" s="437"/>
      <c r="M90" s="437"/>
      <c r="N90" s="437"/>
      <c r="O90" s="437"/>
      <c r="P90" s="437"/>
      <c r="Q90" s="437"/>
      <c r="R90" s="437"/>
      <c r="S90" s="108"/>
      <c r="T90" s="108"/>
    </row>
    <row r="91" spans="1:20" s="180" customFormat="1" ht="30" customHeight="1">
      <c r="B91" s="120" t="s">
        <v>68</v>
      </c>
      <c r="C91" s="115" t="str">
        <f ca="1">$C$31</f>
        <v>Typ av styrning</v>
      </c>
      <c r="D91" s="121"/>
      <c r="E91" s="121"/>
      <c r="F91" s="121"/>
      <c r="G91" s="122"/>
      <c r="H91" s="122"/>
      <c r="I91" s="437"/>
      <c r="J91" s="437"/>
      <c r="K91" s="437"/>
      <c r="L91" s="437"/>
      <c r="M91" s="437"/>
      <c r="N91" s="437"/>
      <c r="O91" s="437"/>
      <c r="P91" s="437"/>
      <c r="Q91" s="437"/>
      <c r="R91" s="437"/>
      <c r="S91" s="108"/>
      <c r="T91" s="108"/>
    </row>
    <row r="92" spans="1:20" s="174" customFormat="1" ht="27" hidden="1" outlineLevel="1">
      <c r="A92" s="364"/>
      <c r="B92" s="111" t="s">
        <v>71</v>
      </c>
      <c r="C92" s="115" t="s">
        <v>72</v>
      </c>
      <c r="D92" s="116"/>
      <c r="E92" s="116"/>
      <c r="F92" s="116"/>
      <c r="G92" s="117"/>
      <c r="H92" s="117"/>
      <c r="I92" s="437" t="str" cm="1">
        <f t="array" aca="1" ref="I92"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92" s="437" t="str" cm="1">
        <f t="array" aca="1" ref="J92"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92" s="437" t="str" cm="1">
        <f t="array" aca="1" ref="K92"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92" s="437" t="str" cm="1">
        <f t="array" aca="1" ref="L92"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92" s="437" t="str" cm="1">
        <f t="array" aca="1" ref="M92"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92" s="437" t="str" cm="1">
        <f t="array" aca="1" ref="N92"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92" s="437" t="str" cm="1">
        <f t="array" aca="1" ref="O92"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92" s="437" t="str" cm="1">
        <f t="array" aca="1" ref="P92"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92" s="437" t="str" cm="1">
        <f t="array" aca="1" ref="Q92"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92" s="437" t="str" cm="1">
        <f t="array" aca="1" ref="R92"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92" s="108"/>
      <c r="T92" s="108"/>
    </row>
    <row r="93" spans="1:20" s="174" customFormat="1" ht="27" hidden="1" outlineLevel="1">
      <c r="A93" s="364"/>
      <c r="B93" s="111" t="s">
        <v>73</v>
      </c>
      <c r="C93" s="115" t="s">
        <v>74</v>
      </c>
      <c r="D93" s="116"/>
      <c r="E93" s="116"/>
      <c r="F93" s="116"/>
      <c r="G93" s="117"/>
      <c r="H93" s="117"/>
      <c r="I93" s="437" t="str" cm="1">
        <f t="array" aca="1" ref="I93"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93" s="437" t="str" cm="1">
        <f t="array" aca="1" ref="J93"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93" s="437" t="str" cm="1">
        <f t="array" aca="1" ref="K93"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93" s="437" t="str" cm="1">
        <f t="array" aca="1" ref="L93"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93" s="437" t="str" cm="1">
        <f t="array" aca="1" ref="M93"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93" s="437" t="str" cm="1">
        <f t="array" aca="1" ref="N93"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93" s="437" t="str" cm="1">
        <f t="array" aca="1" ref="O93"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93" s="437" t="str" cm="1">
        <f t="array" aca="1" ref="P93"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93" s="437" t="str" cm="1">
        <f t="array" aca="1" ref="Q93"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93" s="437" t="str" cm="1">
        <f t="array" aca="1" ref="R93"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93" s="108"/>
      <c r="T93" s="108"/>
    </row>
    <row r="94" spans="1:20" s="174" customFormat="1" ht="27" hidden="1" outlineLevel="1">
      <c r="A94" s="364"/>
      <c r="B94" s="111" t="s">
        <v>75</v>
      </c>
      <c r="C94" s="115" t="s">
        <v>76</v>
      </c>
      <c r="D94" s="116"/>
      <c r="E94" s="116"/>
      <c r="F94" s="116"/>
      <c r="G94" s="117"/>
      <c r="H94" s="117"/>
      <c r="I94" s="437" t="str" cm="1">
        <f t="array" aca="1" ref="I94"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94" s="437" t="str" cm="1">
        <f t="array" aca="1" ref="J94"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94" s="437" t="str" cm="1">
        <f t="array" aca="1" ref="K94"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94" s="437" t="str" cm="1">
        <f t="array" aca="1" ref="L94"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94" s="437" t="str" cm="1">
        <f t="array" aca="1" ref="M94"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94" s="437" t="str" cm="1">
        <f t="array" aca="1" ref="N94"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94" s="437" t="str" cm="1">
        <f t="array" aca="1" ref="O94"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94" s="437" t="str" cm="1">
        <f t="array" aca="1" ref="P94"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94" s="437" t="str" cm="1">
        <f t="array" aca="1" ref="Q94"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94" s="437" t="str" cm="1">
        <f t="array" aca="1" ref="R94"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94" s="108"/>
      <c r="T94" s="108"/>
    </row>
    <row r="95" spans="1:20" s="174" customFormat="1" ht="16.5" customHeight="1" collapsed="1">
      <c r="B95" s="111" t="s">
        <v>77</v>
      </c>
      <c r="C95" s="119" t="str">
        <f ca="1">$C$35</f>
        <v>Total reduktionsfaktor för styrning</v>
      </c>
      <c r="D95" s="116"/>
      <c r="E95" s="116"/>
      <c r="F95" s="116"/>
      <c r="G95" s="117"/>
      <c r="H95" s="117"/>
      <c r="I95" s="526">
        <f t="shared" ref="I95:R95" si="6">IF(IF(I91=$I$233,I92,IF(I91=$I$234,I92*I93,IF(I91=$I$235,I92*I93*I94,1)))=0,"Fyll i 2.6-2.8",IF(I91=$I$233,I92,IF(I91=$I$234,I92*I93,IF(I91=$I$235,I92*I93*I94,1))))</f>
        <v>1</v>
      </c>
      <c r="J95" s="526">
        <f t="shared" si="6"/>
        <v>1</v>
      </c>
      <c r="K95" s="526">
        <f t="shared" si="6"/>
        <v>1</v>
      </c>
      <c r="L95" s="526">
        <f t="shared" si="6"/>
        <v>1</v>
      </c>
      <c r="M95" s="526">
        <f t="shared" si="6"/>
        <v>1</v>
      </c>
      <c r="N95" s="526">
        <f t="shared" si="6"/>
        <v>1</v>
      </c>
      <c r="O95" s="526">
        <f t="shared" si="6"/>
        <v>1</v>
      </c>
      <c r="P95" s="526">
        <f t="shared" si="6"/>
        <v>1</v>
      </c>
      <c r="Q95" s="526">
        <f t="shared" si="6"/>
        <v>1</v>
      </c>
      <c r="R95" s="526">
        <f t="shared" si="6"/>
        <v>1</v>
      </c>
      <c r="S95" s="108"/>
      <c r="T95" s="108"/>
    </row>
    <row r="96" spans="1:20" s="174" customFormat="1" ht="16.5" customHeight="1">
      <c r="B96" s="111" t="s">
        <v>79</v>
      </c>
      <c r="C96" s="115" t="str">
        <f ca="1">$C$36</f>
        <v>Underhållskostnader</v>
      </c>
      <c r="D96" s="116"/>
      <c r="E96" s="116"/>
      <c r="F96" s="116"/>
      <c r="G96" s="117"/>
      <c r="H96" s="117" t="str">
        <f ca="1">$H$36</f>
        <v>kr/år</v>
      </c>
      <c r="I96" s="437"/>
      <c r="J96" s="437"/>
      <c r="K96" s="437"/>
      <c r="L96" s="437"/>
      <c r="M96" s="437"/>
      <c r="N96" s="437"/>
      <c r="O96" s="437"/>
      <c r="P96" s="437"/>
      <c r="Q96" s="437"/>
      <c r="R96" s="437"/>
      <c r="S96" s="108"/>
      <c r="T96" s="108"/>
    </row>
    <row r="97" spans="1:20" s="174" customFormat="1" ht="16.5" customHeight="1">
      <c r="B97" s="111"/>
      <c r="C97" s="465"/>
      <c r="D97" s="465"/>
      <c r="E97" s="465"/>
      <c r="F97" s="465"/>
      <c r="G97" s="465"/>
      <c r="H97" s="465"/>
      <c r="I97" s="471"/>
      <c r="J97" s="471"/>
      <c r="K97" s="471"/>
      <c r="L97" s="471"/>
      <c r="M97" s="471"/>
      <c r="N97" s="471"/>
      <c r="O97" s="471"/>
      <c r="P97" s="471"/>
      <c r="Q97" s="471"/>
      <c r="R97" s="471"/>
      <c r="S97" s="108"/>
      <c r="T97" s="108"/>
    </row>
    <row r="98" spans="1:20" s="174" customFormat="1" ht="16.5" customHeight="1">
      <c r="B98" s="111"/>
      <c r="C98" s="110" t="str">
        <f ca="1">$C$26</f>
        <v>Armaturbeteckning</v>
      </c>
      <c r="D98" s="118"/>
      <c r="E98" s="118"/>
      <c r="F98" s="118"/>
      <c r="G98" s="118"/>
      <c r="H98" s="118"/>
      <c r="I98" s="479" t="str">
        <f>IF('1. LCC Befintlig Installation'!I98 &lt;&gt; "",'1. LCC Befintlig Installation'!I98,"")</f>
        <v/>
      </c>
      <c r="J98" s="479" t="str">
        <f>IF('1. LCC Befintlig Installation'!J98 &lt;&gt; "",'1. LCC Befintlig Installation'!J98,"")</f>
        <v/>
      </c>
      <c r="K98" s="479" t="str">
        <f>IF('1. LCC Befintlig Installation'!K98 &lt;&gt; "",'1. LCC Befintlig Installation'!K98,"")</f>
        <v/>
      </c>
      <c r="L98" s="479" t="str">
        <f>IF('1. LCC Befintlig Installation'!L98 &lt;&gt; "",'1. LCC Befintlig Installation'!L98,"")</f>
        <v/>
      </c>
      <c r="M98" s="479" t="str">
        <f>IF('1. LCC Befintlig Installation'!M98 &lt;&gt; "",'1. LCC Befintlig Installation'!M98,"")</f>
        <v/>
      </c>
      <c r="N98" s="479" t="str">
        <f>IF('1. LCC Befintlig Installation'!N98 &lt;&gt; "",'1. LCC Befintlig Installation'!N98,"")</f>
        <v/>
      </c>
      <c r="O98" s="479" t="str">
        <f>IF('1. LCC Befintlig Installation'!O98 &lt;&gt; "",'1. LCC Befintlig Installation'!O98,"")</f>
        <v/>
      </c>
      <c r="P98" s="479" t="str">
        <f>IF('1. LCC Befintlig Installation'!P98 &lt;&gt; "",'1. LCC Befintlig Installation'!P98,"")</f>
        <v/>
      </c>
      <c r="Q98" s="479" t="str">
        <f>IF('1. LCC Befintlig Installation'!Q98 &lt;&gt; "",'1. LCC Befintlig Installation'!Q98,"")</f>
        <v/>
      </c>
      <c r="R98" s="479" t="str">
        <f>IF('1. LCC Befintlig Installation'!R98 &lt;&gt; "",'1. LCC Befintlig Installation'!R98,"")</f>
        <v/>
      </c>
      <c r="S98" s="108"/>
      <c r="T98" s="108"/>
    </row>
    <row r="99" spans="1:20" s="174" customFormat="1" ht="16.5" customHeight="1">
      <c r="B99" s="111" t="s">
        <v>58</v>
      </c>
      <c r="C99" s="115" t="str">
        <f ca="1">$C$27</f>
        <v>Antal armaturer</v>
      </c>
      <c r="D99" s="116"/>
      <c r="E99" s="116"/>
      <c r="F99" s="116"/>
      <c r="G99" s="117"/>
      <c r="H99" s="117" t="str">
        <f ca="1">$H$27</f>
        <v>stk</v>
      </c>
      <c r="I99" s="437"/>
      <c r="J99" s="437"/>
      <c r="K99" s="437"/>
      <c r="L99" s="437"/>
      <c r="M99" s="437"/>
      <c r="N99" s="437"/>
      <c r="O99" s="437"/>
      <c r="P99" s="437"/>
      <c r="Q99" s="437"/>
      <c r="R99" s="437"/>
      <c r="S99" s="108"/>
      <c r="T99" s="108"/>
    </row>
    <row r="100" spans="1:20" s="174" customFormat="1" ht="16.5" customHeight="1">
      <c r="B100" s="111" t="s">
        <v>60</v>
      </c>
      <c r="C100" s="115" t="str">
        <f ca="1">$C$28</f>
        <v>Armaturpris</v>
      </c>
      <c r="D100" s="116"/>
      <c r="E100" s="116"/>
      <c r="F100" s="116"/>
      <c r="G100" s="117"/>
      <c r="H100" s="117" t="str">
        <f ca="1">$H$28</f>
        <v>kr/stk</v>
      </c>
      <c r="I100" s="437"/>
      <c r="J100" s="437"/>
      <c r="K100" s="437"/>
      <c r="L100" s="437"/>
      <c r="M100" s="437"/>
      <c r="N100" s="437"/>
      <c r="O100" s="437"/>
      <c r="P100" s="437"/>
      <c r="Q100" s="437"/>
      <c r="R100" s="437"/>
      <c r="S100" s="108"/>
      <c r="T100" s="108"/>
    </row>
    <row r="101" spans="1:20" s="174" customFormat="1" ht="16.5" customHeight="1">
      <c r="B101" s="111" t="s">
        <v>63</v>
      </c>
      <c r="C101" s="115" t="str">
        <f ca="1">$C$29</f>
        <v>Material- och arbetskostnader armatur</v>
      </c>
      <c r="D101" s="116"/>
      <c r="E101" s="116"/>
      <c r="F101" s="116"/>
      <c r="G101" s="117"/>
      <c r="H101" s="117" t="str">
        <f ca="1">$H$29</f>
        <v>kr</v>
      </c>
      <c r="I101" s="437"/>
      <c r="J101" s="437"/>
      <c r="K101" s="437"/>
      <c r="L101" s="437"/>
      <c r="M101" s="437"/>
      <c r="N101" s="437"/>
      <c r="O101" s="437"/>
      <c r="P101" s="437"/>
      <c r="Q101" s="437"/>
      <c r="R101" s="437"/>
      <c r="S101" s="108"/>
      <c r="T101" s="108"/>
    </row>
    <row r="102" spans="1:20" s="174" customFormat="1" ht="16.5" customHeight="1">
      <c r="B102" s="111" t="s">
        <v>65</v>
      </c>
      <c r="C102" s="115" t="str">
        <f ca="1">$C$30</f>
        <v>Effekt per armatur, inkl. driftsförluster</v>
      </c>
      <c r="D102" s="116"/>
      <c r="E102" s="116"/>
      <c r="F102" s="116"/>
      <c r="G102" s="117"/>
      <c r="H102" s="117" t="str">
        <f ca="1">$H$30</f>
        <v>W/stk</v>
      </c>
      <c r="I102" s="437"/>
      <c r="J102" s="437"/>
      <c r="K102" s="437"/>
      <c r="L102" s="437"/>
      <c r="M102" s="437"/>
      <c r="N102" s="437"/>
      <c r="O102" s="437"/>
      <c r="P102" s="437"/>
      <c r="Q102" s="437"/>
      <c r="R102" s="437"/>
      <c r="S102" s="108"/>
      <c r="T102" s="108"/>
    </row>
    <row r="103" spans="1:20" s="180" customFormat="1" ht="30" customHeight="1">
      <c r="B103" s="120" t="s">
        <v>68</v>
      </c>
      <c r="C103" s="115" t="str">
        <f ca="1">$C$31</f>
        <v>Typ av styrning</v>
      </c>
      <c r="D103" s="121"/>
      <c r="E103" s="121"/>
      <c r="F103" s="121"/>
      <c r="G103" s="122"/>
      <c r="H103" s="122"/>
      <c r="I103" s="437"/>
      <c r="J103" s="437"/>
      <c r="K103" s="437"/>
      <c r="L103" s="437"/>
      <c r="M103" s="437"/>
      <c r="N103" s="437"/>
      <c r="O103" s="437"/>
      <c r="P103" s="437"/>
      <c r="Q103" s="437"/>
      <c r="R103" s="437"/>
      <c r="S103" s="108"/>
      <c r="T103" s="108"/>
    </row>
    <row r="104" spans="1:20" s="174" customFormat="1" ht="27" hidden="1" outlineLevel="1">
      <c r="A104" s="364"/>
      <c r="B104" s="111" t="s">
        <v>71</v>
      </c>
      <c r="C104" s="115" t="s">
        <v>72</v>
      </c>
      <c r="D104" s="116"/>
      <c r="E104" s="116"/>
      <c r="F104" s="116"/>
      <c r="G104" s="117"/>
      <c r="H104" s="117"/>
      <c r="I104" s="437" t="str" cm="1">
        <f t="array" aca="1" ref="I104"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104" s="437" t="str" cm="1">
        <f t="array" aca="1" ref="J104"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104" s="437" t="str" cm="1">
        <f t="array" aca="1" ref="K104"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104" s="437" t="str" cm="1">
        <f t="array" aca="1" ref="L104"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104" s="437" t="str" cm="1">
        <f t="array" aca="1" ref="M104"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104" s="437" t="str" cm="1">
        <f t="array" aca="1" ref="N104"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104" s="437" t="str" cm="1">
        <f t="array" aca="1" ref="O104"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104" s="437" t="str" cm="1">
        <f t="array" aca="1" ref="P104"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104" s="437" t="str" cm="1">
        <f t="array" aca="1" ref="Q104"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104" s="437" t="str" cm="1">
        <f t="array" aca="1" ref="R104"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104" s="108"/>
      <c r="T104" s="108"/>
    </row>
    <row r="105" spans="1:20" s="174" customFormat="1" ht="27" hidden="1" outlineLevel="1">
      <c r="A105" s="364"/>
      <c r="B105" s="111" t="s">
        <v>73</v>
      </c>
      <c r="C105" s="115" t="s">
        <v>74</v>
      </c>
      <c r="D105" s="116"/>
      <c r="E105" s="116"/>
      <c r="F105" s="116"/>
      <c r="G105" s="117"/>
      <c r="H105" s="117"/>
      <c r="I105" s="437" t="str" cm="1">
        <f t="array" aca="1" ref="I105"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105" s="437" t="str" cm="1">
        <f t="array" aca="1" ref="J105"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105" s="437" t="str" cm="1">
        <f t="array" aca="1" ref="K105"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105" s="437" t="str" cm="1">
        <f t="array" aca="1" ref="L105"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105" s="437" t="str" cm="1">
        <f t="array" aca="1" ref="M105"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105" s="437" t="str" cm="1">
        <f t="array" aca="1" ref="N105"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105" s="437" t="str" cm="1">
        <f t="array" aca="1" ref="O105"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105" s="437" t="str" cm="1">
        <f t="array" aca="1" ref="P105"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105" s="437" t="str" cm="1">
        <f t="array" aca="1" ref="Q105"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105" s="437" t="str" cm="1">
        <f t="array" aca="1" ref="R105"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105" s="108"/>
      <c r="T105" s="108"/>
    </row>
    <row r="106" spans="1:20" s="174" customFormat="1" ht="27" hidden="1" outlineLevel="1">
      <c r="A106" s="364"/>
      <c r="B106" s="111" t="s">
        <v>75</v>
      </c>
      <c r="C106" s="115" t="s">
        <v>76</v>
      </c>
      <c r="D106" s="116"/>
      <c r="E106" s="116"/>
      <c r="F106" s="116"/>
      <c r="G106" s="117"/>
      <c r="H106" s="117"/>
      <c r="I106" s="437" t="str" cm="1">
        <f t="array" aca="1" ref="I106"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106" s="437" t="str" cm="1">
        <f t="array" aca="1" ref="J106"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106" s="437" t="str" cm="1">
        <f t="array" aca="1" ref="K106"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106" s="437" t="str" cm="1">
        <f t="array" aca="1" ref="L106"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106" s="437" t="str" cm="1">
        <f t="array" aca="1" ref="M106"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106" s="437" t="str" cm="1">
        <f t="array" aca="1" ref="N106"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106" s="437" t="str" cm="1">
        <f t="array" aca="1" ref="O106"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106" s="437" t="str" cm="1">
        <f t="array" aca="1" ref="P106"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106" s="437" t="str" cm="1">
        <f t="array" aca="1" ref="Q106"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106" s="437" t="str" cm="1">
        <f t="array" aca="1" ref="R106"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106" s="108"/>
      <c r="T106" s="108"/>
    </row>
    <row r="107" spans="1:20" s="174" customFormat="1" ht="16.5" customHeight="1" collapsed="1">
      <c r="B107" s="111" t="s">
        <v>77</v>
      </c>
      <c r="C107" s="119" t="str">
        <f ca="1">$C$35</f>
        <v>Total reduktionsfaktor för styrning</v>
      </c>
      <c r="D107" s="116"/>
      <c r="E107" s="116"/>
      <c r="F107" s="116"/>
      <c r="G107" s="117"/>
      <c r="H107" s="117"/>
      <c r="I107" s="526">
        <f t="shared" ref="I107:R107" si="7">IF(IF(I103=$I$233,I104,IF(I103=$I$234,I104*I105,IF(I103=$I$235,I104*I105*I106,1)))=0,"Fyll i 2.6-2.8",IF(I103=$I$233,I104,IF(I103=$I$234,I104*I105,IF(I103=$I$235,I104*I105*I106,1))))</f>
        <v>1</v>
      </c>
      <c r="J107" s="526">
        <f t="shared" si="7"/>
        <v>1</v>
      </c>
      <c r="K107" s="526">
        <f t="shared" si="7"/>
        <v>1</v>
      </c>
      <c r="L107" s="526">
        <f t="shared" si="7"/>
        <v>1</v>
      </c>
      <c r="M107" s="526">
        <f t="shared" si="7"/>
        <v>1</v>
      </c>
      <c r="N107" s="526">
        <f t="shared" si="7"/>
        <v>1</v>
      </c>
      <c r="O107" s="526">
        <f t="shared" si="7"/>
        <v>1</v>
      </c>
      <c r="P107" s="526">
        <f t="shared" si="7"/>
        <v>1</v>
      </c>
      <c r="Q107" s="526">
        <f t="shared" si="7"/>
        <v>1</v>
      </c>
      <c r="R107" s="526">
        <f t="shared" si="7"/>
        <v>1</v>
      </c>
      <c r="S107" s="108"/>
      <c r="T107" s="108"/>
    </row>
    <row r="108" spans="1:20" s="174" customFormat="1" ht="16.5" customHeight="1">
      <c r="B108" s="111" t="s">
        <v>79</v>
      </c>
      <c r="C108" s="115" t="str">
        <f ca="1">$C$36</f>
        <v>Underhållskostnader</v>
      </c>
      <c r="D108" s="116"/>
      <c r="E108" s="116"/>
      <c r="F108" s="116"/>
      <c r="G108" s="117"/>
      <c r="H108" s="117" t="str">
        <f ca="1">$H$36</f>
        <v>kr/år</v>
      </c>
      <c r="I108" s="437"/>
      <c r="J108" s="437"/>
      <c r="K108" s="437"/>
      <c r="L108" s="437"/>
      <c r="M108" s="437"/>
      <c r="N108" s="437"/>
      <c r="O108" s="437"/>
      <c r="P108" s="437"/>
      <c r="Q108" s="437"/>
      <c r="R108" s="437"/>
      <c r="S108" s="108"/>
      <c r="T108" s="108"/>
    </row>
    <row r="109" spans="1:20" s="174" customFormat="1" ht="16.5" customHeight="1">
      <c r="B109" s="111"/>
      <c r="C109" s="465"/>
      <c r="D109" s="465"/>
      <c r="E109" s="465"/>
      <c r="F109" s="465"/>
      <c r="G109" s="465"/>
      <c r="H109" s="465"/>
      <c r="I109" s="471"/>
      <c r="J109" s="471"/>
      <c r="K109" s="471"/>
      <c r="L109" s="471"/>
      <c r="M109" s="471"/>
      <c r="N109" s="471"/>
      <c r="O109" s="471"/>
      <c r="P109" s="471"/>
      <c r="Q109" s="471"/>
      <c r="R109" s="471"/>
      <c r="S109" s="108"/>
      <c r="T109" s="108"/>
    </row>
    <row r="110" spans="1:20" s="174" customFormat="1" ht="16.5" customHeight="1">
      <c r="B110" s="111"/>
      <c r="C110" s="110" t="str">
        <f ca="1">$C$26</f>
        <v>Armaturbeteckning</v>
      </c>
      <c r="D110" s="118"/>
      <c r="E110" s="118"/>
      <c r="F110" s="118"/>
      <c r="G110" s="118"/>
      <c r="H110" s="118"/>
      <c r="I110" s="479" t="str">
        <f>IF('1. LCC Befintlig Installation'!I110 &lt;&gt; "",'1. LCC Befintlig Installation'!I110,"")</f>
        <v/>
      </c>
      <c r="J110" s="479" t="str">
        <f>IF('1. LCC Befintlig Installation'!J110 &lt;&gt; "",'1. LCC Befintlig Installation'!J110,"")</f>
        <v/>
      </c>
      <c r="K110" s="479" t="str">
        <f>IF('1. LCC Befintlig Installation'!K110 &lt;&gt; "",'1. LCC Befintlig Installation'!K110,"")</f>
        <v/>
      </c>
      <c r="L110" s="479" t="str">
        <f>IF('1. LCC Befintlig Installation'!L110 &lt;&gt; "",'1. LCC Befintlig Installation'!L110,"")</f>
        <v/>
      </c>
      <c r="M110" s="479" t="str">
        <f>IF('1. LCC Befintlig Installation'!M110 &lt;&gt; "",'1. LCC Befintlig Installation'!M110,"")</f>
        <v/>
      </c>
      <c r="N110" s="479" t="str">
        <f>IF('1. LCC Befintlig Installation'!N110 &lt;&gt; "",'1. LCC Befintlig Installation'!N110,"")</f>
        <v/>
      </c>
      <c r="O110" s="479" t="str">
        <f>IF('1. LCC Befintlig Installation'!O110 &lt;&gt; "",'1. LCC Befintlig Installation'!O110,"")</f>
        <v/>
      </c>
      <c r="P110" s="479" t="str">
        <f>IF('1. LCC Befintlig Installation'!P110 &lt;&gt; "",'1. LCC Befintlig Installation'!P110,"")</f>
        <v/>
      </c>
      <c r="Q110" s="479" t="str">
        <f>IF('1. LCC Befintlig Installation'!Q110 &lt;&gt; "",'1. LCC Befintlig Installation'!Q110,"")</f>
        <v/>
      </c>
      <c r="R110" s="479" t="str">
        <f>IF('1. LCC Befintlig Installation'!R110 &lt;&gt; "",'1. LCC Befintlig Installation'!R110,"")</f>
        <v/>
      </c>
      <c r="S110" s="108"/>
      <c r="T110" s="108"/>
    </row>
    <row r="111" spans="1:20" s="174" customFormat="1" ht="16.5" customHeight="1">
      <c r="B111" s="111" t="s">
        <v>58</v>
      </c>
      <c r="C111" s="115" t="str">
        <f ca="1">$C$27</f>
        <v>Antal armaturer</v>
      </c>
      <c r="D111" s="116"/>
      <c r="E111" s="116"/>
      <c r="F111" s="116"/>
      <c r="G111" s="117"/>
      <c r="H111" s="117" t="str">
        <f ca="1">$H$27</f>
        <v>stk</v>
      </c>
      <c r="I111" s="437"/>
      <c r="J111" s="437"/>
      <c r="K111" s="437"/>
      <c r="L111" s="437"/>
      <c r="M111" s="437"/>
      <c r="N111" s="437"/>
      <c r="O111" s="437"/>
      <c r="P111" s="437"/>
      <c r="Q111" s="437"/>
      <c r="R111" s="437"/>
      <c r="S111" s="108"/>
      <c r="T111" s="108"/>
    </row>
    <row r="112" spans="1:20" s="174" customFormat="1" ht="16.5" customHeight="1">
      <c r="B112" s="111" t="s">
        <v>60</v>
      </c>
      <c r="C112" s="115" t="str">
        <f ca="1">$C$28</f>
        <v>Armaturpris</v>
      </c>
      <c r="D112" s="116"/>
      <c r="E112" s="116"/>
      <c r="F112" s="116"/>
      <c r="G112" s="117"/>
      <c r="H112" s="117" t="str">
        <f ca="1">$H$28</f>
        <v>kr/stk</v>
      </c>
      <c r="I112" s="437"/>
      <c r="J112" s="437"/>
      <c r="K112" s="437"/>
      <c r="L112" s="437"/>
      <c r="M112" s="437"/>
      <c r="N112" s="437"/>
      <c r="O112" s="437"/>
      <c r="P112" s="437"/>
      <c r="Q112" s="437"/>
      <c r="R112" s="437"/>
      <c r="S112" s="108"/>
      <c r="T112" s="108"/>
    </row>
    <row r="113" spans="1:20" s="174" customFormat="1" ht="16.5" customHeight="1">
      <c r="B113" s="111" t="s">
        <v>63</v>
      </c>
      <c r="C113" s="115" t="str">
        <f ca="1">$C$29</f>
        <v>Material- och arbetskostnader armatur</v>
      </c>
      <c r="D113" s="116"/>
      <c r="E113" s="116"/>
      <c r="F113" s="116"/>
      <c r="G113" s="117"/>
      <c r="H113" s="117" t="str">
        <f ca="1">$H$29</f>
        <v>kr</v>
      </c>
      <c r="I113" s="437"/>
      <c r="J113" s="437"/>
      <c r="K113" s="437"/>
      <c r="L113" s="437"/>
      <c r="M113" s="437"/>
      <c r="N113" s="437"/>
      <c r="O113" s="437"/>
      <c r="P113" s="437"/>
      <c r="Q113" s="437"/>
      <c r="R113" s="437"/>
      <c r="S113" s="108"/>
      <c r="T113" s="108"/>
    </row>
    <row r="114" spans="1:20" s="174" customFormat="1" ht="16.5" customHeight="1">
      <c r="B114" s="111" t="s">
        <v>65</v>
      </c>
      <c r="C114" s="115" t="str">
        <f ca="1">$C$30</f>
        <v>Effekt per armatur, inkl. driftsförluster</v>
      </c>
      <c r="D114" s="116"/>
      <c r="E114" s="116"/>
      <c r="F114" s="116"/>
      <c r="G114" s="117"/>
      <c r="H114" s="117" t="str">
        <f ca="1">$H$30</f>
        <v>W/stk</v>
      </c>
      <c r="I114" s="437"/>
      <c r="J114" s="437"/>
      <c r="K114" s="437"/>
      <c r="L114" s="437"/>
      <c r="M114" s="437"/>
      <c r="N114" s="437"/>
      <c r="O114" s="437"/>
      <c r="P114" s="437"/>
      <c r="Q114" s="437"/>
      <c r="R114" s="437"/>
      <c r="S114" s="108"/>
      <c r="T114" s="108"/>
    </row>
    <row r="115" spans="1:20" s="180" customFormat="1" ht="30" customHeight="1">
      <c r="B115" s="120" t="s">
        <v>68</v>
      </c>
      <c r="C115" s="115" t="str">
        <f ca="1">$C$31</f>
        <v>Typ av styrning</v>
      </c>
      <c r="D115" s="121"/>
      <c r="E115" s="121"/>
      <c r="F115" s="121"/>
      <c r="G115" s="122"/>
      <c r="H115" s="122"/>
      <c r="I115" s="437"/>
      <c r="J115" s="437"/>
      <c r="K115" s="437"/>
      <c r="L115" s="437"/>
      <c r="M115" s="437"/>
      <c r="N115" s="437"/>
      <c r="O115" s="437"/>
      <c r="P115" s="437"/>
      <c r="Q115" s="437"/>
      <c r="R115" s="437"/>
      <c r="S115" s="108"/>
      <c r="T115" s="108"/>
    </row>
    <row r="116" spans="1:20" s="174" customFormat="1" ht="27" hidden="1" outlineLevel="1">
      <c r="A116" s="364"/>
      <c r="B116" s="111" t="s">
        <v>71</v>
      </c>
      <c r="C116" s="115" t="s">
        <v>72</v>
      </c>
      <c r="D116" s="116"/>
      <c r="E116" s="116"/>
      <c r="F116" s="116"/>
      <c r="G116" s="117"/>
      <c r="H116" s="117"/>
      <c r="I116" s="437" t="str" cm="1">
        <f t="array" aca="1" ref="I116"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116" s="437" t="str" cm="1">
        <f t="array" aca="1" ref="J116"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116" s="437" t="str" cm="1">
        <f t="array" aca="1" ref="K116"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116" s="437" t="str" cm="1">
        <f t="array" aca="1" ref="L116"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116" s="437" t="str" cm="1">
        <f t="array" aca="1" ref="M116"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116" s="437" t="str" cm="1">
        <f t="array" aca="1" ref="N116"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116" s="437" t="str" cm="1">
        <f t="array" aca="1" ref="O116"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116" s="437" t="str" cm="1">
        <f t="array" aca="1" ref="P116"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116" s="437" t="str" cm="1">
        <f t="array" aca="1" ref="Q116"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116" s="437" t="str" cm="1">
        <f t="array" aca="1" ref="R116"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116" s="108"/>
      <c r="T116" s="108"/>
    </row>
    <row r="117" spans="1:20" s="174" customFormat="1" ht="27" hidden="1" outlineLevel="1">
      <c r="A117" s="364"/>
      <c r="B117" s="111" t="s">
        <v>73</v>
      </c>
      <c r="C117" s="115" t="s">
        <v>74</v>
      </c>
      <c r="D117" s="116"/>
      <c r="E117" s="116"/>
      <c r="F117" s="116"/>
      <c r="G117" s="117"/>
      <c r="H117" s="117"/>
      <c r="I117" s="437" t="str" cm="1">
        <f t="array" aca="1" ref="I117"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117" s="437" t="str" cm="1">
        <f t="array" aca="1" ref="J117"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117" s="437" t="str" cm="1">
        <f t="array" aca="1" ref="K117"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117" s="437" t="str" cm="1">
        <f t="array" aca="1" ref="L117"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117" s="437" t="str" cm="1">
        <f t="array" aca="1" ref="M117"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117" s="437" t="str" cm="1">
        <f t="array" aca="1" ref="N117"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117" s="437" t="str" cm="1">
        <f t="array" aca="1" ref="O117"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117" s="437" t="str" cm="1">
        <f t="array" aca="1" ref="P117"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117" s="437" t="str" cm="1">
        <f t="array" aca="1" ref="Q117"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117" s="437" t="str" cm="1">
        <f t="array" aca="1" ref="R117"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117" s="108"/>
      <c r="T117" s="108"/>
    </row>
    <row r="118" spans="1:20" s="174" customFormat="1" ht="27" hidden="1" outlineLevel="1">
      <c r="A118" s="364"/>
      <c r="B118" s="111" t="s">
        <v>75</v>
      </c>
      <c r="C118" s="115" t="s">
        <v>76</v>
      </c>
      <c r="D118" s="116"/>
      <c r="E118" s="116"/>
      <c r="F118" s="116"/>
      <c r="G118" s="117"/>
      <c r="H118" s="117"/>
      <c r="I118" s="437" t="str" cm="1">
        <f t="array" aca="1" ref="I118"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118" s="437" t="str" cm="1">
        <f t="array" aca="1" ref="J118"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118" s="437" t="str" cm="1">
        <f t="array" aca="1" ref="K118"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118" s="437" t="str" cm="1">
        <f t="array" aca="1" ref="L118"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118" s="437" t="str" cm="1">
        <f t="array" aca="1" ref="M118"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118" s="437" t="str" cm="1">
        <f t="array" aca="1" ref="N118"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118" s="437" t="str" cm="1">
        <f t="array" aca="1" ref="O118"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118" s="437" t="str" cm="1">
        <f t="array" aca="1" ref="P118"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118" s="437" t="str" cm="1">
        <f t="array" aca="1" ref="Q118"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118" s="437" t="str" cm="1">
        <f t="array" aca="1" ref="R118"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118" s="108"/>
      <c r="T118" s="108"/>
    </row>
    <row r="119" spans="1:20" s="174" customFormat="1" ht="16.5" customHeight="1" collapsed="1">
      <c r="B119" s="111" t="s">
        <v>77</v>
      </c>
      <c r="C119" s="119" t="str">
        <f ca="1">$C$35</f>
        <v>Total reduktionsfaktor för styrning</v>
      </c>
      <c r="D119" s="116"/>
      <c r="E119" s="116"/>
      <c r="F119" s="116"/>
      <c r="G119" s="117"/>
      <c r="H119" s="117"/>
      <c r="I119" s="526">
        <f t="shared" ref="I119:R119" si="8">IF(IF(I115=$I$233,I116,IF(I115=$I$234,I116*I117,IF(I115=$I$235,I116*I117*I118,1)))=0,"Fyll i 2.6-2.8",IF(I115=$I$233,I116,IF(I115=$I$234,I116*I117,IF(I115=$I$235,I116*I117*I118,1))))</f>
        <v>1</v>
      </c>
      <c r="J119" s="526">
        <f t="shared" si="8"/>
        <v>1</v>
      </c>
      <c r="K119" s="526">
        <f t="shared" si="8"/>
        <v>1</v>
      </c>
      <c r="L119" s="526">
        <f t="shared" si="8"/>
        <v>1</v>
      </c>
      <c r="M119" s="526">
        <f t="shared" si="8"/>
        <v>1</v>
      </c>
      <c r="N119" s="526">
        <f t="shared" si="8"/>
        <v>1</v>
      </c>
      <c r="O119" s="526">
        <f t="shared" si="8"/>
        <v>1</v>
      </c>
      <c r="P119" s="526">
        <f t="shared" si="8"/>
        <v>1</v>
      </c>
      <c r="Q119" s="526">
        <f t="shared" si="8"/>
        <v>1</v>
      </c>
      <c r="R119" s="526">
        <f t="shared" si="8"/>
        <v>1</v>
      </c>
      <c r="S119" s="108"/>
      <c r="T119" s="108"/>
    </row>
    <row r="120" spans="1:20" s="174" customFormat="1" ht="16.5" customHeight="1">
      <c r="B120" s="111" t="s">
        <v>79</v>
      </c>
      <c r="C120" s="115" t="str">
        <f ca="1">$C$36</f>
        <v>Underhållskostnader</v>
      </c>
      <c r="D120" s="116"/>
      <c r="E120" s="116"/>
      <c r="F120" s="116"/>
      <c r="G120" s="117"/>
      <c r="H120" s="117" t="str">
        <f ca="1">$H$36</f>
        <v>kr/år</v>
      </c>
      <c r="I120" s="437"/>
      <c r="J120" s="437"/>
      <c r="K120" s="437"/>
      <c r="L120" s="437"/>
      <c r="M120" s="437"/>
      <c r="N120" s="437"/>
      <c r="O120" s="437"/>
      <c r="P120" s="437"/>
      <c r="Q120" s="437"/>
      <c r="R120" s="437"/>
      <c r="S120" s="108"/>
      <c r="T120" s="108"/>
    </row>
    <row r="121" spans="1:20" s="174" customFormat="1" ht="16.5" customHeight="1">
      <c r="B121" s="111"/>
      <c r="C121" s="465"/>
      <c r="D121" s="465"/>
      <c r="E121" s="465"/>
      <c r="F121" s="465"/>
      <c r="G121" s="465"/>
      <c r="H121" s="465"/>
      <c r="I121" s="471"/>
      <c r="J121" s="471"/>
      <c r="K121" s="471"/>
      <c r="L121" s="471"/>
      <c r="M121" s="471"/>
      <c r="N121" s="471"/>
      <c r="O121" s="471"/>
      <c r="P121" s="471"/>
      <c r="Q121" s="471"/>
      <c r="R121" s="471"/>
      <c r="S121" s="108"/>
      <c r="T121" s="108"/>
    </row>
    <row r="122" spans="1:20" s="174" customFormat="1" ht="16.5" customHeight="1">
      <c r="B122" s="111"/>
      <c r="C122" s="110" t="str">
        <f ca="1">$C$26</f>
        <v>Armaturbeteckning</v>
      </c>
      <c r="D122" s="118"/>
      <c r="E122" s="118"/>
      <c r="F122" s="118"/>
      <c r="G122" s="118"/>
      <c r="H122" s="118"/>
      <c r="I122" s="479" t="str">
        <f>IF('1. LCC Befintlig Installation'!I122 &lt;&gt; "",'1. LCC Befintlig Installation'!I122,"")</f>
        <v/>
      </c>
      <c r="J122" s="479" t="str">
        <f>IF('1. LCC Befintlig Installation'!J122 &lt;&gt; "",'1. LCC Befintlig Installation'!J122,"")</f>
        <v/>
      </c>
      <c r="K122" s="479" t="str">
        <f>IF('1. LCC Befintlig Installation'!K122 &lt;&gt; "",'1. LCC Befintlig Installation'!K122,"")</f>
        <v/>
      </c>
      <c r="L122" s="479" t="str">
        <f>IF('1. LCC Befintlig Installation'!L122 &lt;&gt; "",'1. LCC Befintlig Installation'!L122,"")</f>
        <v/>
      </c>
      <c r="M122" s="479" t="str">
        <f>IF('1. LCC Befintlig Installation'!M122 &lt;&gt; "",'1. LCC Befintlig Installation'!M122,"")</f>
        <v/>
      </c>
      <c r="N122" s="479" t="str">
        <f>IF('1. LCC Befintlig Installation'!N122 &lt;&gt; "",'1. LCC Befintlig Installation'!N122,"")</f>
        <v/>
      </c>
      <c r="O122" s="479" t="str">
        <f>IF('1. LCC Befintlig Installation'!O122 &lt;&gt; "",'1. LCC Befintlig Installation'!O122,"")</f>
        <v/>
      </c>
      <c r="P122" s="479" t="str">
        <f>IF('1. LCC Befintlig Installation'!P122 &lt;&gt; "",'1. LCC Befintlig Installation'!P122,"")</f>
        <v/>
      </c>
      <c r="Q122" s="479" t="str">
        <f>IF('1. LCC Befintlig Installation'!Q122 &lt;&gt; "",'1. LCC Befintlig Installation'!Q122,"")</f>
        <v/>
      </c>
      <c r="R122" s="479" t="str">
        <f>IF('1. LCC Befintlig Installation'!R122 &lt;&gt; "",'1. LCC Befintlig Installation'!R122,"")</f>
        <v/>
      </c>
      <c r="S122" s="108"/>
      <c r="T122" s="108"/>
    </row>
    <row r="123" spans="1:20" s="174" customFormat="1" ht="16.5" customHeight="1">
      <c r="B123" s="111" t="s">
        <v>58</v>
      </c>
      <c r="C123" s="115" t="str">
        <f ca="1">$C$27</f>
        <v>Antal armaturer</v>
      </c>
      <c r="D123" s="116"/>
      <c r="E123" s="116"/>
      <c r="F123" s="116"/>
      <c r="G123" s="117"/>
      <c r="H123" s="117" t="str">
        <f ca="1">$H$27</f>
        <v>stk</v>
      </c>
      <c r="I123" s="437"/>
      <c r="J123" s="437"/>
      <c r="K123" s="437"/>
      <c r="L123" s="437"/>
      <c r="M123" s="437"/>
      <c r="N123" s="437"/>
      <c r="O123" s="437"/>
      <c r="P123" s="437"/>
      <c r="Q123" s="437"/>
      <c r="R123" s="437"/>
      <c r="S123" s="108"/>
      <c r="T123" s="108"/>
    </row>
    <row r="124" spans="1:20" s="174" customFormat="1" ht="16.5" customHeight="1">
      <c r="B124" s="111" t="s">
        <v>60</v>
      </c>
      <c r="C124" s="115" t="str">
        <f ca="1">$C$28</f>
        <v>Armaturpris</v>
      </c>
      <c r="D124" s="116"/>
      <c r="E124" s="116"/>
      <c r="F124" s="116"/>
      <c r="G124" s="117"/>
      <c r="H124" s="117" t="str">
        <f ca="1">$H$28</f>
        <v>kr/stk</v>
      </c>
      <c r="I124" s="437"/>
      <c r="J124" s="437"/>
      <c r="K124" s="437"/>
      <c r="L124" s="437"/>
      <c r="M124" s="437"/>
      <c r="N124" s="437"/>
      <c r="O124" s="437"/>
      <c r="P124" s="437"/>
      <c r="Q124" s="437"/>
      <c r="R124" s="437"/>
      <c r="S124" s="108"/>
      <c r="T124" s="108"/>
    </row>
    <row r="125" spans="1:20" s="174" customFormat="1" ht="16.5" customHeight="1">
      <c r="B125" s="111" t="s">
        <v>63</v>
      </c>
      <c r="C125" s="115" t="str">
        <f ca="1">$C$29</f>
        <v>Material- och arbetskostnader armatur</v>
      </c>
      <c r="D125" s="116"/>
      <c r="E125" s="116"/>
      <c r="F125" s="116"/>
      <c r="G125" s="117"/>
      <c r="H125" s="117" t="str">
        <f ca="1">$H$29</f>
        <v>kr</v>
      </c>
      <c r="I125" s="437"/>
      <c r="J125" s="437"/>
      <c r="K125" s="437"/>
      <c r="L125" s="437"/>
      <c r="M125" s="437"/>
      <c r="N125" s="437"/>
      <c r="O125" s="437"/>
      <c r="P125" s="437"/>
      <c r="Q125" s="437"/>
      <c r="R125" s="437"/>
      <c r="S125" s="108"/>
      <c r="T125" s="108"/>
    </row>
    <row r="126" spans="1:20" s="174" customFormat="1" ht="16.5" customHeight="1">
      <c r="B126" s="111" t="s">
        <v>65</v>
      </c>
      <c r="C126" s="115" t="str">
        <f ca="1">$C$30</f>
        <v>Effekt per armatur, inkl. driftsförluster</v>
      </c>
      <c r="D126" s="116"/>
      <c r="E126" s="116"/>
      <c r="F126" s="116"/>
      <c r="G126" s="117"/>
      <c r="H126" s="117" t="str">
        <f ca="1">$H$30</f>
        <v>W/stk</v>
      </c>
      <c r="I126" s="437"/>
      <c r="J126" s="437"/>
      <c r="K126" s="437"/>
      <c r="L126" s="437"/>
      <c r="M126" s="437"/>
      <c r="N126" s="437"/>
      <c r="O126" s="437"/>
      <c r="P126" s="437"/>
      <c r="Q126" s="437"/>
      <c r="R126" s="437"/>
      <c r="S126" s="108"/>
      <c r="T126" s="108"/>
    </row>
    <row r="127" spans="1:20" s="180" customFormat="1" ht="30" customHeight="1">
      <c r="B127" s="120" t="s">
        <v>68</v>
      </c>
      <c r="C127" s="115" t="str">
        <f ca="1">$C$31</f>
        <v>Typ av styrning</v>
      </c>
      <c r="D127" s="121"/>
      <c r="E127" s="121"/>
      <c r="F127" s="121"/>
      <c r="G127" s="122"/>
      <c r="H127" s="122"/>
      <c r="I127" s="437"/>
      <c r="J127" s="437"/>
      <c r="K127" s="437"/>
      <c r="L127" s="437"/>
      <c r="M127" s="437"/>
      <c r="N127" s="437"/>
      <c r="O127" s="437"/>
      <c r="P127" s="437"/>
      <c r="Q127" s="437"/>
      <c r="R127" s="437"/>
      <c r="S127" s="108"/>
      <c r="T127" s="108"/>
    </row>
    <row r="128" spans="1:20" s="174" customFormat="1" ht="27" hidden="1" outlineLevel="1">
      <c r="A128" s="364"/>
      <c r="B128" s="111" t="s">
        <v>71</v>
      </c>
      <c r="C128" s="115" t="s">
        <v>72</v>
      </c>
      <c r="D128" s="116"/>
      <c r="E128" s="116"/>
      <c r="F128" s="116"/>
      <c r="G128" s="117"/>
      <c r="H128" s="117"/>
      <c r="I128" s="437" t="str" cm="1">
        <f t="array" aca="1" ref="I128"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128" s="437" t="str" cm="1">
        <f t="array" aca="1" ref="J128"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128" s="437" t="str" cm="1">
        <f t="array" aca="1" ref="K128"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128" s="437" t="str" cm="1">
        <f t="array" aca="1" ref="L128"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128" s="437" t="str" cm="1">
        <f t="array" aca="1" ref="M128"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128" s="437" t="str" cm="1">
        <f t="array" aca="1" ref="N128"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128" s="437" t="str" cm="1">
        <f t="array" aca="1" ref="O128"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128" s="437" t="str" cm="1">
        <f t="array" aca="1" ref="P128"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128" s="437" t="str" cm="1">
        <f t="array" aca="1" ref="Q128"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128" s="437" t="str" cm="1">
        <f t="array" aca="1" ref="R128"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128" s="108"/>
      <c r="T128" s="108"/>
    </row>
    <row r="129" spans="1:20" s="174" customFormat="1" ht="27" hidden="1" outlineLevel="1">
      <c r="A129" s="364"/>
      <c r="B129" s="111" t="s">
        <v>73</v>
      </c>
      <c r="C129" s="115" t="s">
        <v>74</v>
      </c>
      <c r="D129" s="116"/>
      <c r="E129" s="116"/>
      <c r="F129" s="116"/>
      <c r="G129" s="117"/>
      <c r="H129" s="117"/>
      <c r="I129" s="437" t="str" cm="1">
        <f t="array" aca="1" ref="I129"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129" s="437" t="str" cm="1">
        <f t="array" aca="1" ref="J129"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129" s="437" t="str" cm="1">
        <f t="array" aca="1" ref="K129"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129" s="437" t="str" cm="1">
        <f t="array" aca="1" ref="L129"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129" s="437" t="str" cm="1">
        <f t="array" aca="1" ref="M129"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129" s="437" t="str" cm="1">
        <f t="array" aca="1" ref="N129"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129" s="437" t="str" cm="1">
        <f t="array" aca="1" ref="O129"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129" s="437" t="str" cm="1">
        <f t="array" aca="1" ref="P129"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129" s="437" t="str" cm="1">
        <f t="array" aca="1" ref="Q129"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129" s="437" t="str" cm="1">
        <f t="array" aca="1" ref="R129"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129" s="108"/>
      <c r="T129" s="108"/>
    </row>
    <row r="130" spans="1:20" s="174" customFormat="1" ht="27" hidden="1" outlineLevel="1">
      <c r="A130" s="364"/>
      <c r="B130" s="111" t="s">
        <v>75</v>
      </c>
      <c r="C130" s="115" t="s">
        <v>76</v>
      </c>
      <c r="D130" s="116"/>
      <c r="E130" s="116"/>
      <c r="F130" s="116"/>
      <c r="G130" s="117"/>
      <c r="H130" s="117"/>
      <c r="I130" s="437" t="str" cm="1">
        <f t="array" aca="1" ref="I130"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130" s="437" t="str" cm="1">
        <f t="array" aca="1" ref="J130"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130" s="437" t="str" cm="1">
        <f t="array" aca="1" ref="K130"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130" s="437" t="str" cm="1">
        <f t="array" aca="1" ref="L130"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130" s="437" t="str" cm="1">
        <f t="array" aca="1" ref="M130"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130" s="437" t="str" cm="1">
        <f t="array" aca="1" ref="N130"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130" s="437" t="str" cm="1">
        <f t="array" aca="1" ref="O130"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130" s="437" t="str" cm="1">
        <f t="array" aca="1" ref="P130"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130" s="437" t="str" cm="1">
        <f t="array" aca="1" ref="Q130"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130" s="437" t="str" cm="1">
        <f t="array" aca="1" ref="R130"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130" s="108"/>
      <c r="T130" s="108"/>
    </row>
    <row r="131" spans="1:20" s="174" customFormat="1" ht="16.5" customHeight="1" collapsed="1">
      <c r="B131" s="111" t="s">
        <v>77</v>
      </c>
      <c r="C131" s="119" t="str">
        <f ca="1">$C$35</f>
        <v>Total reduktionsfaktor för styrning</v>
      </c>
      <c r="D131" s="116"/>
      <c r="E131" s="116"/>
      <c r="F131" s="116"/>
      <c r="G131" s="117"/>
      <c r="H131" s="117"/>
      <c r="I131" s="526">
        <f t="shared" ref="I131:R131" si="9">IF(IF(I127=$I$233,I128,IF(I127=$I$234,I128*I129,IF(I127=$I$235,I128*I129*I130,1)))=0,"Fyll i 2.6-2.8",IF(I127=$I$233,I128,IF(I127=$I$234,I128*I129,IF(I127=$I$235,I128*I129*I130,1))))</f>
        <v>1</v>
      </c>
      <c r="J131" s="526">
        <f t="shared" si="9"/>
        <v>1</v>
      </c>
      <c r="K131" s="526">
        <f t="shared" si="9"/>
        <v>1</v>
      </c>
      <c r="L131" s="526">
        <f t="shared" si="9"/>
        <v>1</v>
      </c>
      <c r="M131" s="526">
        <f t="shared" si="9"/>
        <v>1</v>
      </c>
      <c r="N131" s="526">
        <f t="shared" si="9"/>
        <v>1</v>
      </c>
      <c r="O131" s="526">
        <f t="shared" si="9"/>
        <v>1</v>
      </c>
      <c r="P131" s="526">
        <f t="shared" si="9"/>
        <v>1</v>
      </c>
      <c r="Q131" s="526">
        <f t="shared" si="9"/>
        <v>1</v>
      </c>
      <c r="R131" s="526">
        <f t="shared" si="9"/>
        <v>1</v>
      </c>
      <c r="S131" s="108"/>
      <c r="T131" s="108"/>
    </row>
    <row r="132" spans="1:20" s="174" customFormat="1" ht="16.5" customHeight="1">
      <c r="B132" s="111" t="s">
        <v>79</v>
      </c>
      <c r="C132" s="115" t="str">
        <f ca="1">$C$36</f>
        <v>Underhållskostnader</v>
      </c>
      <c r="D132" s="116"/>
      <c r="E132" s="116"/>
      <c r="F132" s="116"/>
      <c r="G132" s="117"/>
      <c r="H132" s="117" t="str">
        <f ca="1">$H$36</f>
        <v>kr/år</v>
      </c>
      <c r="I132" s="437"/>
      <c r="J132" s="437"/>
      <c r="K132" s="437"/>
      <c r="L132" s="437"/>
      <c r="M132" s="437"/>
      <c r="N132" s="437"/>
      <c r="O132" s="437"/>
      <c r="P132" s="437"/>
      <c r="Q132" s="437"/>
      <c r="R132" s="437"/>
      <c r="S132" s="108"/>
      <c r="T132" s="108"/>
    </row>
    <row r="133" spans="1:20" s="174" customFormat="1" ht="16.5" customHeight="1">
      <c r="B133" s="111"/>
      <c r="C133" s="465"/>
      <c r="D133" s="465"/>
      <c r="E133" s="465"/>
      <c r="F133" s="465"/>
      <c r="G133" s="465"/>
      <c r="H133" s="465"/>
      <c r="I133" s="471"/>
      <c r="J133" s="471"/>
      <c r="K133" s="471"/>
      <c r="L133" s="471"/>
      <c r="M133" s="471"/>
      <c r="N133" s="471"/>
      <c r="O133" s="471"/>
      <c r="P133" s="471"/>
      <c r="Q133" s="471"/>
      <c r="R133" s="471"/>
      <c r="S133" s="108"/>
      <c r="T133" s="108"/>
    </row>
    <row r="134" spans="1:20" s="174" customFormat="1" ht="16.5" customHeight="1">
      <c r="B134" s="111"/>
      <c r="C134" s="110" t="str">
        <f ca="1">$C$26</f>
        <v>Armaturbeteckning</v>
      </c>
      <c r="D134" s="118"/>
      <c r="E134" s="118"/>
      <c r="F134" s="118"/>
      <c r="G134" s="118"/>
      <c r="H134" s="118"/>
      <c r="I134" s="479" t="str">
        <f>IF('1. LCC Befintlig Installation'!I134 &lt;&gt; "",'1. LCC Befintlig Installation'!I134,"")</f>
        <v/>
      </c>
      <c r="J134" s="479" t="str">
        <f>IF('1. LCC Befintlig Installation'!J134 &lt;&gt; "",'1. LCC Befintlig Installation'!J134,"")</f>
        <v/>
      </c>
      <c r="K134" s="479" t="str">
        <f>IF('1. LCC Befintlig Installation'!K134 &lt;&gt; "",'1. LCC Befintlig Installation'!K134,"")</f>
        <v/>
      </c>
      <c r="L134" s="479" t="str">
        <f>IF('1. LCC Befintlig Installation'!L134 &lt;&gt; "",'1. LCC Befintlig Installation'!L134,"")</f>
        <v/>
      </c>
      <c r="M134" s="479" t="str">
        <f>IF('1. LCC Befintlig Installation'!M134 &lt;&gt; "",'1. LCC Befintlig Installation'!M134,"")</f>
        <v/>
      </c>
      <c r="N134" s="479" t="str">
        <f>IF('1. LCC Befintlig Installation'!N134 &lt;&gt; "",'1. LCC Befintlig Installation'!N134,"")</f>
        <v/>
      </c>
      <c r="O134" s="479" t="str">
        <f>IF('1. LCC Befintlig Installation'!O134 &lt;&gt; "",'1. LCC Befintlig Installation'!O134,"")</f>
        <v/>
      </c>
      <c r="P134" s="479" t="str">
        <f>IF('1. LCC Befintlig Installation'!P134 &lt;&gt; "",'1. LCC Befintlig Installation'!P134,"")</f>
        <v/>
      </c>
      <c r="Q134" s="479" t="str">
        <f>IF('1. LCC Befintlig Installation'!Q134 &lt;&gt; "",'1. LCC Befintlig Installation'!Q134,"")</f>
        <v/>
      </c>
      <c r="R134" s="479" t="str">
        <f>IF('1. LCC Befintlig Installation'!R134 &lt;&gt; "",'1. LCC Befintlig Installation'!R134,"")</f>
        <v/>
      </c>
      <c r="S134" s="108"/>
      <c r="T134" s="108"/>
    </row>
    <row r="135" spans="1:20" s="174" customFormat="1" ht="16.5" customHeight="1">
      <c r="B135" s="111" t="s">
        <v>58</v>
      </c>
      <c r="C135" s="115" t="str">
        <f ca="1">$C$27</f>
        <v>Antal armaturer</v>
      </c>
      <c r="D135" s="116"/>
      <c r="E135" s="116"/>
      <c r="F135" s="116"/>
      <c r="G135" s="117"/>
      <c r="H135" s="117" t="str">
        <f ca="1">$H$27</f>
        <v>stk</v>
      </c>
      <c r="I135" s="437"/>
      <c r="J135" s="437"/>
      <c r="K135" s="437"/>
      <c r="L135" s="437"/>
      <c r="M135" s="437"/>
      <c r="N135" s="437"/>
      <c r="O135" s="437"/>
      <c r="P135" s="437"/>
      <c r="Q135" s="437"/>
      <c r="R135" s="437"/>
      <c r="S135" s="108"/>
      <c r="T135" s="108"/>
    </row>
    <row r="136" spans="1:20" s="174" customFormat="1" ht="16.5" customHeight="1">
      <c r="B136" s="111" t="s">
        <v>60</v>
      </c>
      <c r="C136" s="115" t="str">
        <f ca="1">$C$28</f>
        <v>Armaturpris</v>
      </c>
      <c r="D136" s="116"/>
      <c r="E136" s="116"/>
      <c r="F136" s="116"/>
      <c r="G136" s="117"/>
      <c r="H136" s="117" t="str">
        <f ca="1">$H$28</f>
        <v>kr/stk</v>
      </c>
      <c r="I136" s="437"/>
      <c r="J136" s="437"/>
      <c r="K136" s="437"/>
      <c r="L136" s="437"/>
      <c r="M136" s="437"/>
      <c r="N136" s="437"/>
      <c r="O136" s="437"/>
      <c r="P136" s="437"/>
      <c r="Q136" s="437"/>
      <c r="R136" s="437"/>
      <c r="S136" s="108"/>
      <c r="T136" s="108"/>
    </row>
    <row r="137" spans="1:20" s="174" customFormat="1" ht="16.5" customHeight="1">
      <c r="B137" s="111" t="s">
        <v>63</v>
      </c>
      <c r="C137" s="115" t="str">
        <f ca="1">$C$29</f>
        <v>Material- och arbetskostnader armatur</v>
      </c>
      <c r="D137" s="116"/>
      <c r="E137" s="116"/>
      <c r="F137" s="116"/>
      <c r="G137" s="117"/>
      <c r="H137" s="117" t="str">
        <f ca="1">$H$29</f>
        <v>kr</v>
      </c>
      <c r="I137" s="437"/>
      <c r="J137" s="437"/>
      <c r="K137" s="437"/>
      <c r="L137" s="437"/>
      <c r="M137" s="437"/>
      <c r="N137" s="437"/>
      <c r="O137" s="437"/>
      <c r="P137" s="437"/>
      <c r="Q137" s="437"/>
      <c r="R137" s="437"/>
      <c r="S137" s="108"/>
      <c r="T137" s="108"/>
    </row>
    <row r="138" spans="1:20" s="174" customFormat="1" ht="16.5" customHeight="1">
      <c r="B138" s="111" t="s">
        <v>65</v>
      </c>
      <c r="C138" s="115" t="str">
        <f ca="1">$C$30</f>
        <v>Effekt per armatur, inkl. driftsförluster</v>
      </c>
      <c r="D138" s="116"/>
      <c r="E138" s="116"/>
      <c r="F138" s="116"/>
      <c r="G138" s="117"/>
      <c r="H138" s="117" t="str">
        <f ca="1">$H$30</f>
        <v>W/stk</v>
      </c>
      <c r="I138" s="437"/>
      <c r="J138" s="437"/>
      <c r="K138" s="437"/>
      <c r="L138" s="437"/>
      <c r="M138" s="437"/>
      <c r="N138" s="437"/>
      <c r="O138" s="437"/>
      <c r="P138" s="437"/>
      <c r="Q138" s="437"/>
      <c r="R138" s="437"/>
      <c r="S138" s="108"/>
      <c r="T138" s="108"/>
    </row>
    <row r="139" spans="1:20" s="180" customFormat="1" ht="30" customHeight="1">
      <c r="B139" s="120" t="s">
        <v>68</v>
      </c>
      <c r="C139" s="115" t="str">
        <f ca="1">$C$31</f>
        <v>Typ av styrning</v>
      </c>
      <c r="D139" s="121"/>
      <c r="E139" s="121"/>
      <c r="F139" s="121"/>
      <c r="G139" s="122"/>
      <c r="H139" s="122"/>
      <c r="I139" s="437"/>
      <c r="J139" s="437"/>
      <c r="K139" s="437"/>
      <c r="L139" s="437"/>
      <c r="M139" s="437"/>
      <c r="N139" s="437"/>
      <c r="O139" s="437"/>
      <c r="P139" s="437"/>
      <c r="Q139" s="437"/>
      <c r="R139" s="437"/>
      <c r="S139" s="108"/>
      <c r="T139" s="108"/>
    </row>
    <row r="140" spans="1:20" s="174" customFormat="1" ht="27" hidden="1" outlineLevel="1">
      <c r="A140" s="364"/>
      <c r="B140" s="111" t="s">
        <v>71</v>
      </c>
      <c r="C140" s="115" t="s">
        <v>72</v>
      </c>
      <c r="D140" s="116"/>
      <c r="E140" s="116"/>
      <c r="F140" s="116"/>
      <c r="G140" s="117"/>
      <c r="H140" s="117"/>
      <c r="I140" s="437" t="str" cm="1">
        <f t="array" aca="1" ref="I140" ca="1">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f>
        <v>Fyll i byggnads- och rumstyp ovan</v>
      </c>
      <c r="J140" s="437" t="str" cm="1">
        <f t="array" aca="1" ref="J140" ca="1">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f>
        <v>Fyll i byggnads- och rumstyp ovan</v>
      </c>
      <c r="K140" s="437" t="str" cm="1">
        <f t="array" aca="1" ref="K140" ca="1">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f>
        <v>Fyll i byggnads- och rumstyp ovan</v>
      </c>
      <c r="L140" s="437" t="str" cm="1">
        <f t="array" aca="1" ref="L140" ca="1">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f>
        <v>Fyll i byggnads- och rumstyp ovan</v>
      </c>
      <c r="M140" s="437" t="str" cm="1">
        <f t="array" aca="1" ref="M140" ca="1">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f>
        <v>Fyll i byggnads- och rumstyp ovan</v>
      </c>
      <c r="N140" s="437" t="str" cm="1">
        <f t="array" aca="1" ref="N140" ca="1">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f>
        <v>Fyll i byggnads- och rumstyp ovan</v>
      </c>
      <c r="O140" s="437" t="str" cm="1">
        <f t="array" aca="1" ref="O140" ca="1">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f>
        <v>Fyll i byggnads- och rumstyp ovan</v>
      </c>
      <c r="P140" s="437" t="str" cm="1">
        <f t="array" aca="1" ref="P140" ca="1">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f>
        <v>Fyll i byggnads- och rumstyp ovan</v>
      </c>
      <c r="Q140" s="437" t="str" cm="1">
        <f t="array" aca="1" ref="Q140" ca="1">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f>
        <v>Fyll i byggnads- och rumstyp ovan</v>
      </c>
      <c r="R140" s="437" t="str" cm="1">
        <f t="array" aca="1" ref="R140" ca="1">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f>
        <v>Fyll i byggnads- och rumstyp ovan</v>
      </c>
      <c r="S140" s="108"/>
      <c r="T140" s="108"/>
    </row>
    <row r="141" spans="1:20" s="174" customFormat="1" ht="27" hidden="1" outlineLevel="1">
      <c r="A141" s="364"/>
      <c r="B141" s="111" t="s">
        <v>73</v>
      </c>
      <c r="C141" s="115" t="s">
        <v>74</v>
      </c>
      <c r="D141" s="116"/>
      <c r="E141" s="116"/>
      <c r="F141" s="116"/>
      <c r="G141" s="117"/>
      <c r="H141" s="117"/>
      <c r="I141" s="437" t="str" cm="1">
        <f t="array" aca="1" ref="I141" ca="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f>
        <v>Fyll i byggnads- och rumstyp ovan</v>
      </c>
      <c r="J141" s="437" t="str" cm="1">
        <f t="array" aca="1" ref="J141" ca="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f>
        <v>Fyll i byggnads- och rumstyp ovan</v>
      </c>
      <c r="K141" s="437" t="str" cm="1">
        <f t="array" aca="1" ref="K141" ca="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f>
        <v>Fyll i byggnads- och rumstyp ovan</v>
      </c>
      <c r="L141" s="437" t="str" cm="1">
        <f t="array" aca="1" ref="L141" ca="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f>
        <v>Fyll i byggnads- och rumstyp ovan</v>
      </c>
      <c r="M141" s="437" t="str" cm="1">
        <f t="array" aca="1" ref="M141" ca="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f>
        <v>Fyll i byggnads- och rumstyp ovan</v>
      </c>
      <c r="N141" s="437" t="str" cm="1">
        <f t="array" aca="1" ref="N141" ca="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f>
        <v>Fyll i byggnads- och rumstyp ovan</v>
      </c>
      <c r="O141" s="437" t="str" cm="1">
        <f t="array" aca="1" ref="O141" ca="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f>
        <v>Fyll i byggnads- och rumstyp ovan</v>
      </c>
      <c r="P141" s="437" t="str" cm="1">
        <f t="array" aca="1" ref="P141" ca="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f>
        <v>Fyll i byggnads- och rumstyp ovan</v>
      </c>
      <c r="Q141" s="437" t="str" cm="1">
        <f t="array" aca="1" ref="Q141" ca="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f>
        <v>Fyll i byggnads- och rumstyp ovan</v>
      </c>
      <c r="R141" s="437" t="str" cm="1">
        <f t="array" aca="1" ref="R141" ca="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f>
        <v>Fyll i byggnads- och rumstyp ovan</v>
      </c>
      <c r="S141" s="108"/>
      <c r="T141" s="108"/>
    </row>
    <row r="142" spans="1:20" s="174" customFormat="1" ht="27" hidden="1" outlineLevel="1">
      <c r="A142" s="364"/>
      <c r="B142" s="111" t="s">
        <v>75</v>
      </c>
      <c r="C142" s="115" t="s">
        <v>76</v>
      </c>
      <c r="D142" s="116"/>
      <c r="E142" s="116"/>
      <c r="F142" s="116"/>
      <c r="G142" s="117"/>
      <c r="H142" s="117"/>
      <c r="I142" s="437" t="str" cm="1">
        <f t="array" aca="1" ref="I142" ca="1">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f>
        <v>Fyll i byggnads- och rumstyp ovan</v>
      </c>
      <c r="J142" s="437" t="str" cm="1">
        <f t="array" aca="1" ref="J142" ca="1">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f>
        <v>Fyll i byggnads- och rumstyp ovan</v>
      </c>
      <c r="K142" s="437" t="str" cm="1">
        <f t="array" aca="1" ref="K142" ca="1">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f>
        <v>Fyll i byggnads- och rumstyp ovan</v>
      </c>
      <c r="L142" s="437" t="str" cm="1">
        <f t="array" aca="1" ref="L142" ca="1">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f>
        <v>Fyll i byggnads- och rumstyp ovan</v>
      </c>
      <c r="M142" s="437" t="str" cm="1">
        <f t="array" aca="1" ref="M142" ca="1">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f>
        <v>Fyll i byggnads- och rumstyp ovan</v>
      </c>
      <c r="N142" s="437" t="str" cm="1">
        <f t="array" aca="1" ref="N142" ca="1">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f>
        <v>Fyll i byggnads- och rumstyp ovan</v>
      </c>
      <c r="O142" s="437" t="str" cm="1">
        <f t="array" aca="1" ref="O142" ca="1">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f>
        <v>Fyll i byggnads- och rumstyp ovan</v>
      </c>
      <c r="P142" s="437" t="str" cm="1">
        <f t="array" aca="1" ref="P142" ca="1">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f>
        <v>Fyll i byggnads- och rumstyp ovan</v>
      </c>
      <c r="Q142" s="437" t="str" cm="1">
        <f t="array" aca="1" ref="Q142" ca="1">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f>
        <v>Fyll i byggnads- och rumstyp ovan</v>
      </c>
      <c r="R142" s="437" t="str" cm="1">
        <f t="array" aca="1" ref="R142" ca="1">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f>
        <v>Fyll i byggnads- och rumstyp ovan</v>
      </c>
      <c r="S142" s="108"/>
      <c r="T142" s="108"/>
    </row>
    <row r="143" spans="1:20" s="174" customFormat="1" ht="16.5" customHeight="1" collapsed="1">
      <c r="B143" s="111" t="s">
        <v>77</v>
      </c>
      <c r="C143" s="119" t="str">
        <f ca="1">$C$35</f>
        <v>Total reduktionsfaktor för styrning</v>
      </c>
      <c r="D143" s="116"/>
      <c r="E143" s="116"/>
      <c r="F143" s="116"/>
      <c r="G143" s="117"/>
      <c r="H143" s="117"/>
      <c r="I143" s="526">
        <f t="shared" ref="I143:R143" si="10">IF(IF(I139=$I$233,I140,IF(I139=$I$234,I140*I141,IF(I139=$I$235,I140*I141*I142,1)))=0,"Fyll i 2.6-2.8",IF(I139=$I$233,I140,IF(I139=$I$234,I140*I141,IF(I139=$I$235,I140*I141*I142,1))))</f>
        <v>1</v>
      </c>
      <c r="J143" s="526">
        <f t="shared" si="10"/>
        <v>1</v>
      </c>
      <c r="K143" s="526">
        <f t="shared" si="10"/>
        <v>1</v>
      </c>
      <c r="L143" s="526">
        <f t="shared" si="10"/>
        <v>1</v>
      </c>
      <c r="M143" s="526">
        <f t="shared" si="10"/>
        <v>1</v>
      </c>
      <c r="N143" s="526">
        <f t="shared" si="10"/>
        <v>1</v>
      </c>
      <c r="O143" s="526">
        <f t="shared" si="10"/>
        <v>1</v>
      </c>
      <c r="P143" s="526">
        <f t="shared" si="10"/>
        <v>1</v>
      </c>
      <c r="Q143" s="526">
        <f t="shared" si="10"/>
        <v>1</v>
      </c>
      <c r="R143" s="526">
        <f t="shared" si="10"/>
        <v>1</v>
      </c>
      <c r="S143" s="108"/>
      <c r="T143" s="108"/>
    </row>
    <row r="144" spans="1:20" s="174" customFormat="1" ht="16.5" customHeight="1">
      <c r="B144" s="111" t="s">
        <v>79</v>
      </c>
      <c r="C144" s="115" t="str">
        <f ca="1">$C$36</f>
        <v>Underhållskostnader</v>
      </c>
      <c r="D144" s="116"/>
      <c r="E144" s="116"/>
      <c r="F144" s="116"/>
      <c r="G144" s="117"/>
      <c r="H144" s="117" t="str">
        <f ca="1">$H$36</f>
        <v>kr/år</v>
      </c>
      <c r="I144" s="437"/>
      <c r="J144" s="437"/>
      <c r="K144" s="437"/>
      <c r="L144" s="437"/>
      <c r="M144" s="437"/>
      <c r="N144" s="437"/>
      <c r="O144" s="437"/>
      <c r="P144" s="437"/>
      <c r="Q144" s="437"/>
      <c r="R144" s="437"/>
      <c r="S144" s="108"/>
      <c r="T144" s="108"/>
    </row>
    <row r="145" spans="1:20" s="174" customFormat="1" ht="16.5" customHeight="1">
      <c r="B145" s="111"/>
      <c r="C145" s="118"/>
      <c r="D145" s="118"/>
      <c r="E145" s="118"/>
      <c r="F145" s="118"/>
      <c r="G145" s="118"/>
      <c r="H145" s="118"/>
      <c r="I145" s="168"/>
      <c r="J145" s="168"/>
      <c r="K145" s="168"/>
      <c r="L145" s="168"/>
      <c r="M145" s="168"/>
      <c r="N145" s="168"/>
      <c r="O145" s="168"/>
      <c r="P145" s="168"/>
      <c r="Q145" s="168"/>
      <c r="R145" s="168"/>
      <c r="S145" s="108"/>
      <c r="T145" s="108"/>
    </row>
    <row r="146" spans="1:20" s="174" customFormat="1" ht="16.5" customHeight="1">
      <c r="B146" s="111"/>
      <c r="C146" s="110" t="str" cm="1">
        <f t="array" aca="1" ref="C146" ca="1">IFERROR(
  INDEX(
    tblStrings[],
    MATCH(
      1,
      (tblStrings[Cell]=SUBSTITUTE(CELL("adress",INDIRECT("RC",FALSE)),"$","")) *
      (tblStrings[Sheet]=AllStrings!$C$433),
      0
    ),
    MATCH(Språkval, tblStrings[#Headers], 0)
  ),
)</f>
        <v>STYRUTRUSTNING (anges för rumstyp)</v>
      </c>
      <c r="D146" s="118"/>
      <c r="E146" s="118"/>
      <c r="F146" s="118"/>
      <c r="G146" s="118"/>
      <c r="H146" s="118"/>
      <c r="I146" s="168"/>
      <c r="J146" s="168"/>
      <c r="K146" s="168"/>
      <c r="L146" s="168"/>
      <c r="M146" s="168"/>
      <c r="N146" s="168"/>
      <c r="O146" s="168"/>
      <c r="P146" s="168"/>
      <c r="Q146" s="168"/>
      <c r="R146" s="168"/>
      <c r="S146" s="108"/>
      <c r="T146" s="108"/>
    </row>
    <row r="147" spans="1:20" s="174" customFormat="1" ht="16.5" customHeight="1">
      <c r="B147" s="111" t="s">
        <v>84</v>
      </c>
      <c r="C147" s="115" t="str" cm="1">
        <f t="array" aca="1" ref="C147" ca="1">IFERROR(
  INDEX(
    tblStrings[],
    MATCH(
      1,
      (tblStrings[Cell]=SUBSTITUTE(CELL("adress",INDIRECT("RC",FALSE)),"$","")) *
      (tblStrings[Sheet]=AllStrings!$C$433),
      0
    ),
    MATCH(Språkval, tblStrings[#Headers], 0)
  ),
)</f>
        <v>Kostnad extern styrutrustning</v>
      </c>
      <c r="D147" s="116"/>
      <c r="E147" s="116"/>
      <c r="F147" s="116"/>
      <c r="G147" s="117"/>
      <c r="H147" s="117" t="str">
        <f ca="1">$H$36</f>
        <v>kr/år</v>
      </c>
      <c r="I147" s="437"/>
      <c r="J147" s="437"/>
      <c r="K147" s="437"/>
      <c r="L147" s="437"/>
      <c r="M147" s="437"/>
      <c r="N147" s="437"/>
      <c r="O147" s="437"/>
      <c r="P147" s="437"/>
      <c r="Q147" s="437"/>
      <c r="R147" s="437"/>
      <c r="S147" s="108"/>
      <c r="T147" s="108"/>
    </row>
    <row r="148" spans="1:20" s="174" customFormat="1">
      <c r="B148" s="123"/>
      <c r="C148" s="124"/>
      <c r="D148" s="124"/>
      <c r="E148" s="124"/>
      <c r="F148" s="124"/>
      <c r="G148" s="124"/>
      <c r="H148" s="124"/>
      <c r="I148" s="472"/>
      <c r="J148" s="472"/>
      <c r="K148" s="472"/>
      <c r="L148" s="472"/>
      <c r="M148" s="472"/>
      <c r="N148" s="472"/>
      <c r="O148" s="472"/>
      <c r="P148" s="472"/>
      <c r="Q148" s="472"/>
      <c r="R148" s="472"/>
      <c r="S148" s="108"/>
      <c r="T148" s="108"/>
    </row>
    <row r="149" spans="1:20" s="174" customFormat="1" ht="29" customHeight="1">
      <c r="B149" s="365"/>
      <c r="C149" s="585" t="str" cm="1">
        <f t="array" aca="1" ref="C149" ca="1">IFERROR(
  INDEX(
    tblStrings[],
    MATCH(
      1,
      (tblStrings[Cell]=SUBSTITUTE(CELL("adress",INDIRECT("RC",FALSE)),"$","")) *
      (tblStrings[Sheet]=AllStrings!$C$433),
      0
    ),
    MATCH(Språkval, tblStrings[#Headers], 0)
  ),
)</f>
        <v>Resultat</v>
      </c>
      <c r="D149" s="585"/>
      <c r="E149" s="359"/>
      <c r="F149" s="366"/>
      <c r="G149" s="366"/>
      <c r="H149" s="367"/>
      <c r="I149" s="368"/>
      <c r="J149" s="368"/>
      <c r="K149" s="368"/>
      <c r="L149" s="369"/>
      <c r="M149" s="369"/>
      <c r="N149" s="369"/>
      <c r="O149" s="369"/>
      <c r="P149" s="369"/>
      <c r="Q149" s="369"/>
      <c r="R149" s="369"/>
      <c r="S149" s="370"/>
      <c r="T149" s="370"/>
    </row>
    <row r="150" spans="1:20" s="125" customFormat="1" ht="26.25" hidden="1" customHeight="1">
      <c r="A150" s="182"/>
      <c r="C150" s="126" t="str" cm="1">
        <f t="array" aca="1" ref="C150" ca="1">IFERROR(
  INDEX(
    tblStrings[],
    MATCH(
      1,
      (tblStrings[Cell]=SUBSTITUTE(CELL("adress",INDIRECT("RC",FALSE)),"$","")) *
      (tblStrings[Sheet]=AllStrings!$C$433),
      0
    ),
    MATCH(Språkval, tblStrings[#Headers], 0)
  ),
)</f>
        <v>Rangordning av alternativ</v>
      </c>
      <c r="D150" s="127"/>
      <c r="E150" s="128"/>
      <c r="F150" s="128"/>
      <c r="G150" s="128"/>
      <c r="H150" s="128"/>
      <c r="I150" s="480" t="e">
        <f>IF(I228="","",SUMPRODUCT(($I$228:$XFD$228&lt;I228)*($I$228:$XFD$228&lt;&gt;""))+SUMPRODUCT(($I$228:I228=I228)*1))</f>
        <v>#VALUE!</v>
      </c>
      <c r="J150" s="480" t="str">
        <f>IF(J228="","",SUMPRODUCT(($I$228:$XFD$228&lt;J228)*($I$228:$XFD$228&lt;&gt;""))+SUMPRODUCT(($I$228:J228=J228)*1))</f>
        <v/>
      </c>
      <c r="K150" s="480" t="str">
        <f>IF(K228="","",SUMPRODUCT(($I$228:$XFD$228&lt;K228)*($I$228:$XFD$228&lt;&gt;""))+SUMPRODUCT(($I$228:K228=K228)*1))</f>
        <v/>
      </c>
      <c r="L150" s="480" t="str">
        <f>IF(L228="","",SUMPRODUCT(($I$228:$XFD$228&lt;L228)*($I$228:$XFD$228&lt;&gt;""))+SUMPRODUCT(($I$228:L228=L228)*1))</f>
        <v/>
      </c>
      <c r="M150" s="480" t="str">
        <f>IF(M228="","",SUMPRODUCT(($I$228:$XFD$228&lt;M228)*($I$228:$XFD$228&lt;&gt;""))+SUMPRODUCT(($I$228:M228=M228)*1))</f>
        <v/>
      </c>
      <c r="N150" s="480" t="str">
        <f>IF(N228="","",SUMPRODUCT(($I$228:$XFD$228&lt;N228)*($I$228:$XFD$228&lt;&gt;""))+SUMPRODUCT(($I$228:N228=N228)*1))</f>
        <v/>
      </c>
      <c r="O150" s="480" t="str">
        <f>IF(O228="","",SUMPRODUCT(($I$228:$XFD$228&lt;O228)*($I$228:$XFD$228&lt;&gt;""))+SUMPRODUCT(($I$228:O228=O228)*1))</f>
        <v/>
      </c>
      <c r="P150" s="480" t="str">
        <f>IF(P228="","",SUMPRODUCT(($I$228:$XFD$228&lt;P228)*($I$228:$XFD$228&lt;&gt;""))+SUMPRODUCT(($I$228:P228=P228)*1))</f>
        <v/>
      </c>
      <c r="Q150" s="480" t="str">
        <f>IF(Q228="","",SUMPRODUCT(($I$228:$XFD$228&lt;Q228)*($I$228:$XFD$228&lt;&gt;""))+SUMPRODUCT(($I$228:Q228=Q228)*1))</f>
        <v/>
      </c>
      <c r="R150" s="480" t="str">
        <f>IF(R228="","",SUMPRODUCT(($I$228:$XFD$228&lt;R228)*($I$228:$XFD$228&lt;&gt;""))+SUMPRODUCT(($I$228:R228=R228)*1))</f>
        <v/>
      </c>
      <c r="S150" s="108"/>
      <c r="T150" s="108"/>
    </row>
    <row r="151" spans="1:20" s="174" customFormat="1" ht="16.5" customHeight="1">
      <c r="B151" s="129"/>
      <c r="C151" s="586"/>
      <c r="D151" s="586"/>
      <c r="E151" s="586"/>
      <c r="F151" s="586"/>
      <c r="G151" s="586"/>
      <c r="H151" s="130"/>
      <c r="I151" s="199" t="str">
        <f>I162</f>
        <v/>
      </c>
      <c r="J151" s="199" t="str">
        <f t="shared" ref="J151:R151" si="11">J162</f>
        <v/>
      </c>
      <c r="K151" s="199" t="str">
        <f t="shared" si="11"/>
        <v/>
      </c>
      <c r="L151" s="199" t="str">
        <f t="shared" si="11"/>
        <v/>
      </c>
      <c r="M151" s="199" t="str">
        <f t="shared" si="11"/>
        <v/>
      </c>
      <c r="N151" s="199" t="str">
        <f t="shared" si="11"/>
        <v/>
      </c>
      <c r="O151" s="199" t="str">
        <f t="shared" si="11"/>
        <v/>
      </c>
      <c r="P151" s="199" t="str">
        <f t="shared" si="11"/>
        <v/>
      </c>
      <c r="Q151" s="199" t="str">
        <f t="shared" si="11"/>
        <v/>
      </c>
      <c r="R151" s="199" t="str">
        <f t="shared" si="11"/>
        <v/>
      </c>
      <c r="S151" s="108"/>
      <c r="T151" s="108"/>
    </row>
    <row r="152" spans="1:20" s="174" customFormat="1" ht="20" customHeight="1">
      <c r="B152" s="131" t="s">
        <v>88</v>
      </c>
      <c r="C152" s="132" t="str" cm="1">
        <f t="array" aca="1" ref="C152" ca="1">IFERROR(
  INDEX(
    tblStrings[],
    MATCH(
      1,
      (tblStrings[Cell]=SUBSTITUTE(CELL("adress",INDIRECT("RC",FALSE)),"$","")) *
      (tblStrings[Sheet]=AllStrings!$C$433),
      0
    ),
    MATCH(Språkval, tblStrings[#Headers], 0)
  ),
)</f>
        <v>Totalkostnad per rum</v>
      </c>
      <c r="D152" s="132"/>
      <c r="E152" s="132"/>
      <c r="F152" s="132"/>
      <c r="G152" s="132"/>
      <c r="H152" s="133" t="str" cm="1">
        <f t="array" aca="1" ref="H152" ca="1">IFERROR(
  INDEX(
    tblStrings[],
    MATCH(
      1,
      (tblStrings[Cell]=SUBSTITUTE(CELL("adress",INDIRECT("RC",FALSE)),"$","")) *
      (tblStrings[Sheet]=AllStrings!$C$433),
      0
    ),
    MATCH(Språkval, tblStrings[#Headers], 0)
  ),
)</f>
        <v>kr</v>
      </c>
      <c r="I152" s="200" t="e">
        <f t="shared" ref="I152:J152" si="12">I175+I194*$I$196+I210*$I$212</f>
        <v>#VALUE!</v>
      </c>
      <c r="J152" s="200" t="e">
        <f t="shared" si="12"/>
        <v>#VALUE!</v>
      </c>
      <c r="K152" s="200">
        <f>IF(K$22&lt;&gt;"",K175+K194*$I$196+K210*$I$212,0)</f>
        <v>0</v>
      </c>
      <c r="L152" s="200">
        <f t="shared" ref="L152:R152" si="13">IF(L$22&lt;&gt;"",L175+L194*$I$196+L210*$I$212,0)</f>
        <v>0</v>
      </c>
      <c r="M152" s="200">
        <f t="shared" si="13"/>
        <v>0</v>
      </c>
      <c r="N152" s="200">
        <f t="shared" si="13"/>
        <v>0</v>
      </c>
      <c r="O152" s="200">
        <f t="shared" si="13"/>
        <v>0</v>
      </c>
      <c r="P152" s="200">
        <f t="shared" si="13"/>
        <v>0</v>
      </c>
      <c r="Q152" s="200">
        <f t="shared" si="13"/>
        <v>0</v>
      </c>
      <c r="R152" s="200">
        <f t="shared" si="13"/>
        <v>0</v>
      </c>
      <c r="S152" s="108"/>
      <c r="T152" s="108"/>
    </row>
    <row r="153" spans="1:20" s="174" customFormat="1" ht="20" customHeight="1">
      <c r="B153" s="131" t="s">
        <v>91</v>
      </c>
      <c r="C153" s="132" t="str" cm="1">
        <f t="array" aca="1" ref="C153" ca="1">IFERROR(
  INDEX(
    tblStrings[],
    MATCH(
      1,
      (tblStrings[Cell]=SUBSTITUTE(CELL("adress",INDIRECT("RC",FALSE)),"$","")) *
      (tblStrings[Sheet]=AllStrings!$C$433),
      0
    ),
    MATCH(Språkval, tblStrings[#Headers], 0)
  ),
)</f>
        <v>LENI-tal per rumstyp</v>
      </c>
      <c r="D153" s="132"/>
      <c r="E153" s="132"/>
      <c r="F153" s="132"/>
      <c r="G153" s="132"/>
      <c r="H153" s="133" t="str" cm="1">
        <f t="array" aca="1" ref="H153" ca="1">IFERROR(
  INDEX(
    tblStrings[],
    MATCH(
      1,
      (tblStrings[Cell]=SUBSTITUTE(CELL("adress",INDIRECT("RC",FALSE)),"$","")) *
      (tblStrings[Sheet]=AllStrings!$C$433),
      0
    ),
    MATCH(Språkval, tblStrings[#Headers], 0)
  ),
)</f>
        <v>kWh/m²/år</v>
      </c>
      <c r="I153" s="200">
        <f>I216</f>
        <v>0</v>
      </c>
      <c r="J153" s="200">
        <f>J216</f>
        <v>0</v>
      </c>
      <c r="K153" s="200">
        <f t="shared" ref="K153:R153" si="14">K216</f>
        <v>0</v>
      </c>
      <c r="L153" s="200">
        <f t="shared" si="14"/>
        <v>0</v>
      </c>
      <c r="M153" s="200">
        <f t="shared" si="14"/>
        <v>0</v>
      </c>
      <c r="N153" s="200">
        <f t="shared" si="14"/>
        <v>0</v>
      </c>
      <c r="O153" s="200">
        <f t="shared" si="14"/>
        <v>0</v>
      </c>
      <c r="P153" s="200">
        <f t="shared" si="14"/>
        <v>0</v>
      </c>
      <c r="Q153" s="200">
        <f t="shared" si="14"/>
        <v>0</v>
      </c>
      <c r="R153" s="200">
        <f t="shared" si="14"/>
        <v>0</v>
      </c>
      <c r="S153" s="108"/>
      <c r="T153" s="108"/>
    </row>
    <row r="154" spans="1:20" s="174" customFormat="1" ht="30" customHeight="1">
      <c r="B154" s="123"/>
      <c r="C154" s="134" t="str" cm="1">
        <f t="array" aca="1" ref="C154" ca="1">IFERROR(
  INDEX(
    tblStrings[],
    MATCH(
      1,
      (tblStrings[Cell]=SUBSTITUTE(CELL("adress",INDIRECT("RC",FALSE)),"$","")) *
      (tblStrings[Sheet]=AllStrings!$C$433),
      0
    ),
    MATCH(Språkval, tblStrings[#Headers], 0)
  ),
)</f>
        <v>RESULTAT FÖR HELA ANLÄGGNINGEN</v>
      </c>
      <c r="D154" s="135"/>
      <c r="E154" s="135"/>
      <c r="F154" s="135"/>
      <c r="G154" s="135"/>
      <c r="H154" s="133"/>
      <c r="I154" s="201"/>
      <c r="J154" s="201"/>
      <c r="K154" s="201"/>
      <c r="L154" s="201"/>
      <c r="M154" s="201"/>
      <c r="N154" s="201"/>
      <c r="O154" s="201"/>
      <c r="P154" s="201"/>
      <c r="Q154" s="201"/>
      <c r="R154" s="201"/>
      <c r="S154" s="108"/>
      <c r="T154" s="108"/>
    </row>
    <row r="155" spans="1:20" s="174" customFormat="1" ht="20" customHeight="1">
      <c r="B155" s="123" t="s">
        <v>95</v>
      </c>
      <c r="C155" s="587" t="str" cm="1">
        <f t="array" aca="1" ref="C155" ca="1">IFERROR(
  INDEX(
    tblStrings[],
    MATCH(
      1,
      (tblStrings[Cell]=SUBSTITUTE(CELL("adress",INDIRECT("RC",FALSE)),"$","")) *
      (tblStrings[Sheet]=AllStrings!$C$433),
      0
    ),
    MATCH(Språkval, tblStrings[#Headers], 0)
  ),
)</f>
        <v>TOTAL KOSTNAD</v>
      </c>
      <c r="D155" s="587"/>
      <c r="E155" s="587"/>
      <c r="F155" s="587"/>
      <c r="G155" s="587"/>
      <c r="H155" s="133" t="str">
        <f ca="1">$H$152</f>
        <v>kr</v>
      </c>
      <c r="I155" s="201" t="e">
        <f>I176+I197+I213</f>
        <v>#VALUE!</v>
      </c>
      <c r="J155" s="201"/>
      <c r="K155" s="201"/>
      <c r="L155" s="201"/>
      <c r="M155" s="201"/>
      <c r="N155" s="201"/>
      <c r="O155" s="201"/>
      <c r="P155" s="201"/>
      <c r="Q155" s="201"/>
      <c r="R155" s="201"/>
      <c r="S155" s="108"/>
      <c r="T155" s="108"/>
    </row>
    <row r="156" spans="1:20" s="174" customFormat="1" ht="20" customHeight="1">
      <c r="B156" s="123" t="s">
        <v>97</v>
      </c>
      <c r="C156" s="136" t="str" cm="1">
        <f t="array" aca="1" ref="C156" ca="1">IFERROR(
  INDEX(
    tblStrings[],
    MATCH(
      1,
      (tblStrings[Cell]=SUBSTITUTE(CELL("adress",INDIRECT("RC",FALSE)),"$","")) *
      (tblStrings[Sheet]=AllStrings!$C$433),
      0
    ),
    MATCH(Språkval, tblStrings[#Headers], 0)
  ),
)</f>
        <v>Energikostnad per år</v>
      </c>
      <c r="D156" s="135"/>
      <c r="E156" s="135"/>
      <c r="F156" s="135"/>
      <c r="G156" s="135"/>
      <c r="H156" s="133" t="str">
        <f t="shared" ref="H156:H157" ca="1" si="15">$H$152</f>
        <v>kr</v>
      </c>
      <c r="I156" s="201">
        <f>I195</f>
        <v>0</v>
      </c>
      <c r="J156" s="201"/>
      <c r="K156" s="201"/>
      <c r="L156" s="201"/>
      <c r="M156" s="201"/>
      <c r="N156" s="201"/>
      <c r="O156" s="201"/>
      <c r="P156" s="201"/>
      <c r="Q156" s="201"/>
      <c r="R156" s="201"/>
      <c r="S156" s="108"/>
      <c r="T156" s="108"/>
    </row>
    <row r="157" spans="1:20" s="174" customFormat="1" ht="20" customHeight="1">
      <c r="B157" s="123" t="s">
        <v>99</v>
      </c>
      <c r="C157" s="136" t="str" cm="1">
        <f t="array" aca="1" ref="C157" ca="1">IFERROR(
  INDEX(
    tblStrings[],
    MATCH(
      1,
      (tblStrings[Cell]=SUBSTITUTE(CELL("adress",INDIRECT("RC",FALSE)),"$","")) *
      (tblStrings[Sheet]=AllStrings!$C$433),
      0
    ),
    MATCH(Språkval, tblStrings[#Headers], 0)
  ),
)</f>
        <v>Energikostnader under hela livslängden</v>
      </c>
      <c r="D157" s="135"/>
      <c r="E157" s="135"/>
      <c r="F157" s="135"/>
      <c r="G157" s="135"/>
      <c r="H157" s="133" t="str">
        <f t="shared" ca="1" si="15"/>
        <v>kr</v>
      </c>
      <c r="I157" s="201">
        <f>I197</f>
        <v>0</v>
      </c>
      <c r="J157" s="201"/>
      <c r="K157" s="201"/>
      <c r="L157" s="201"/>
      <c r="M157" s="201"/>
      <c r="N157" s="201"/>
      <c r="O157" s="201"/>
      <c r="P157" s="201"/>
      <c r="Q157" s="201"/>
      <c r="R157" s="201"/>
      <c r="S157" s="108"/>
      <c r="T157" s="108"/>
    </row>
    <row r="158" spans="1:20" s="174" customFormat="1" ht="20" customHeight="1">
      <c r="B158" s="123" t="s">
        <v>101</v>
      </c>
      <c r="C158" s="587" t="str" cm="1">
        <f t="array" aca="1" ref="C158" ca="1">IFERROR(
  INDEX(
    tblStrings[],
    MATCH(
      1,
      (tblStrings[Cell]=SUBSTITUTE(CELL("adress",INDIRECT("RC",FALSE)),"$","")) *
      (tblStrings[Sheet]=AllStrings!$C$433),
      0
    ),
    MATCH(Språkval, tblStrings[#Headers], 0)
  ),
)</f>
        <v>Klimatpåverkan</v>
      </c>
      <c r="D158" s="587"/>
      <c r="E158" s="587"/>
      <c r="F158" s="587"/>
      <c r="G158" s="587"/>
      <c r="H158" s="133" t="str" cm="1">
        <f t="array" aca="1" ref="H158" ca="1">IFERROR(
  INDEX(
    tblStrings[],
    MATCH(
      1,
      (tblStrings[Cell]=SUBSTITUTE(CELL("adress",INDIRECT("RC",FALSE)),"$","")) *
      (tblStrings[Sheet]=AllStrings!$C$433),
      0
    ),
    MATCH(Språkval, tblStrings[#Headers], 0)
  ),
)</f>
        <v>kgCO2e/år</v>
      </c>
      <c r="I158" s="201">
        <f>SUM(I215:XFD215)</f>
        <v>0</v>
      </c>
      <c r="J158" s="201"/>
      <c r="K158" s="201"/>
      <c r="L158" s="201"/>
      <c r="M158" s="201"/>
      <c r="N158" s="201"/>
      <c r="O158" s="201"/>
      <c r="P158" s="201"/>
      <c r="Q158" s="201"/>
      <c r="R158" s="201"/>
      <c r="S158" s="108"/>
      <c r="T158" s="108"/>
    </row>
    <row r="159" spans="1:20" s="174" customFormat="1" ht="20" customHeight="1">
      <c r="B159" s="123"/>
      <c r="C159" s="135"/>
      <c r="D159" s="135"/>
      <c r="E159" s="135"/>
      <c r="F159" s="135"/>
      <c r="G159" s="135"/>
      <c r="H159" s="133"/>
      <c r="I159" s="201"/>
      <c r="J159" s="201"/>
      <c r="K159" s="201"/>
      <c r="L159" s="201"/>
      <c r="M159" s="201"/>
      <c r="N159" s="201"/>
      <c r="O159" s="201"/>
      <c r="P159" s="201"/>
      <c r="Q159" s="201"/>
      <c r="R159" s="201"/>
      <c r="S159" s="108"/>
      <c r="T159" s="108"/>
    </row>
    <row r="160" spans="1:20" s="174" customFormat="1" ht="16.5" customHeight="1">
      <c r="B160" s="129"/>
      <c r="C160" s="586"/>
      <c r="D160" s="586"/>
      <c r="E160" s="586"/>
      <c r="F160" s="586"/>
      <c r="G160" s="586"/>
      <c r="H160" s="130"/>
      <c r="I160" s="202"/>
      <c r="J160" s="472"/>
      <c r="K160" s="472"/>
      <c r="L160" s="472"/>
      <c r="M160" s="472"/>
      <c r="N160" s="472"/>
      <c r="O160" s="472"/>
      <c r="P160" s="472"/>
      <c r="Q160" s="472"/>
      <c r="R160" s="472"/>
      <c r="S160" s="108"/>
      <c r="T160" s="108"/>
    </row>
    <row r="161" spans="2:20" s="182" customFormat="1" ht="26.25" hidden="1" customHeight="1" outlineLevel="1">
      <c r="B161" s="371"/>
      <c r="C161" s="372" t="s">
        <v>42</v>
      </c>
      <c r="D161" s="371"/>
      <c r="E161" s="373"/>
      <c r="F161" s="371"/>
      <c r="G161" s="371"/>
      <c r="H161" s="371"/>
      <c r="I161" s="481"/>
      <c r="J161" s="481"/>
      <c r="K161" s="481"/>
      <c r="L161" s="481"/>
      <c r="M161" s="481"/>
      <c r="N161" s="481"/>
      <c r="O161" s="481"/>
      <c r="P161" s="481"/>
      <c r="Q161" s="481"/>
      <c r="R161" s="481"/>
      <c r="S161" s="371"/>
      <c r="T161" s="371"/>
    </row>
    <row r="162" spans="2:20" s="183" customFormat="1" ht="24" hidden="1" customHeight="1" outlineLevel="1">
      <c r="B162" s="137"/>
      <c r="C162" s="588"/>
      <c r="D162" s="588"/>
      <c r="E162" s="588"/>
      <c r="F162" s="588"/>
      <c r="G162" s="588"/>
      <c r="H162" s="138"/>
      <c r="I162" s="203" t="str">
        <f t="shared" ref="I162:N162" si="16">I19</f>
        <v/>
      </c>
      <c r="J162" s="203" t="str">
        <f t="shared" si="16"/>
        <v/>
      </c>
      <c r="K162" s="203" t="str">
        <f t="shared" si="16"/>
        <v/>
      </c>
      <c r="L162" s="204" t="str">
        <f t="shared" si="16"/>
        <v/>
      </c>
      <c r="M162" s="204" t="str">
        <f t="shared" si="16"/>
        <v/>
      </c>
      <c r="N162" s="204" t="str">
        <f t="shared" si="16"/>
        <v/>
      </c>
      <c r="O162" s="204" t="str">
        <f t="shared" ref="O162:R162" si="17">O19</f>
        <v/>
      </c>
      <c r="P162" s="204" t="str">
        <f t="shared" si="17"/>
        <v/>
      </c>
      <c r="Q162" s="204" t="str">
        <f t="shared" si="17"/>
        <v/>
      </c>
      <c r="R162" s="204" t="str">
        <f t="shared" si="17"/>
        <v/>
      </c>
      <c r="S162" s="108"/>
      <c r="T162" s="108"/>
    </row>
    <row r="163" spans="2:20" ht="14" hidden="1" outlineLevel="1">
      <c r="B163" s="374"/>
      <c r="C163" s="589" t="s">
        <v>104</v>
      </c>
      <c r="D163" s="589"/>
      <c r="E163" s="589"/>
      <c r="F163" s="589"/>
      <c r="G163" s="589"/>
      <c r="H163" s="374"/>
      <c r="I163" s="375"/>
      <c r="J163" s="375"/>
      <c r="K163" s="375"/>
      <c r="L163" s="376"/>
      <c r="M163" s="376"/>
      <c r="N163" s="376"/>
      <c r="O163" s="376"/>
      <c r="P163" s="376"/>
      <c r="Q163" s="376"/>
      <c r="R163" s="376"/>
      <c r="S163" s="377"/>
      <c r="T163" s="377"/>
    </row>
    <row r="164" spans="2:20" hidden="1" outlineLevel="1">
      <c r="B164" s="139"/>
      <c r="C164" s="590" t="s">
        <v>105</v>
      </c>
      <c r="D164" s="590"/>
      <c r="E164" s="590"/>
      <c r="F164" s="590"/>
      <c r="G164" s="590"/>
      <c r="H164" s="138"/>
      <c r="I164" s="205"/>
      <c r="J164" s="205"/>
      <c r="K164" s="205"/>
      <c r="L164" s="205"/>
      <c r="M164" s="205"/>
      <c r="N164" s="205"/>
      <c r="O164" s="205"/>
      <c r="P164" s="205"/>
      <c r="Q164" s="205"/>
      <c r="R164" s="205"/>
      <c r="S164" s="108"/>
      <c r="T164" s="108"/>
    </row>
    <row r="165" spans="2:20" hidden="1" outlineLevel="1">
      <c r="B165" s="139"/>
      <c r="C165" s="584" t="str">
        <f ca="1">C26</f>
        <v>Armaturbeteckning</v>
      </c>
      <c r="D165" s="584"/>
      <c r="E165" s="584"/>
      <c r="F165" s="584"/>
      <c r="G165" s="584"/>
      <c r="H165" s="137" t="s">
        <v>90</v>
      </c>
      <c r="I165" s="206">
        <f>IF(I$19&lt;&gt;"",I$23*(I27*(I28+I29)),0)</f>
        <v>0</v>
      </c>
      <c r="J165" s="206">
        <f t="shared" ref="J165:K165" si="18">IF(J$19&lt;&gt;"",J$23*(J27*(J28+J29)),0)</f>
        <v>0</v>
      </c>
      <c r="K165" s="206">
        <f t="shared" si="18"/>
        <v>0</v>
      </c>
      <c r="L165" s="206">
        <f t="shared" ref="L165:R165" si="19">IF(L$19&lt;&gt;"",L$23*(L27*(L28+L29)),0)</f>
        <v>0</v>
      </c>
      <c r="M165" s="206">
        <f t="shared" si="19"/>
        <v>0</v>
      </c>
      <c r="N165" s="206">
        <f t="shared" si="19"/>
        <v>0</v>
      </c>
      <c r="O165" s="206">
        <f t="shared" si="19"/>
        <v>0</v>
      </c>
      <c r="P165" s="206">
        <f t="shared" si="19"/>
        <v>0</v>
      </c>
      <c r="Q165" s="206">
        <f t="shared" si="19"/>
        <v>0</v>
      </c>
      <c r="R165" s="206">
        <f t="shared" si="19"/>
        <v>0</v>
      </c>
      <c r="S165" s="108"/>
      <c r="T165" s="108"/>
    </row>
    <row r="166" spans="2:20" hidden="1" outlineLevel="1">
      <c r="B166" s="139"/>
      <c r="C166" s="584" t="str">
        <f ca="1">C38</f>
        <v>Armaturbeteckning</v>
      </c>
      <c r="D166" s="584"/>
      <c r="E166" s="584"/>
      <c r="F166" s="584"/>
      <c r="G166" s="584"/>
      <c r="H166" s="137" t="s">
        <v>90</v>
      </c>
      <c r="I166" s="206" t="e">
        <f>I$23*(I39*(I40+I41))</f>
        <v>#VALUE!</v>
      </c>
      <c r="J166" s="206" t="e">
        <f>J$23*(J39*(J40+J41))</f>
        <v>#VALUE!</v>
      </c>
      <c r="K166" s="206">
        <f t="shared" ref="K166:R166" si="20">IF(K$19&lt;&gt;"",K$23*(K28*(K29+K30)),0)</f>
        <v>0</v>
      </c>
      <c r="L166" s="206">
        <f t="shared" si="20"/>
        <v>0</v>
      </c>
      <c r="M166" s="206">
        <f t="shared" si="20"/>
        <v>0</v>
      </c>
      <c r="N166" s="206">
        <f t="shared" si="20"/>
        <v>0</v>
      </c>
      <c r="O166" s="206">
        <f t="shared" si="20"/>
        <v>0</v>
      </c>
      <c r="P166" s="206">
        <f t="shared" si="20"/>
        <v>0</v>
      </c>
      <c r="Q166" s="206">
        <f t="shared" si="20"/>
        <v>0</v>
      </c>
      <c r="R166" s="206">
        <f t="shared" si="20"/>
        <v>0</v>
      </c>
      <c r="S166" s="108"/>
      <c r="T166" s="108"/>
    </row>
    <row r="167" spans="2:20" hidden="1" outlineLevel="1">
      <c r="B167" s="139"/>
      <c r="C167" s="584" t="str">
        <f ca="1">C50</f>
        <v>Armaturbeteckning</v>
      </c>
      <c r="D167" s="584"/>
      <c r="E167" s="584"/>
      <c r="F167" s="584"/>
      <c r="G167" s="584"/>
      <c r="H167" s="137" t="s">
        <v>90</v>
      </c>
      <c r="I167" s="206" t="e">
        <f>I$23*(I51*(I52+I53))</f>
        <v>#VALUE!</v>
      </c>
      <c r="J167" s="206" t="e">
        <f>J$23*(J51*(J52+J53))</f>
        <v>#VALUE!</v>
      </c>
      <c r="K167" s="206">
        <f t="shared" ref="K167:R167" si="21">IF(K$19&lt;&gt;"",K$23*(K29*(K30+K31)),0)</f>
        <v>0</v>
      </c>
      <c r="L167" s="206">
        <f t="shared" si="21"/>
        <v>0</v>
      </c>
      <c r="M167" s="206">
        <f t="shared" si="21"/>
        <v>0</v>
      </c>
      <c r="N167" s="206">
        <f t="shared" si="21"/>
        <v>0</v>
      </c>
      <c r="O167" s="206">
        <f t="shared" si="21"/>
        <v>0</v>
      </c>
      <c r="P167" s="206">
        <f t="shared" si="21"/>
        <v>0</v>
      </c>
      <c r="Q167" s="206">
        <f t="shared" si="21"/>
        <v>0</v>
      </c>
      <c r="R167" s="206">
        <f t="shared" si="21"/>
        <v>0</v>
      </c>
      <c r="S167" s="108"/>
      <c r="T167" s="108"/>
    </row>
    <row r="168" spans="2:20" hidden="1" outlineLevel="1">
      <c r="B168" s="139"/>
      <c r="C168" s="584" t="str">
        <f ca="1">C62</f>
        <v>Armaturbeteckning</v>
      </c>
      <c r="D168" s="584"/>
      <c r="E168" s="584"/>
      <c r="F168" s="584"/>
      <c r="G168" s="584"/>
      <c r="H168" s="137" t="s">
        <v>90</v>
      </c>
      <c r="I168" s="206" t="e">
        <f>I$23*(I63*(I64+I65))</f>
        <v>#VALUE!</v>
      </c>
      <c r="J168" s="206" t="e">
        <f>J$23*(J63*(J64+J65))</f>
        <v>#VALUE!</v>
      </c>
      <c r="K168" s="206">
        <f t="shared" ref="K168:R168" si="22">IF(K$19&lt;&gt;"",K$23*(K30*(K31+K32)),0)</f>
        <v>0</v>
      </c>
      <c r="L168" s="206">
        <f t="shared" si="22"/>
        <v>0</v>
      </c>
      <c r="M168" s="206">
        <f t="shared" si="22"/>
        <v>0</v>
      </c>
      <c r="N168" s="206">
        <f t="shared" si="22"/>
        <v>0</v>
      </c>
      <c r="O168" s="206">
        <f t="shared" si="22"/>
        <v>0</v>
      </c>
      <c r="P168" s="206">
        <f t="shared" si="22"/>
        <v>0</v>
      </c>
      <c r="Q168" s="206">
        <f t="shared" si="22"/>
        <v>0</v>
      </c>
      <c r="R168" s="206">
        <f t="shared" si="22"/>
        <v>0</v>
      </c>
      <c r="S168" s="108"/>
      <c r="T168" s="108"/>
    </row>
    <row r="169" spans="2:20" hidden="1" outlineLevel="1">
      <c r="B169" s="139"/>
      <c r="C169" s="584" t="str">
        <f ca="1">C74</f>
        <v>Armaturbeteckning</v>
      </c>
      <c r="D169" s="584"/>
      <c r="E169" s="584"/>
      <c r="F169" s="584"/>
      <c r="G169" s="584"/>
      <c r="H169" s="137" t="s">
        <v>90</v>
      </c>
      <c r="I169" s="206" t="e">
        <f>I$23*(I75*(I76+I77))</f>
        <v>#VALUE!</v>
      </c>
      <c r="J169" s="206" t="e">
        <f>J$23*(J75*(J76+J77))</f>
        <v>#VALUE!</v>
      </c>
      <c r="K169" s="206">
        <f t="shared" ref="K169:R169" si="23">IF(K$19&lt;&gt;"",K$23*(K31*(K32+K33)),0)</f>
        <v>0</v>
      </c>
      <c r="L169" s="206">
        <f t="shared" si="23"/>
        <v>0</v>
      </c>
      <c r="M169" s="206">
        <f t="shared" si="23"/>
        <v>0</v>
      </c>
      <c r="N169" s="206">
        <f t="shared" si="23"/>
        <v>0</v>
      </c>
      <c r="O169" s="206">
        <f t="shared" si="23"/>
        <v>0</v>
      </c>
      <c r="P169" s="206">
        <f t="shared" si="23"/>
        <v>0</v>
      </c>
      <c r="Q169" s="206">
        <f t="shared" si="23"/>
        <v>0</v>
      </c>
      <c r="R169" s="206">
        <f t="shared" si="23"/>
        <v>0</v>
      </c>
      <c r="S169" s="108"/>
      <c r="T169" s="108"/>
    </row>
    <row r="170" spans="2:20" hidden="1" outlineLevel="1">
      <c r="B170" s="139"/>
      <c r="C170" s="584" t="str">
        <f ca="1">C86</f>
        <v>Armaturbeteckning</v>
      </c>
      <c r="D170" s="584"/>
      <c r="E170" s="584"/>
      <c r="F170" s="584"/>
      <c r="G170" s="584"/>
      <c r="H170" s="137" t="s">
        <v>90</v>
      </c>
      <c r="I170" s="206" t="e">
        <f>I$23*(I87*(I88+I89))</f>
        <v>#VALUE!</v>
      </c>
      <c r="J170" s="206" t="e">
        <f>J$23*(J87*(J88+J89))</f>
        <v>#VALUE!</v>
      </c>
      <c r="K170" s="206">
        <f t="shared" ref="K170:R170" si="24">IF(K$19&lt;&gt;"",K$23*(K32*(K33+K34)),0)</f>
        <v>0</v>
      </c>
      <c r="L170" s="206">
        <f t="shared" si="24"/>
        <v>0</v>
      </c>
      <c r="M170" s="206">
        <f t="shared" si="24"/>
        <v>0</v>
      </c>
      <c r="N170" s="206">
        <f t="shared" si="24"/>
        <v>0</v>
      </c>
      <c r="O170" s="206">
        <f t="shared" si="24"/>
        <v>0</v>
      </c>
      <c r="P170" s="206">
        <f t="shared" si="24"/>
        <v>0</v>
      </c>
      <c r="Q170" s="206">
        <f t="shared" si="24"/>
        <v>0</v>
      </c>
      <c r="R170" s="206">
        <f t="shared" si="24"/>
        <v>0</v>
      </c>
      <c r="S170" s="108"/>
      <c r="T170" s="108"/>
    </row>
    <row r="171" spans="2:20" hidden="1" outlineLevel="1">
      <c r="B171" s="139"/>
      <c r="C171" s="584" t="str">
        <f ca="1">C98</f>
        <v>Armaturbeteckning</v>
      </c>
      <c r="D171" s="584"/>
      <c r="E171" s="584"/>
      <c r="F171" s="584"/>
      <c r="G171" s="584"/>
      <c r="H171" s="137" t="s">
        <v>90</v>
      </c>
      <c r="I171" s="206" t="e">
        <f>I$23*(I99*(I100+I101))</f>
        <v>#VALUE!</v>
      </c>
      <c r="J171" s="206" t="e">
        <f>J$23*(J99*(J100+J101))</f>
        <v>#VALUE!</v>
      </c>
      <c r="K171" s="206">
        <f t="shared" ref="K171:R171" si="25">IF(K$19&lt;&gt;"",K$23*(K33*(K34+K35)),0)</f>
        <v>0</v>
      </c>
      <c r="L171" s="206">
        <f t="shared" si="25"/>
        <v>0</v>
      </c>
      <c r="M171" s="206">
        <f t="shared" si="25"/>
        <v>0</v>
      </c>
      <c r="N171" s="206">
        <f t="shared" si="25"/>
        <v>0</v>
      </c>
      <c r="O171" s="206">
        <f t="shared" si="25"/>
        <v>0</v>
      </c>
      <c r="P171" s="206">
        <f t="shared" si="25"/>
        <v>0</v>
      </c>
      <c r="Q171" s="206">
        <f t="shared" si="25"/>
        <v>0</v>
      </c>
      <c r="R171" s="206">
        <f t="shared" si="25"/>
        <v>0</v>
      </c>
      <c r="S171" s="108"/>
      <c r="T171" s="108"/>
    </row>
    <row r="172" spans="2:20" hidden="1" outlineLevel="1">
      <c r="B172" s="139"/>
      <c r="C172" s="584" t="str">
        <f ca="1">C110</f>
        <v>Armaturbeteckning</v>
      </c>
      <c r="D172" s="584"/>
      <c r="E172" s="584"/>
      <c r="F172" s="584"/>
      <c r="G172" s="584"/>
      <c r="H172" s="137" t="s">
        <v>90</v>
      </c>
      <c r="I172" s="206" t="e">
        <f>I$23*(I111*(I112+I113))</f>
        <v>#VALUE!</v>
      </c>
      <c r="J172" s="206" t="e">
        <f>J$23*(J111*(J112+J113))</f>
        <v>#VALUE!</v>
      </c>
      <c r="K172" s="206">
        <f t="shared" ref="K172:R172" si="26">IF(K$19&lt;&gt;"",K$23*(K34*(K35+K36)),0)</f>
        <v>0</v>
      </c>
      <c r="L172" s="206">
        <f t="shared" si="26"/>
        <v>0</v>
      </c>
      <c r="M172" s="206">
        <f t="shared" si="26"/>
        <v>0</v>
      </c>
      <c r="N172" s="206">
        <f t="shared" si="26"/>
        <v>0</v>
      </c>
      <c r="O172" s="206">
        <f t="shared" si="26"/>
        <v>0</v>
      </c>
      <c r="P172" s="206">
        <f t="shared" si="26"/>
        <v>0</v>
      </c>
      <c r="Q172" s="206">
        <f t="shared" si="26"/>
        <v>0</v>
      </c>
      <c r="R172" s="206">
        <f t="shared" si="26"/>
        <v>0</v>
      </c>
      <c r="S172" s="108"/>
      <c r="T172" s="108"/>
    </row>
    <row r="173" spans="2:20" hidden="1" outlineLevel="1">
      <c r="B173" s="139"/>
      <c r="C173" s="584" t="str">
        <f ca="1">C122</f>
        <v>Armaturbeteckning</v>
      </c>
      <c r="D173" s="584"/>
      <c r="E173" s="584"/>
      <c r="F173" s="584"/>
      <c r="G173" s="584"/>
      <c r="H173" s="137" t="s">
        <v>90</v>
      </c>
      <c r="I173" s="206" t="e">
        <f>I$23*(I123*(I124+I125))</f>
        <v>#VALUE!</v>
      </c>
      <c r="J173" s="206" t="e">
        <f>J$23*(J123*(J124+J125))</f>
        <v>#VALUE!</v>
      </c>
      <c r="K173" s="206">
        <f t="shared" ref="K173:R173" si="27">IF(K$19&lt;&gt;"",K$23*(K35*(K36+K37)),0)</f>
        <v>0</v>
      </c>
      <c r="L173" s="206">
        <f t="shared" si="27"/>
        <v>0</v>
      </c>
      <c r="M173" s="206">
        <f t="shared" si="27"/>
        <v>0</v>
      </c>
      <c r="N173" s="206">
        <f t="shared" si="27"/>
        <v>0</v>
      </c>
      <c r="O173" s="206">
        <f t="shared" si="27"/>
        <v>0</v>
      </c>
      <c r="P173" s="206">
        <f t="shared" si="27"/>
        <v>0</v>
      </c>
      <c r="Q173" s="206">
        <f t="shared" si="27"/>
        <v>0</v>
      </c>
      <c r="R173" s="206">
        <f t="shared" si="27"/>
        <v>0</v>
      </c>
      <c r="S173" s="108"/>
      <c r="T173" s="108"/>
    </row>
    <row r="174" spans="2:20" hidden="1" outlineLevel="1">
      <c r="B174" s="139"/>
      <c r="C174" s="584" t="str">
        <f ca="1">C134</f>
        <v>Armaturbeteckning</v>
      </c>
      <c r="D174" s="584"/>
      <c r="E174" s="584"/>
      <c r="F174" s="584"/>
      <c r="G174" s="584"/>
      <c r="H174" s="137" t="s">
        <v>90</v>
      </c>
      <c r="I174" s="206" t="e">
        <f>I$23*(I135*(I136+I137))</f>
        <v>#VALUE!</v>
      </c>
      <c r="J174" s="206" t="e">
        <f>J$23*(J135*(J136+J137))</f>
        <v>#VALUE!</v>
      </c>
      <c r="K174" s="206">
        <f t="shared" ref="K174:R174" si="28">IF(K$19&lt;&gt;"",K$23*(K36*(K37+K38)),0)</f>
        <v>0</v>
      </c>
      <c r="L174" s="206">
        <f t="shared" si="28"/>
        <v>0</v>
      </c>
      <c r="M174" s="206">
        <f t="shared" si="28"/>
        <v>0</v>
      </c>
      <c r="N174" s="206">
        <f t="shared" si="28"/>
        <v>0</v>
      </c>
      <c r="O174" s="206">
        <f t="shared" si="28"/>
        <v>0</v>
      </c>
      <c r="P174" s="206">
        <f t="shared" si="28"/>
        <v>0</v>
      </c>
      <c r="Q174" s="206">
        <f t="shared" si="28"/>
        <v>0</v>
      </c>
      <c r="R174" s="206">
        <f t="shared" si="28"/>
        <v>0</v>
      </c>
      <c r="S174" s="108"/>
      <c r="T174" s="108"/>
    </row>
    <row r="175" spans="2:20" hidden="1" outlineLevel="1">
      <c r="B175" s="139"/>
      <c r="C175" s="141" t="s">
        <v>116</v>
      </c>
      <c r="D175" s="142"/>
      <c r="E175" s="142"/>
      <c r="F175" s="142"/>
      <c r="G175" s="142"/>
      <c r="H175" s="143" t="s">
        <v>90</v>
      </c>
      <c r="I175" s="207" t="e">
        <f>SUM(I165:I174)</f>
        <v>#VALUE!</v>
      </c>
      <c r="J175" s="207" t="e">
        <f>SUM(J165:J174)</f>
        <v>#VALUE!</v>
      </c>
      <c r="K175" s="207">
        <f t="shared" ref="K175:R175" si="29">SUM(K165:K174)</f>
        <v>0</v>
      </c>
      <c r="L175" s="207">
        <f t="shared" si="29"/>
        <v>0</v>
      </c>
      <c r="M175" s="207">
        <f t="shared" si="29"/>
        <v>0</v>
      </c>
      <c r="N175" s="207">
        <f t="shared" si="29"/>
        <v>0</v>
      </c>
      <c r="O175" s="207">
        <f t="shared" si="29"/>
        <v>0</v>
      </c>
      <c r="P175" s="207">
        <f t="shared" si="29"/>
        <v>0</v>
      </c>
      <c r="Q175" s="207">
        <f t="shared" si="29"/>
        <v>0</v>
      </c>
      <c r="R175" s="207">
        <f t="shared" si="29"/>
        <v>0</v>
      </c>
      <c r="S175" s="108"/>
      <c r="T175" s="108"/>
    </row>
    <row r="176" spans="2:20" ht="14" hidden="1" outlineLevel="1">
      <c r="B176" s="378"/>
      <c r="C176" s="593" t="s">
        <v>117</v>
      </c>
      <c r="D176" s="593"/>
      <c r="E176" s="593"/>
      <c r="F176" s="593"/>
      <c r="G176" s="593"/>
      <c r="H176" s="378" t="s">
        <v>90</v>
      </c>
      <c r="I176" s="379" t="e">
        <f>SUM(I175:XFD175)</f>
        <v>#VALUE!</v>
      </c>
      <c r="J176" s="379"/>
      <c r="K176" s="379"/>
      <c r="L176" s="379"/>
      <c r="M176" s="379"/>
      <c r="N176" s="379"/>
      <c r="O176" s="379"/>
      <c r="P176" s="379"/>
      <c r="Q176" s="379"/>
      <c r="R176" s="379"/>
      <c r="S176" s="380"/>
      <c r="T176" s="380"/>
    </row>
    <row r="177" spans="2:20" ht="14" hidden="1" outlineLevel="1">
      <c r="B177" s="144"/>
      <c r="C177" s="594"/>
      <c r="D177" s="594"/>
      <c r="E177" s="594"/>
      <c r="F177" s="594"/>
      <c r="G177" s="594"/>
      <c r="H177" s="139"/>
      <c r="I177" s="206"/>
      <c r="J177" s="210"/>
      <c r="K177" s="210"/>
      <c r="L177" s="210"/>
      <c r="M177" s="210"/>
      <c r="N177" s="210"/>
      <c r="O177" s="210"/>
      <c r="P177" s="210"/>
      <c r="Q177" s="210"/>
      <c r="R177" s="210"/>
      <c r="S177" s="184"/>
      <c r="T177" s="184"/>
    </row>
    <row r="178" spans="2:20" ht="14" hidden="1" outlineLevel="1">
      <c r="B178" s="378"/>
      <c r="C178" s="593" t="s">
        <v>118</v>
      </c>
      <c r="D178" s="593"/>
      <c r="E178" s="593"/>
      <c r="F178" s="593"/>
      <c r="G178" s="593"/>
      <c r="H178" s="378"/>
      <c r="I178" s="379"/>
      <c r="J178" s="482"/>
      <c r="K178" s="482"/>
      <c r="L178" s="482"/>
      <c r="M178" s="482"/>
      <c r="N178" s="482"/>
      <c r="O178" s="482"/>
      <c r="P178" s="482"/>
      <c r="Q178" s="482"/>
      <c r="R178" s="482"/>
      <c r="S178" s="378"/>
      <c r="T178" s="378"/>
    </row>
    <row r="179" spans="2:20" hidden="1" outlineLevel="1">
      <c r="B179" s="144"/>
      <c r="C179" s="145" t="s">
        <v>119</v>
      </c>
      <c r="D179" s="141"/>
      <c r="E179" s="141"/>
      <c r="F179" s="141"/>
      <c r="G179" s="141"/>
      <c r="H179" s="139"/>
      <c r="I179" s="206"/>
      <c r="J179" s="211"/>
      <c r="K179" s="211"/>
      <c r="L179" s="211"/>
      <c r="M179" s="211"/>
      <c r="N179" s="211"/>
      <c r="O179" s="211"/>
      <c r="P179" s="211"/>
      <c r="Q179" s="211"/>
      <c r="R179" s="211"/>
      <c r="S179" s="108"/>
      <c r="T179" s="108"/>
    </row>
    <row r="180" spans="2:20" hidden="1" outlineLevel="1">
      <c r="B180" s="144"/>
      <c r="C180" s="595" t="s">
        <v>120</v>
      </c>
      <c r="D180" s="596"/>
      <c r="E180" s="596"/>
      <c r="F180" s="596"/>
      <c r="G180" s="596"/>
      <c r="H180" s="138"/>
      <c r="I180" s="212"/>
      <c r="J180" s="205"/>
      <c r="K180" s="205"/>
      <c r="L180" s="205"/>
      <c r="M180" s="205"/>
      <c r="N180" s="205"/>
      <c r="O180" s="205"/>
      <c r="P180" s="205"/>
      <c r="Q180" s="205"/>
      <c r="R180" s="205"/>
      <c r="S180" s="108"/>
      <c r="T180" s="108"/>
    </row>
    <row r="181" spans="2:20" hidden="1" outlineLevel="1">
      <c r="B181" s="144"/>
      <c r="C181" s="591" t="str">
        <f ca="1">C165</f>
        <v>Armaturbeteckning</v>
      </c>
      <c r="D181" s="592"/>
      <c r="E181" s="592"/>
      <c r="F181" s="592"/>
      <c r="G181" s="592"/>
      <c r="H181" s="144" t="s">
        <v>121</v>
      </c>
      <c r="I181" s="213">
        <f>IF(I$19&lt;&gt;"",(I$23*I27*I30*I35*$H$14)/1000,0)</f>
        <v>0</v>
      </c>
      <c r="J181" s="213">
        <f t="shared" ref="J181:R181" si="30">IF(J$19&lt;&gt;"",(J$23*J27*J30*J35*$H$14)/1000,0)</f>
        <v>0</v>
      </c>
      <c r="K181" s="213">
        <f t="shared" si="30"/>
        <v>0</v>
      </c>
      <c r="L181" s="213">
        <f t="shared" si="30"/>
        <v>0</v>
      </c>
      <c r="M181" s="213">
        <f t="shared" si="30"/>
        <v>0</v>
      </c>
      <c r="N181" s="213">
        <f t="shared" si="30"/>
        <v>0</v>
      </c>
      <c r="O181" s="213">
        <f t="shared" si="30"/>
        <v>0</v>
      </c>
      <c r="P181" s="213">
        <f t="shared" si="30"/>
        <v>0</v>
      </c>
      <c r="Q181" s="213">
        <f t="shared" si="30"/>
        <v>0</v>
      </c>
      <c r="R181" s="213">
        <f t="shared" si="30"/>
        <v>0</v>
      </c>
      <c r="S181" s="108"/>
      <c r="T181" s="108"/>
    </row>
    <row r="182" spans="2:20" hidden="1" outlineLevel="1">
      <c r="B182" s="144"/>
      <c r="C182" s="591" t="str">
        <f t="shared" ref="C182:C190" ca="1" si="31">C166</f>
        <v>Armaturbeteckning</v>
      </c>
      <c r="D182" s="592"/>
      <c r="E182" s="592"/>
      <c r="F182" s="592"/>
      <c r="G182" s="592"/>
      <c r="H182" s="149" t="s">
        <v>121</v>
      </c>
      <c r="I182" s="213">
        <f>IF(I$19&lt;&gt;"",(I$23*I39*I42*I47*$H$14)/1000,0)</f>
        <v>0</v>
      </c>
      <c r="J182" s="213">
        <f t="shared" ref="J182:R182" si="32">IF(J$19&lt;&gt;"",(J$23*J39*J42*J47*$H$14)/1000,0)</f>
        <v>0</v>
      </c>
      <c r="K182" s="213">
        <f t="shared" si="32"/>
        <v>0</v>
      </c>
      <c r="L182" s="213">
        <f t="shared" si="32"/>
        <v>0</v>
      </c>
      <c r="M182" s="213">
        <f t="shared" si="32"/>
        <v>0</v>
      </c>
      <c r="N182" s="213">
        <f t="shared" si="32"/>
        <v>0</v>
      </c>
      <c r="O182" s="213">
        <f t="shared" si="32"/>
        <v>0</v>
      </c>
      <c r="P182" s="213">
        <f t="shared" si="32"/>
        <v>0</v>
      </c>
      <c r="Q182" s="213">
        <f t="shared" si="32"/>
        <v>0</v>
      </c>
      <c r="R182" s="213">
        <f t="shared" si="32"/>
        <v>0</v>
      </c>
      <c r="S182" s="108"/>
      <c r="T182" s="108"/>
    </row>
    <row r="183" spans="2:20" hidden="1" outlineLevel="1">
      <c r="B183" s="144"/>
      <c r="C183" s="591" t="str">
        <f t="shared" ca="1" si="31"/>
        <v>Armaturbeteckning</v>
      </c>
      <c r="D183" s="592"/>
      <c r="E183" s="592"/>
      <c r="F183" s="592"/>
      <c r="G183" s="592"/>
      <c r="H183" s="149" t="s">
        <v>121</v>
      </c>
      <c r="I183" s="213">
        <f>IF(I$19&lt;&gt;"",(I$23*I51*I54*I59*$H$14)/1000,0)</f>
        <v>0</v>
      </c>
      <c r="J183" s="213">
        <f t="shared" ref="J183:R183" si="33">IF(J$19&lt;&gt;"",(J$23*J51*J54*J59*$H$14)/1000,0)</f>
        <v>0</v>
      </c>
      <c r="K183" s="213">
        <f t="shared" si="33"/>
        <v>0</v>
      </c>
      <c r="L183" s="213">
        <f t="shared" si="33"/>
        <v>0</v>
      </c>
      <c r="M183" s="213">
        <f t="shared" si="33"/>
        <v>0</v>
      </c>
      <c r="N183" s="213">
        <f t="shared" si="33"/>
        <v>0</v>
      </c>
      <c r="O183" s="213">
        <f t="shared" si="33"/>
        <v>0</v>
      </c>
      <c r="P183" s="213">
        <f t="shared" si="33"/>
        <v>0</v>
      </c>
      <c r="Q183" s="213">
        <f t="shared" si="33"/>
        <v>0</v>
      </c>
      <c r="R183" s="213">
        <f t="shared" si="33"/>
        <v>0</v>
      </c>
      <c r="S183" s="108"/>
      <c r="T183" s="108"/>
    </row>
    <row r="184" spans="2:20" hidden="1" outlineLevel="1">
      <c r="B184" s="144"/>
      <c r="C184" s="591" t="str">
        <f t="shared" ca="1" si="31"/>
        <v>Armaturbeteckning</v>
      </c>
      <c r="D184" s="592"/>
      <c r="E184" s="592"/>
      <c r="F184" s="592"/>
      <c r="G184" s="592"/>
      <c r="H184" s="149" t="s">
        <v>121</v>
      </c>
      <c r="I184" s="213">
        <f>IF(I$19&lt;&gt;"",(I$23*I63*I66*I71*$H$14)/1000,0)</f>
        <v>0</v>
      </c>
      <c r="J184" s="213">
        <f t="shared" ref="J184:R184" si="34">IF(J$19&lt;&gt;"",(J$23*J63*J66*J71*$H$14)/1000,0)</f>
        <v>0</v>
      </c>
      <c r="K184" s="213">
        <f t="shared" si="34"/>
        <v>0</v>
      </c>
      <c r="L184" s="213">
        <f t="shared" si="34"/>
        <v>0</v>
      </c>
      <c r="M184" s="213">
        <f t="shared" si="34"/>
        <v>0</v>
      </c>
      <c r="N184" s="213">
        <f t="shared" si="34"/>
        <v>0</v>
      </c>
      <c r="O184" s="213">
        <f t="shared" si="34"/>
        <v>0</v>
      </c>
      <c r="P184" s="213">
        <f t="shared" si="34"/>
        <v>0</v>
      </c>
      <c r="Q184" s="213">
        <f t="shared" si="34"/>
        <v>0</v>
      </c>
      <c r="R184" s="213">
        <f t="shared" si="34"/>
        <v>0</v>
      </c>
      <c r="S184" s="108"/>
      <c r="T184" s="108"/>
    </row>
    <row r="185" spans="2:20" hidden="1" outlineLevel="1">
      <c r="B185" s="144"/>
      <c r="C185" s="591" t="str">
        <f t="shared" ca="1" si="31"/>
        <v>Armaturbeteckning</v>
      </c>
      <c r="D185" s="592"/>
      <c r="E185" s="592"/>
      <c r="F185" s="592"/>
      <c r="G185" s="592"/>
      <c r="H185" s="149" t="s">
        <v>121</v>
      </c>
      <c r="I185" s="213">
        <f>IF(I$19&lt;&gt;"",(I$23*I75*I78*I83*$H$14)/1000,0)</f>
        <v>0</v>
      </c>
      <c r="J185" s="213">
        <f t="shared" ref="J185:R185" si="35">IF(J$19&lt;&gt;"",(J$23*J75*J78*J83*$H$14)/1000,0)</f>
        <v>0</v>
      </c>
      <c r="K185" s="213">
        <f t="shared" si="35"/>
        <v>0</v>
      </c>
      <c r="L185" s="213">
        <f t="shared" si="35"/>
        <v>0</v>
      </c>
      <c r="M185" s="213">
        <f t="shared" si="35"/>
        <v>0</v>
      </c>
      <c r="N185" s="213">
        <f t="shared" si="35"/>
        <v>0</v>
      </c>
      <c r="O185" s="213">
        <f t="shared" si="35"/>
        <v>0</v>
      </c>
      <c r="P185" s="213">
        <f t="shared" si="35"/>
        <v>0</v>
      </c>
      <c r="Q185" s="213">
        <f t="shared" si="35"/>
        <v>0</v>
      </c>
      <c r="R185" s="213">
        <f t="shared" si="35"/>
        <v>0</v>
      </c>
      <c r="S185" s="108"/>
      <c r="T185" s="108"/>
    </row>
    <row r="186" spans="2:20" hidden="1" outlineLevel="1">
      <c r="B186" s="144"/>
      <c r="C186" s="591" t="str">
        <f t="shared" ca="1" si="31"/>
        <v>Armaturbeteckning</v>
      </c>
      <c r="D186" s="592"/>
      <c r="E186" s="592"/>
      <c r="F186" s="592"/>
      <c r="G186" s="592"/>
      <c r="H186" s="149" t="s">
        <v>121</v>
      </c>
      <c r="I186" s="213">
        <f>IF(I$19&lt;&gt;"",(I$23*I87*I90*I95*$H$14)/1000,0)</f>
        <v>0</v>
      </c>
      <c r="J186" s="213">
        <f t="shared" ref="J186:R186" si="36">IF(J$19&lt;&gt;"",(J$23*J87*J90*J95*$H$14)/1000,0)</f>
        <v>0</v>
      </c>
      <c r="K186" s="213">
        <f t="shared" si="36"/>
        <v>0</v>
      </c>
      <c r="L186" s="213">
        <f t="shared" si="36"/>
        <v>0</v>
      </c>
      <c r="M186" s="213">
        <f t="shared" si="36"/>
        <v>0</v>
      </c>
      <c r="N186" s="213">
        <f t="shared" si="36"/>
        <v>0</v>
      </c>
      <c r="O186" s="213">
        <f t="shared" si="36"/>
        <v>0</v>
      </c>
      <c r="P186" s="213">
        <f t="shared" si="36"/>
        <v>0</v>
      </c>
      <c r="Q186" s="213">
        <f t="shared" si="36"/>
        <v>0</v>
      </c>
      <c r="R186" s="213">
        <f t="shared" si="36"/>
        <v>0</v>
      </c>
      <c r="S186" s="108"/>
      <c r="T186" s="108"/>
    </row>
    <row r="187" spans="2:20" hidden="1" outlineLevel="1">
      <c r="B187" s="144"/>
      <c r="C187" s="591" t="str">
        <f t="shared" ca="1" si="31"/>
        <v>Armaturbeteckning</v>
      </c>
      <c r="D187" s="592"/>
      <c r="E187" s="592"/>
      <c r="F187" s="592"/>
      <c r="G187" s="592"/>
      <c r="H187" s="149" t="s">
        <v>121</v>
      </c>
      <c r="I187" s="213">
        <f>IF(I$19&lt;&gt;"",(I$23*I99*I102*I107*$H$14)/1000,0)</f>
        <v>0</v>
      </c>
      <c r="J187" s="213">
        <f t="shared" ref="J187:R187" si="37">IF(J$19&lt;&gt;"",(J$23*J99*J102*J107*$H$14)/1000,0)</f>
        <v>0</v>
      </c>
      <c r="K187" s="213">
        <f t="shared" si="37"/>
        <v>0</v>
      </c>
      <c r="L187" s="213">
        <f t="shared" si="37"/>
        <v>0</v>
      </c>
      <c r="M187" s="213">
        <f t="shared" si="37"/>
        <v>0</v>
      </c>
      <c r="N187" s="213">
        <f t="shared" si="37"/>
        <v>0</v>
      </c>
      <c r="O187" s="213">
        <f t="shared" si="37"/>
        <v>0</v>
      </c>
      <c r="P187" s="213">
        <f t="shared" si="37"/>
        <v>0</v>
      </c>
      <c r="Q187" s="213">
        <f t="shared" si="37"/>
        <v>0</v>
      </c>
      <c r="R187" s="213">
        <f t="shared" si="37"/>
        <v>0</v>
      </c>
      <c r="S187" s="108"/>
      <c r="T187" s="108"/>
    </row>
    <row r="188" spans="2:20" hidden="1" outlineLevel="1">
      <c r="B188" s="144"/>
      <c r="C188" s="591" t="str">
        <f t="shared" ca="1" si="31"/>
        <v>Armaturbeteckning</v>
      </c>
      <c r="D188" s="592"/>
      <c r="E188" s="592"/>
      <c r="F188" s="592"/>
      <c r="G188" s="592"/>
      <c r="H188" s="149" t="s">
        <v>121</v>
      </c>
      <c r="I188" s="213">
        <f>IF(I$19&lt;&gt;"",(I$23*I111*I114*I119*$H$14)/1000,0)</f>
        <v>0</v>
      </c>
      <c r="J188" s="213">
        <f t="shared" ref="J188:R188" si="38">IF(J$19&lt;&gt;"",(J$23*J111*J114*J119*$H$14)/1000,0)</f>
        <v>0</v>
      </c>
      <c r="K188" s="213">
        <f t="shared" si="38"/>
        <v>0</v>
      </c>
      <c r="L188" s="213">
        <f t="shared" si="38"/>
        <v>0</v>
      </c>
      <c r="M188" s="213">
        <f t="shared" si="38"/>
        <v>0</v>
      </c>
      <c r="N188" s="213">
        <f t="shared" si="38"/>
        <v>0</v>
      </c>
      <c r="O188" s="213">
        <f t="shared" si="38"/>
        <v>0</v>
      </c>
      <c r="P188" s="213">
        <f t="shared" si="38"/>
        <v>0</v>
      </c>
      <c r="Q188" s="213">
        <f t="shared" si="38"/>
        <v>0</v>
      </c>
      <c r="R188" s="213">
        <f t="shared" si="38"/>
        <v>0</v>
      </c>
      <c r="S188" s="108"/>
      <c r="T188" s="108"/>
    </row>
    <row r="189" spans="2:20" hidden="1" outlineLevel="1">
      <c r="B189" s="144"/>
      <c r="C189" s="591" t="str">
        <f t="shared" ca="1" si="31"/>
        <v>Armaturbeteckning</v>
      </c>
      <c r="D189" s="592"/>
      <c r="E189" s="592"/>
      <c r="F189" s="592"/>
      <c r="G189" s="592"/>
      <c r="H189" s="149" t="s">
        <v>121</v>
      </c>
      <c r="I189" s="213">
        <f>IF(I$19&lt;&gt;"",(I$23*I23*I126*I131*$H$14)/1000,0)</f>
        <v>0</v>
      </c>
      <c r="J189" s="213">
        <f t="shared" ref="J189:R189" si="39">IF(J$19&lt;&gt;"",(J$23*J23*J126*J131*$H$14)/1000,0)</f>
        <v>0</v>
      </c>
      <c r="K189" s="213">
        <f t="shared" si="39"/>
        <v>0</v>
      </c>
      <c r="L189" s="213">
        <f t="shared" si="39"/>
        <v>0</v>
      </c>
      <c r="M189" s="213">
        <f t="shared" si="39"/>
        <v>0</v>
      </c>
      <c r="N189" s="213">
        <f t="shared" si="39"/>
        <v>0</v>
      </c>
      <c r="O189" s="213">
        <f t="shared" si="39"/>
        <v>0</v>
      </c>
      <c r="P189" s="213">
        <f t="shared" si="39"/>
        <v>0</v>
      </c>
      <c r="Q189" s="213">
        <f t="shared" si="39"/>
        <v>0</v>
      </c>
      <c r="R189" s="213">
        <f t="shared" si="39"/>
        <v>0</v>
      </c>
      <c r="S189" s="108"/>
      <c r="T189" s="108"/>
    </row>
    <row r="190" spans="2:20" hidden="1" outlineLevel="1">
      <c r="B190" s="144"/>
      <c r="C190" s="591" t="str">
        <f t="shared" ca="1" si="31"/>
        <v>Armaturbeteckning</v>
      </c>
      <c r="D190" s="592"/>
      <c r="E190" s="592"/>
      <c r="F190" s="592"/>
      <c r="G190" s="592"/>
      <c r="H190" s="149" t="s">
        <v>121</v>
      </c>
      <c r="I190" s="213">
        <f>IF(I$19&lt;&gt;"",(I$23*I135*I138*I143*$H$14)/1000,0)</f>
        <v>0</v>
      </c>
      <c r="J190" s="213">
        <f t="shared" ref="J190:R190" si="40">IF(J$19&lt;&gt;"",(J$23*J135*J138*J143*$H$14)/1000,0)</f>
        <v>0</v>
      </c>
      <c r="K190" s="213">
        <f t="shared" si="40"/>
        <v>0</v>
      </c>
      <c r="L190" s="213">
        <f t="shared" si="40"/>
        <v>0</v>
      </c>
      <c r="M190" s="213">
        <f t="shared" si="40"/>
        <v>0</v>
      </c>
      <c r="N190" s="213">
        <f t="shared" si="40"/>
        <v>0</v>
      </c>
      <c r="O190" s="213">
        <f t="shared" si="40"/>
        <v>0</v>
      </c>
      <c r="P190" s="213">
        <f t="shared" si="40"/>
        <v>0</v>
      </c>
      <c r="Q190" s="213">
        <f t="shared" si="40"/>
        <v>0</v>
      </c>
      <c r="R190" s="213">
        <f t="shared" si="40"/>
        <v>0</v>
      </c>
      <c r="S190" s="108"/>
      <c r="T190" s="108"/>
    </row>
    <row r="191" spans="2:20" s="185" customFormat="1" hidden="1" outlineLevel="1">
      <c r="B191" s="150"/>
      <c r="C191" s="151" t="s">
        <v>122</v>
      </c>
      <c r="D191" s="152"/>
      <c r="E191" s="152"/>
      <c r="F191" s="152"/>
      <c r="G191" s="152"/>
      <c r="H191" s="153" t="s">
        <v>123</v>
      </c>
      <c r="I191" s="214">
        <f>SUM(I181:I190)</f>
        <v>0</v>
      </c>
      <c r="J191" s="214">
        <f>SUM(J181:J190)</f>
        <v>0</v>
      </c>
      <c r="K191" s="214">
        <f t="shared" ref="K191:R191" si="41">SUM(K181:K190)</f>
        <v>0</v>
      </c>
      <c r="L191" s="214">
        <f t="shared" si="41"/>
        <v>0</v>
      </c>
      <c r="M191" s="214">
        <f t="shared" si="41"/>
        <v>0</v>
      </c>
      <c r="N191" s="214">
        <f t="shared" si="41"/>
        <v>0</v>
      </c>
      <c r="O191" s="214">
        <f t="shared" si="41"/>
        <v>0</v>
      </c>
      <c r="P191" s="214">
        <f t="shared" si="41"/>
        <v>0</v>
      </c>
      <c r="Q191" s="214">
        <f t="shared" si="41"/>
        <v>0</v>
      </c>
      <c r="R191" s="214">
        <f t="shared" si="41"/>
        <v>0</v>
      </c>
      <c r="S191" s="108"/>
      <c r="T191" s="108"/>
    </row>
    <row r="192" spans="2:20" s="186" customFormat="1" hidden="1" outlineLevel="1">
      <c r="B192" s="154"/>
      <c r="C192" s="145" t="s">
        <v>124</v>
      </c>
      <c r="D192" s="141"/>
      <c r="E192" s="141"/>
      <c r="F192" s="141"/>
      <c r="G192" s="141"/>
      <c r="H192" s="139" t="s">
        <v>123</v>
      </c>
      <c r="I192" s="206">
        <f>SUM(I191:XFD191)</f>
        <v>0</v>
      </c>
      <c r="J192" s="206"/>
      <c r="K192" s="206"/>
      <c r="L192" s="206"/>
      <c r="M192" s="206"/>
      <c r="N192" s="206"/>
      <c r="O192" s="206"/>
      <c r="P192" s="206"/>
      <c r="Q192" s="206"/>
      <c r="R192" s="206"/>
      <c r="S192" s="108"/>
      <c r="T192" s="108"/>
    </row>
    <row r="193" spans="2:20" hidden="1" outlineLevel="1">
      <c r="B193" s="144"/>
      <c r="C193" s="155"/>
      <c r="D193" s="156"/>
      <c r="E193" s="156"/>
      <c r="F193" s="156"/>
      <c r="G193" s="156"/>
      <c r="H193" s="154"/>
      <c r="I193" s="215"/>
      <c r="J193" s="215"/>
      <c r="K193" s="215"/>
      <c r="L193" s="215"/>
      <c r="M193" s="215"/>
      <c r="N193" s="215"/>
      <c r="O193" s="215"/>
      <c r="P193" s="215"/>
      <c r="Q193" s="215"/>
      <c r="R193" s="215"/>
      <c r="S193" s="108"/>
      <c r="T193" s="108"/>
    </row>
    <row r="194" spans="2:20" hidden="1" outlineLevel="1">
      <c r="B194" s="144"/>
      <c r="C194" s="157" t="s">
        <v>125</v>
      </c>
      <c r="D194" s="158"/>
      <c r="E194" s="158"/>
      <c r="F194" s="158"/>
      <c r="G194" s="158"/>
      <c r="H194" s="159" t="s">
        <v>81</v>
      </c>
      <c r="I194" s="216">
        <f t="shared" ref="I194:R194" si="42">$H$11*I191</f>
        <v>0</v>
      </c>
      <c r="J194" s="216">
        <f t="shared" si="42"/>
        <v>0</v>
      </c>
      <c r="K194" s="216">
        <f t="shared" si="42"/>
        <v>0</v>
      </c>
      <c r="L194" s="216">
        <f t="shared" si="42"/>
        <v>0</v>
      </c>
      <c r="M194" s="216">
        <f t="shared" si="42"/>
        <v>0</v>
      </c>
      <c r="N194" s="216">
        <f t="shared" si="42"/>
        <v>0</v>
      </c>
      <c r="O194" s="216">
        <f t="shared" si="42"/>
        <v>0</v>
      </c>
      <c r="P194" s="216">
        <f t="shared" si="42"/>
        <v>0</v>
      </c>
      <c r="Q194" s="216">
        <f t="shared" si="42"/>
        <v>0</v>
      </c>
      <c r="R194" s="216">
        <f t="shared" si="42"/>
        <v>0</v>
      </c>
      <c r="S194" s="108"/>
      <c r="T194" s="108"/>
    </row>
    <row r="195" spans="2:20" hidden="1" outlineLevel="1">
      <c r="B195" s="144"/>
      <c r="C195" s="155" t="s">
        <v>126</v>
      </c>
      <c r="D195" s="156"/>
      <c r="E195" s="156"/>
      <c r="F195" s="156"/>
      <c r="G195" s="156"/>
      <c r="H195" s="154" t="s">
        <v>81</v>
      </c>
      <c r="I195" s="215">
        <f>$H$11*I192</f>
        <v>0</v>
      </c>
      <c r="J195" s="215"/>
      <c r="K195" s="215"/>
      <c r="L195" s="215"/>
      <c r="M195" s="215"/>
      <c r="N195" s="215"/>
      <c r="O195" s="215"/>
      <c r="P195" s="215"/>
      <c r="Q195" s="215"/>
      <c r="R195" s="215"/>
      <c r="S195" s="108"/>
      <c r="T195" s="108"/>
    </row>
    <row r="196" spans="2:20" hidden="1" outlineLevel="1">
      <c r="B196" s="144"/>
      <c r="C196" s="157" t="s">
        <v>127</v>
      </c>
      <c r="D196" s="158"/>
      <c r="E196" s="158"/>
      <c r="F196" s="158"/>
      <c r="G196" s="158"/>
      <c r="H196" s="159"/>
      <c r="I196" s="217">
        <f>IF($H$10=$H$12,$H$9,(1/($H$10-$H$12))*(1-((1+$H$12)/(1+$H$10))^$H$9))</f>
        <v>0.33333301544189453</v>
      </c>
      <c r="J196" s="215"/>
      <c r="K196" s="215"/>
      <c r="L196" s="215"/>
      <c r="M196" s="215"/>
      <c r="N196" s="215"/>
      <c r="O196" s="215"/>
      <c r="P196" s="215"/>
      <c r="Q196" s="215"/>
      <c r="R196" s="215"/>
      <c r="S196" s="108"/>
      <c r="T196" s="108"/>
    </row>
    <row r="197" spans="2:20" hidden="1" outlineLevel="1">
      <c r="B197" s="144"/>
      <c r="C197" s="155" t="s">
        <v>100</v>
      </c>
      <c r="D197" s="156"/>
      <c r="E197" s="156"/>
      <c r="F197" s="156"/>
      <c r="G197" s="156"/>
      <c r="H197" s="154" t="s">
        <v>90</v>
      </c>
      <c r="I197" s="215">
        <f>I195*I196</f>
        <v>0</v>
      </c>
      <c r="J197" s="215"/>
      <c r="K197" s="215"/>
      <c r="L197" s="215"/>
      <c r="M197" s="215"/>
      <c r="N197" s="215"/>
      <c r="O197" s="215"/>
      <c r="P197" s="215"/>
      <c r="Q197" s="215"/>
      <c r="R197" s="215"/>
      <c r="S197" s="108"/>
      <c r="T197" s="108"/>
    </row>
    <row r="198" spans="2:20" hidden="1" outlineLevel="1">
      <c r="B198" s="144"/>
      <c r="C198" s="156"/>
      <c r="D198" s="156"/>
      <c r="E198" s="156"/>
      <c r="F198" s="156"/>
      <c r="G198" s="156"/>
      <c r="H198" s="154"/>
      <c r="I198" s="215"/>
      <c r="J198" s="215"/>
      <c r="K198" s="215"/>
      <c r="L198" s="215"/>
      <c r="M198" s="215"/>
      <c r="N198" s="215"/>
      <c r="O198" s="215"/>
      <c r="P198" s="215"/>
      <c r="Q198" s="215"/>
      <c r="R198" s="215"/>
      <c r="S198" s="108"/>
      <c r="T198" s="108"/>
    </row>
    <row r="199" spans="2:20" hidden="1" outlineLevel="1">
      <c r="B199" s="144"/>
      <c r="C199" s="157" t="s">
        <v>128</v>
      </c>
      <c r="D199" s="158"/>
      <c r="E199" s="158"/>
      <c r="F199" s="158"/>
      <c r="G199" s="158"/>
      <c r="H199" s="159"/>
      <c r="I199" s="216"/>
      <c r="J199" s="216"/>
      <c r="K199" s="216"/>
      <c r="L199" s="216"/>
      <c r="M199" s="216"/>
      <c r="N199" s="216"/>
      <c r="O199" s="216"/>
      <c r="P199" s="216"/>
      <c r="Q199" s="216"/>
      <c r="R199" s="216"/>
      <c r="S199" s="108"/>
      <c r="T199" s="108"/>
    </row>
    <row r="200" spans="2:20" hidden="1" outlineLevel="1">
      <c r="B200" s="144"/>
      <c r="C200" s="381" t="str">
        <f ca="1">("Underhållskostnad " &amp; C165)</f>
        <v>Underhållskostnad Armaturbeteckning</v>
      </c>
      <c r="D200" s="382"/>
      <c r="E200" s="382"/>
      <c r="F200" s="382"/>
      <c r="G200" s="382"/>
      <c r="H200" s="144" t="s">
        <v>81</v>
      </c>
      <c r="I200" s="213">
        <f>I36</f>
        <v>0</v>
      </c>
      <c r="J200" s="213">
        <f>J36</f>
        <v>0</v>
      </c>
      <c r="K200" s="213">
        <f t="shared" ref="K200:R200" si="43">K36</f>
        <v>0</v>
      </c>
      <c r="L200" s="213">
        <f t="shared" si="43"/>
        <v>0</v>
      </c>
      <c r="M200" s="213">
        <f t="shared" si="43"/>
        <v>0</v>
      </c>
      <c r="N200" s="213">
        <f t="shared" si="43"/>
        <v>0</v>
      </c>
      <c r="O200" s="213">
        <f t="shared" si="43"/>
        <v>0</v>
      </c>
      <c r="P200" s="213">
        <f t="shared" si="43"/>
        <v>0</v>
      </c>
      <c r="Q200" s="213">
        <f t="shared" si="43"/>
        <v>0</v>
      </c>
      <c r="R200" s="213">
        <f t="shared" si="43"/>
        <v>0</v>
      </c>
      <c r="S200" s="108"/>
      <c r="T200" s="108"/>
    </row>
    <row r="201" spans="2:20" hidden="1" outlineLevel="1">
      <c r="B201" s="144"/>
      <c r="C201" s="381" t="str">
        <f t="shared" ref="C201:C209" ca="1" si="44">("Underhållskostnad " &amp; C166)</f>
        <v>Underhållskostnad Armaturbeteckning</v>
      </c>
      <c r="D201" s="353"/>
      <c r="E201" s="353"/>
      <c r="F201" s="353"/>
      <c r="G201" s="353"/>
      <c r="H201" s="137" t="s">
        <v>81</v>
      </c>
      <c r="I201" s="206">
        <f>I48</f>
        <v>0</v>
      </c>
      <c r="J201" s="206">
        <f>J48</f>
        <v>0</v>
      </c>
      <c r="K201" s="206">
        <f t="shared" ref="K201:R201" si="45">K48</f>
        <v>0</v>
      </c>
      <c r="L201" s="206">
        <f t="shared" si="45"/>
        <v>0</v>
      </c>
      <c r="M201" s="206">
        <f t="shared" si="45"/>
        <v>0</v>
      </c>
      <c r="N201" s="206">
        <f t="shared" si="45"/>
        <v>0</v>
      </c>
      <c r="O201" s="206">
        <f t="shared" si="45"/>
        <v>0</v>
      </c>
      <c r="P201" s="206">
        <f t="shared" si="45"/>
        <v>0</v>
      </c>
      <c r="Q201" s="206">
        <f t="shared" si="45"/>
        <v>0</v>
      </c>
      <c r="R201" s="206">
        <f t="shared" si="45"/>
        <v>0</v>
      </c>
      <c r="S201" s="108"/>
      <c r="T201" s="108"/>
    </row>
    <row r="202" spans="2:20" hidden="1" outlineLevel="1">
      <c r="B202" s="144"/>
      <c r="C202" s="381" t="str">
        <f t="shared" ca="1" si="44"/>
        <v>Underhållskostnad Armaturbeteckning</v>
      </c>
      <c r="D202" s="147"/>
      <c r="E202" s="147"/>
      <c r="F202" s="147"/>
      <c r="G202" s="147"/>
      <c r="H202" s="144" t="s">
        <v>81</v>
      </c>
      <c r="I202" s="206">
        <f>I60</f>
        <v>0</v>
      </c>
      <c r="J202" s="206">
        <f>J60</f>
        <v>0</v>
      </c>
      <c r="K202" s="206">
        <f t="shared" ref="K202:R202" si="46">K60</f>
        <v>0</v>
      </c>
      <c r="L202" s="206">
        <f t="shared" si="46"/>
        <v>0</v>
      </c>
      <c r="M202" s="206">
        <f t="shared" si="46"/>
        <v>0</v>
      </c>
      <c r="N202" s="206">
        <f t="shared" si="46"/>
        <v>0</v>
      </c>
      <c r="O202" s="206">
        <f t="shared" si="46"/>
        <v>0</v>
      </c>
      <c r="P202" s="206">
        <f t="shared" si="46"/>
        <v>0</v>
      </c>
      <c r="Q202" s="206">
        <f t="shared" si="46"/>
        <v>0</v>
      </c>
      <c r="R202" s="206">
        <f t="shared" si="46"/>
        <v>0</v>
      </c>
      <c r="S202" s="108"/>
      <c r="T202" s="108"/>
    </row>
    <row r="203" spans="2:20" hidden="1" outlineLevel="1">
      <c r="B203" s="144"/>
      <c r="C203" s="381" t="str">
        <f t="shared" ca="1" si="44"/>
        <v>Underhållskostnad Armaturbeteckning</v>
      </c>
      <c r="D203" s="353"/>
      <c r="E203" s="353"/>
      <c r="F203" s="353"/>
      <c r="G203" s="353"/>
      <c r="H203" s="137" t="s">
        <v>81</v>
      </c>
      <c r="I203" s="206">
        <f>I72</f>
        <v>0</v>
      </c>
      <c r="J203" s="206">
        <f>J72</f>
        <v>0</v>
      </c>
      <c r="K203" s="206">
        <f t="shared" ref="K203:R203" si="47">K72</f>
        <v>0</v>
      </c>
      <c r="L203" s="206">
        <f t="shared" si="47"/>
        <v>0</v>
      </c>
      <c r="M203" s="206">
        <f t="shared" si="47"/>
        <v>0</v>
      </c>
      <c r="N203" s="206">
        <f t="shared" si="47"/>
        <v>0</v>
      </c>
      <c r="O203" s="206">
        <f t="shared" si="47"/>
        <v>0</v>
      </c>
      <c r="P203" s="206">
        <f t="shared" si="47"/>
        <v>0</v>
      </c>
      <c r="Q203" s="206">
        <f t="shared" si="47"/>
        <v>0</v>
      </c>
      <c r="R203" s="206">
        <f t="shared" si="47"/>
        <v>0</v>
      </c>
      <c r="S203" s="108"/>
      <c r="T203" s="108"/>
    </row>
    <row r="204" spans="2:20" hidden="1" outlineLevel="1">
      <c r="B204" s="144"/>
      <c r="C204" s="381" t="str">
        <f t="shared" ca="1" si="44"/>
        <v>Underhållskostnad Armaturbeteckning</v>
      </c>
      <c r="D204" s="147"/>
      <c r="E204" s="147"/>
      <c r="F204" s="147"/>
      <c r="G204" s="147"/>
      <c r="H204" s="144" t="s">
        <v>81</v>
      </c>
      <c r="I204" s="206">
        <f>I84</f>
        <v>0</v>
      </c>
      <c r="J204" s="206">
        <f>J84</f>
        <v>0</v>
      </c>
      <c r="K204" s="206">
        <f t="shared" ref="K204:R204" si="48">K84</f>
        <v>0</v>
      </c>
      <c r="L204" s="206">
        <f t="shared" si="48"/>
        <v>0</v>
      </c>
      <c r="M204" s="206">
        <f t="shared" si="48"/>
        <v>0</v>
      </c>
      <c r="N204" s="206">
        <f t="shared" si="48"/>
        <v>0</v>
      </c>
      <c r="O204" s="206">
        <f t="shared" si="48"/>
        <v>0</v>
      </c>
      <c r="P204" s="206">
        <f t="shared" si="48"/>
        <v>0</v>
      </c>
      <c r="Q204" s="206">
        <f t="shared" si="48"/>
        <v>0</v>
      </c>
      <c r="R204" s="206">
        <f t="shared" si="48"/>
        <v>0</v>
      </c>
      <c r="S204" s="108"/>
      <c r="T204" s="108"/>
    </row>
    <row r="205" spans="2:20" hidden="1" outlineLevel="1">
      <c r="B205" s="144"/>
      <c r="C205" s="381" t="str">
        <f t="shared" ca="1" si="44"/>
        <v>Underhållskostnad Armaturbeteckning</v>
      </c>
      <c r="D205" s="353"/>
      <c r="E205" s="353"/>
      <c r="F205" s="353"/>
      <c r="G205" s="353"/>
      <c r="H205" s="137" t="s">
        <v>81</v>
      </c>
      <c r="I205" s="206">
        <f>I96</f>
        <v>0</v>
      </c>
      <c r="J205" s="206">
        <f>J96</f>
        <v>0</v>
      </c>
      <c r="K205" s="206">
        <f t="shared" ref="K205:R205" si="49">K96</f>
        <v>0</v>
      </c>
      <c r="L205" s="206">
        <f t="shared" si="49"/>
        <v>0</v>
      </c>
      <c r="M205" s="206">
        <f t="shared" si="49"/>
        <v>0</v>
      </c>
      <c r="N205" s="206">
        <f t="shared" si="49"/>
        <v>0</v>
      </c>
      <c r="O205" s="206">
        <f t="shared" si="49"/>
        <v>0</v>
      </c>
      <c r="P205" s="206">
        <f t="shared" si="49"/>
        <v>0</v>
      </c>
      <c r="Q205" s="206">
        <f t="shared" si="49"/>
        <v>0</v>
      </c>
      <c r="R205" s="206">
        <f t="shared" si="49"/>
        <v>0</v>
      </c>
      <c r="S205" s="108"/>
      <c r="T205" s="108"/>
    </row>
    <row r="206" spans="2:20" hidden="1" outlineLevel="1">
      <c r="B206" s="144"/>
      <c r="C206" s="381" t="str">
        <f t="shared" ca="1" si="44"/>
        <v>Underhållskostnad Armaturbeteckning</v>
      </c>
      <c r="D206" s="147"/>
      <c r="E206" s="147"/>
      <c r="F206" s="147"/>
      <c r="G206" s="147"/>
      <c r="H206" s="144" t="s">
        <v>81</v>
      </c>
      <c r="I206" s="206">
        <f>I108</f>
        <v>0</v>
      </c>
      <c r="J206" s="206">
        <f>J108</f>
        <v>0</v>
      </c>
      <c r="K206" s="206">
        <f t="shared" ref="K206:R206" si="50">K108</f>
        <v>0</v>
      </c>
      <c r="L206" s="206">
        <f t="shared" si="50"/>
        <v>0</v>
      </c>
      <c r="M206" s="206">
        <f t="shared" si="50"/>
        <v>0</v>
      </c>
      <c r="N206" s="206">
        <f t="shared" si="50"/>
        <v>0</v>
      </c>
      <c r="O206" s="206">
        <f t="shared" si="50"/>
        <v>0</v>
      </c>
      <c r="P206" s="206">
        <f t="shared" si="50"/>
        <v>0</v>
      </c>
      <c r="Q206" s="206">
        <f t="shared" si="50"/>
        <v>0</v>
      </c>
      <c r="R206" s="206">
        <f t="shared" si="50"/>
        <v>0</v>
      </c>
      <c r="S206" s="108"/>
      <c r="T206" s="108"/>
    </row>
    <row r="207" spans="2:20" hidden="1" outlineLevel="1">
      <c r="B207" s="144"/>
      <c r="C207" s="381" t="str">
        <f t="shared" ca="1" si="44"/>
        <v>Underhållskostnad Armaturbeteckning</v>
      </c>
      <c r="D207" s="353"/>
      <c r="E207" s="353"/>
      <c r="F207" s="353"/>
      <c r="G207" s="353"/>
      <c r="H207" s="137" t="s">
        <v>81</v>
      </c>
      <c r="I207" s="206">
        <f>I120</f>
        <v>0</v>
      </c>
      <c r="J207" s="206">
        <f>J120</f>
        <v>0</v>
      </c>
      <c r="K207" s="206">
        <f t="shared" ref="K207:R207" si="51">K120</f>
        <v>0</v>
      </c>
      <c r="L207" s="206">
        <f t="shared" si="51"/>
        <v>0</v>
      </c>
      <c r="M207" s="206">
        <f t="shared" si="51"/>
        <v>0</v>
      </c>
      <c r="N207" s="206">
        <f t="shared" si="51"/>
        <v>0</v>
      </c>
      <c r="O207" s="206">
        <f t="shared" si="51"/>
        <v>0</v>
      </c>
      <c r="P207" s="206">
        <f t="shared" si="51"/>
        <v>0</v>
      </c>
      <c r="Q207" s="206">
        <f t="shared" si="51"/>
        <v>0</v>
      </c>
      <c r="R207" s="206">
        <f t="shared" si="51"/>
        <v>0</v>
      </c>
      <c r="S207" s="108"/>
      <c r="T207" s="108"/>
    </row>
    <row r="208" spans="2:20" hidden="1" outlineLevel="1">
      <c r="B208" s="144"/>
      <c r="C208" s="381" t="str">
        <f t="shared" ca="1" si="44"/>
        <v>Underhållskostnad Armaturbeteckning</v>
      </c>
      <c r="D208" s="147"/>
      <c r="E208" s="147"/>
      <c r="F208" s="147"/>
      <c r="G208" s="147"/>
      <c r="H208" s="144" t="s">
        <v>81</v>
      </c>
      <c r="I208" s="206">
        <f>I132</f>
        <v>0</v>
      </c>
      <c r="J208" s="206">
        <f>J132</f>
        <v>0</v>
      </c>
      <c r="K208" s="206">
        <f t="shared" ref="K208:R208" si="52">K132</f>
        <v>0</v>
      </c>
      <c r="L208" s="206">
        <f t="shared" si="52"/>
        <v>0</v>
      </c>
      <c r="M208" s="206">
        <f t="shared" si="52"/>
        <v>0</v>
      </c>
      <c r="N208" s="206">
        <f t="shared" si="52"/>
        <v>0</v>
      </c>
      <c r="O208" s="206">
        <f t="shared" si="52"/>
        <v>0</v>
      </c>
      <c r="P208" s="206">
        <f t="shared" si="52"/>
        <v>0</v>
      </c>
      <c r="Q208" s="206">
        <f t="shared" si="52"/>
        <v>0</v>
      </c>
      <c r="R208" s="206">
        <f t="shared" si="52"/>
        <v>0</v>
      </c>
      <c r="S208" s="108"/>
      <c r="T208" s="108"/>
    </row>
    <row r="209" spans="2:20" hidden="1" outlineLevel="1">
      <c r="B209" s="144"/>
      <c r="C209" s="381" t="str">
        <f t="shared" ca="1" si="44"/>
        <v>Underhållskostnad Armaturbeteckning</v>
      </c>
      <c r="D209" s="353"/>
      <c r="E209" s="353"/>
      <c r="F209" s="353"/>
      <c r="G209" s="353"/>
      <c r="H209" s="137" t="s">
        <v>81</v>
      </c>
      <c r="I209" s="206">
        <f>I144</f>
        <v>0</v>
      </c>
      <c r="J209" s="206">
        <f>J144</f>
        <v>0</v>
      </c>
      <c r="K209" s="206">
        <f t="shared" ref="K209:R209" si="53">K144</f>
        <v>0</v>
      </c>
      <c r="L209" s="206">
        <f t="shared" si="53"/>
        <v>0</v>
      </c>
      <c r="M209" s="206">
        <f t="shared" si="53"/>
        <v>0</v>
      </c>
      <c r="N209" s="206">
        <f t="shared" si="53"/>
        <v>0</v>
      </c>
      <c r="O209" s="206">
        <f t="shared" si="53"/>
        <v>0</v>
      </c>
      <c r="P209" s="206">
        <f t="shared" si="53"/>
        <v>0</v>
      </c>
      <c r="Q209" s="206">
        <f t="shared" si="53"/>
        <v>0</v>
      </c>
      <c r="R209" s="206">
        <f t="shared" si="53"/>
        <v>0</v>
      </c>
      <c r="S209" s="108"/>
      <c r="T209" s="108"/>
    </row>
    <row r="210" spans="2:20" hidden="1" outlineLevel="1">
      <c r="B210" s="144"/>
      <c r="C210" s="160" t="s">
        <v>139</v>
      </c>
      <c r="D210" s="152"/>
      <c r="E210" s="152"/>
      <c r="F210" s="152"/>
      <c r="G210" s="152"/>
      <c r="H210" s="153" t="s">
        <v>81</v>
      </c>
      <c r="I210" s="214">
        <f>SUM(I200:I209)</f>
        <v>0</v>
      </c>
      <c r="J210" s="214">
        <f>SUM(J200:J209)</f>
        <v>0</v>
      </c>
      <c r="K210" s="214">
        <f t="shared" ref="K210:R210" si="54">SUM(K200:K209)</f>
        <v>0</v>
      </c>
      <c r="L210" s="214">
        <f t="shared" si="54"/>
        <v>0</v>
      </c>
      <c r="M210" s="214">
        <f t="shared" si="54"/>
        <v>0</v>
      </c>
      <c r="N210" s="214">
        <f t="shared" si="54"/>
        <v>0</v>
      </c>
      <c r="O210" s="214">
        <f t="shared" si="54"/>
        <v>0</v>
      </c>
      <c r="P210" s="214">
        <f t="shared" si="54"/>
        <v>0</v>
      </c>
      <c r="Q210" s="214">
        <f t="shared" si="54"/>
        <v>0</v>
      </c>
      <c r="R210" s="214">
        <f t="shared" si="54"/>
        <v>0</v>
      </c>
      <c r="S210" s="108"/>
      <c r="T210" s="108"/>
    </row>
    <row r="211" spans="2:20" hidden="1" outlineLevel="1">
      <c r="B211" s="144"/>
      <c r="C211" s="145" t="s">
        <v>140</v>
      </c>
      <c r="D211" s="141"/>
      <c r="E211" s="141"/>
      <c r="F211" s="141"/>
      <c r="G211" s="141"/>
      <c r="H211" s="139" t="s">
        <v>81</v>
      </c>
      <c r="I211" s="206">
        <f>SUM(I210:XFD210)</f>
        <v>0</v>
      </c>
      <c r="J211" s="206"/>
      <c r="K211" s="206"/>
      <c r="L211" s="206"/>
      <c r="M211" s="206"/>
      <c r="N211" s="206"/>
      <c r="O211" s="206"/>
      <c r="P211" s="206"/>
      <c r="Q211" s="206"/>
      <c r="R211" s="206"/>
      <c r="S211" s="108"/>
      <c r="T211" s="108"/>
    </row>
    <row r="212" spans="2:20" ht="12.75" hidden="1" customHeight="1" outlineLevel="1">
      <c r="B212" s="144"/>
      <c r="C212" s="146" t="s">
        <v>127</v>
      </c>
      <c r="D212" s="140"/>
      <c r="E212" s="140"/>
      <c r="F212" s="140"/>
      <c r="G212" s="140"/>
      <c r="H212" s="138"/>
      <c r="I212" s="212">
        <f>(1/$H$10)*(1-(1/(1+$H$10))^$H$9)</f>
        <v>0.19999999999999996</v>
      </c>
      <c r="J212" s="206"/>
      <c r="K212" s="206"/>
      <c r="L212" s="206"/>
      <c r="M212" s="206"/>
      <c r="N212" s="206"/>
      <c r="O212" s="206"/>
      <c r="P212" s="206"/>
      <c r="Q212" s="206"/>
      <c r="R212" s="206"/>
      <c r="S212" s="108"/>
      <c r="T212" s="108"/>
    </row>
    <row r="213" spans="2:20" ht="12.75" hidden="1" customHeight="1" outlineLevel="1">
      <c r="B213" s="144"/>
      <c r="C213" s="145" t="s">
        <v>141</v>
      </c>
      <c r="D213" s="141"/>
      <c r="E213" s="141"/>
      <c r="F213" s="141"/>
      <c r="G213" s="141"/>
      <c r="H213" s="139" t="s">
        <v>90</v>
      </c>
      <c r="I213" s="206">
        <f>I212*I211</f>
        <v>0</v>
      </c>
      <c r="J213" s="206"/>
      <c r="K213" s="206"/>
      <c r="L213" s="206"/>
      <c r="M213" s="206"/>
      <c r="N213" s="206"/>
      <c r="O213" s="206"/>
      <c r="P213" s="206"/>
      <c r="Q213" s="206"/>
      <c r="R213" s="206"/>
      <c r="S213" s="108"/>
      <c r="T213" s="108"/>
    </row>
    <row r="214" spans="2:20" ht="12.75" hidden="1" customHeight="1" outlineLevel="1">
      <c r="B214" s="144"/>
      <c r="C214" s="156"/>
      <c r="D214" s="156"/>
      <c r="E214" s="156"/>
      <c r="F214" s="156"/>
      <c r="G214" s="156"/>
      <c r="H214" s="154"/>
      <c r="I214" s="215"/>
      <c r="J214" s="215"/>
      <c r="K214" s="215"/>
      <c r="L214" s="215"/>
      <c r="M214" s="215"/>
      <c r="N214" s="215"/>
      <c r="O214" s="215"/>
      <c r="P214" s="215"/>
      <c r="Q214" s="215"/>
      <c r="R214" s="215"/>
      <c r="S214" s="108"/>
      <c r="T214" s="108"/>
    </row>
    <row r="215" spans="2:20" ht="12.75" hidden="1" customHeight="1" outlineLevel="1">
      <c r="B215" s="144"/>
      <c r="C215" s="157" t="s">
        <v>142</v>
      </c>
      <c r="D215" s="158"/>
      <c r="E215" s="158"/>
      <c r="F215" s="158"/>
      <c r="G215" s="158"/>
      <c r="H215" s="159"/>
      <c r="I215" s="216">
        <f t="shared" ref="I215:R215" si="55">SUM(I181:I190)*$H$13</f>
        <v>0</v>
      </c>
      <c r="J215" s="216">
        <f t="shared" si="55"/>
        <v>0</v>
      </c>
      <c r="K215" s="216">
        <f t="shared" si="55"/>
        <v>0</v>
      </c>
      <c r="L215" s="216">
        <f t="shared" si="55"/>
        <v>0</v>
      </c>
      <c r="M215" s="216">
        <f t="shared" si="55"/>
        <v>0</v>
      </c>
      <c r="N215" s="216">
        <f t="shared" si="55"/>
        <v>0</v>
      </c>
      <c r="O215" s="216">
        <f t="shared" si="55"/>
        <v>0</v>
      </c>
      <c r="P215" s="216">
        <f t="shared" si="55"/>
        <v>0</v>
      </c>
      <c r="Q215" s="216">
        <f t="shared" si="55"/>
        <v>0</v>
      </c>
      <c r="R215" s="216">
        <f t="shared" si="55"/>
        <v>0</v>
      </c>
      <c r="S215" s="108"/>
      <c r="T215" s="108"/>
    </row>
    <row r="216" spans="2:20" ht="12.75" hidden="1" customHeight="1" outlineLevel="1">
      <c r="B216" s="144"/>
      <c r="C216" s="161" t="s">
        <v>92</v>
      </c>
      <c r="D216" s="162"/>
      <c r="E216" s="162"/>
      <c r="F216" s="162"/>
      <c r="G216" s="162"/>
      <c r="H216" s="163" t="s">
        <v>143</v>
      </c>
      <c r="I216" s="218">
        <f>SUM(I217:I226)</f>
        <v>0</v>
      </c>
      <c r="J216" s="218">
        <f>SUM(J217:J226)</f>
        <v>0</v>
      </c>
      <c r="K216" s="218">
        <f t="shared" ref="K216:R216" si="56">SUM(K217:K226)</f>
        <v>0</v>
      </c>
      <c r="L216" s="218">
        <f t="shared" si="56"/>
        <v>0</v>
      </c>
      <c r="M216" s="218">
        <f t="shared" si="56"/>
        <v>0</v>
      </c>
      <c r="N216" s="218">
        <f t="shared" si="56"/>
        <v>0</v>
      </c>
      <c r="O216" s="218">
        <f t="shared" si="56"/>
        <v>0</v>
      </c>
      <c r="P216" s="218">
        <f t="shared" si="56"/>
        <v>0</v>
      </c>
      <c r="Q216" s="218">
        <f t="shared" si="56"/>
        <v>0</v>
      </c>
      <c r="R216" s="218">
        <f t="shared" si="56"/>
        <v>0</v>
      </c>
      <c r="S216" s="108"/>
      <c r="T216" s="108"/>
    </row>
    <row r="217" spans="2:20" ht="12.75" hidden="1" customHeight="1" outlineLevel="1">
      <c r="B217" s="144"/>
      <c r="C217" s="148" t="s">
        <v>144</v>
      </c>
      <c r="D217" s="147"/>
      <c r="E217" s="147"/>
      <c r="F217" s="147"/>
      <c r="G217" s="147"/>
      <c r="H217" s="144" t="s">
        <v>143</v>
      </c>
      <c r="I217" s="213">
        <f>IF(I$19&lt;&gt;"",(I27*I30*$H$14*I35/1000)/I24,0)</f>
        <v>0</v>
      </c>
      <c r="J217" s="213">
        <f t="shared" ref="J217:R217" si="57">IF(J$19&lt;&gt;"",(J27*J30*$H$14*J35/1000)/J24,0)</f>
        <v>0</v>
      </c>
      <c r="K217" s="213">
        <f t="shared" si="57"/>
        <v>0</v>
      </c>
      <c r="L217" s="213">
        <f t="shared" si="57"/>
        <v>0</v>
      </c>
      <c r="M217" s="213">
        <f t="shared" si="57"/>
        <v>0</v>
      </c>
      <c r="N217" s="213">
        <f t="shared" si="57"/>
        <v>0</v>
      </c>
      <c r="O217" s="213">
        <f t="shared" si="57"/>
        <v>0</v>
      </c>
      <c r="P217" s="213">
        <f t="shared" si="57"/>
        <v>0</v>
      </c>
      <c r="Q217" s="213">
        <f t="shared" si="57"/>
        <v>0</v>
      </c>
      <c r="R217" s="213">
        <f t="shared" si="57"/>
        <v>0</v>
      </c>
      <c r="S217" s="108"/>
      <c r="T217" s="108"/>
    </row>
    <row r="218" spans="2:20" ht="12.75" hidden="1" customHeight="1" outlineLevel="1">
      <c r="B218" s="144"/>
      <c r="C218" s="597" t="s">
        <v>145</v>
      </c>
      <c r="D218" s="584"/>
      <c r="E218" s="584"/>
      <c r="F218" s="584"/>
      <c r="G218" s="584"/>
      <c r="H218" s="137" t="s">
        <v>143</v>
      </c>
      <c r="I218" s="206">
        <f>IF(I$19&lt;&gt;"",(I39*I42*$H$14*I47/1000)/I24,0)</f>
        <v>0</v>
      </c>
      <c r="J218" s="206">
        <f t="shared" ref="J218:R218" si="58">IF(J$19&lt;&gt;"",(J39*J42*$H$14*J47/1000)/J24,0)</f>
        <v>0</v>
      </c>
      <c r="K218" s="206">
        <f t="shared" si="58"/>
        <v>0</v>
      </c>
      <c r="L218" s="206">
        <f t="shared" si="58"/>
        <v>0</v>
      </c>
      <c r="M218" s="206">
        <f t="shared" si="58"/>
        <v>0</v>
      </c>
      <c r="N218" s="206">
        <f t="shared" si="58"/>
        <v>0</v>
      </c>
      <c r="O218" s="206">
        <f t="shared" si="58"/>
        <v>0</v>
      </c>
      <c r="P218" s="206">
        <f t="shared" si="58"/>
        <v>0</v>
      </c>
      <c r="Q218" s="206">
        <f t="shared" si="58"/>
        <v>0</v>
      </c>
      <c r="R218" s="206">
        <f t="shared" si="58"/>
        <v>0</v>
      </c>
      <c r="S218" s="108"/>
      <c r="T218" s="108"/>
    </row>
    <row r="219" spans="2:20" ht="12.75" hidden="1" customHeight="1" outlineLevel="1">
      <c r="B219" s="144"/>
      <c r="C219" s="148" t="s">
        <v>146</v>
      </c>
      <c r="D219" s="147"/>
      <c r="E219" s="147"/>
      <c r="F219" s="147"/>
      <c r="G219" s="147"/>
      <c r="H219" s="144" t="s">
        <v>143</v>
      </c>
      <c r="I219" s="206">
        <f>IF(I$19&lt;&gt;"",(I51*I54*$H$14*I59/1000)/I24,0)</f>
        <v>0</v>
      </c>
      <c r="J219" s="206">
        <f t="shared" ref="J219:R219" si="59">IF(J$19&lt;&gt;"",(J51*J54*$H$14*J59/1000)/J24,0)</f>
        <v>0</v>
      </c>
      <c r="K219" s="206">
        <f t="shared" si="59"/>
        <v>0</v>
      </c>
      <c r="L219" s="206">
        <f t="shared" si="59"/>
        <v>0</v>
      </c>
      <c r="M219" s="206">
        <f t="shared" si="59"/>
        <v>0</v>
      </c>
      <c r="N219" s="206">
        <f t="shared" si="59"/>
        <v>0</v>
      </c>
      <c r="O219" s="206">
        <f t="shared" si="59"/>
        <v>0</v>
      </c>
      <c r="P219" s="206">
        <f t="shared" si="59"/>
        <v>0</v>
      </c>
      <c r="Q219" s="206">
        <f t="shared" si="59"/>
        <v>0</v>
      </c>
      <c r="R219" s="206">
        <f t="shared" si="59"/>
        <v>0</v>
      </c>
      <c r="S219" s="108"/>
      <c r="T219" s="108"/>
    </row>
    <row r="220" spans="2:20" ht="12.75" hidden="1" customHeight="1" outlineLevel="1">
      <c r="B220" s="144"/>
      <c r="C220" s="597" t="s">
        <v>147</v>
      </c>
      <c r="D220" s="584"/>
      <c r="E220" s="584"/>
      <c r="F220" s="584"/>
      <c r="G220" s="584"/>
      <c r="H220" s="137" t="s">
        <v>143</v>
      </c>
      <c r="I220" s="206">
        <f>IF(I$19&lt;&gt;"",(I63*I66*$H$14*I71/1000)/I24,0)</f>
        <v>0</v>
      </c>
      <c r="J220" s="206">
        <f t="shared" ref="J220:R220" si="60">IF(J$19&lt;&gt;"",(J63*J66*$H$14*J71/1000)/J24,0)</f>
        <v>0</v>
      </c>
      <c r="K220" s="206">
        <f t="shared" si="60"/>
        <v>0</v>
      </c>
      <c r="L220" s="206">
        <f t="shared" si="60"/>
        <v>0</v>
      </c>
      <c r="M220" s="206">
        <f t="shared" si="60"/>
        <v>0</v>
      </c>
      <c r="N220" s="206">
        <f t="shared" si="60"/>
        <v>0</v>
      </c>
      <c r="O220" s="206">
        <f t="shared" si="60"/>
        <v>0</v>
      </c>
      <c r="P220" s="206">
        <f t="shared" si="60"/>
        <v>0</v>
      </c>
      <c r="Q220" s="206">
        <f t="shared" si="60"/>
        <v>0</v>
      </c>
      <c r="R220" s="206">
        <f t="shared" si="60"/>
        <v>0</v>
      </c>
      <c r="S220" s="108"/>
      <c r="T220" s="108"/>
    </row>
    <row r="221" spans="2:20" ht="12.75" hidden="1" customHeight="1" outlineLevel="1">
      <c r="B221" s="144"/>
      <c r="C221" s="148" t="s">
        <v>148</v>
      </c>
      <c r="D221" s="147"/>
      <c r="E221" s="147"/>
      <c r="F221" s="147"/>
      <c r="G221" s="147"/>
      <c r="H221" s="144" t="s">
        <v>143</v>
      </c>
      <c r="I221" s="206">
        <f>IF(I$19&lt;&gt;"",(I75*I78*$H$14*I83/1000)/I24,0)</f>
        <v>0</v>
      </c>
      <c r="J221" s="206">
        <f t="shared" ref="J221:R221" si="61">IF(J$19&lt;&gt;"",(J75*J78*$H$14*J83/1000)/J24,0)</f>
        <v>0</v>
      </c>
      <c r="K221" s="206">
        <f t="shared" si="61"/>
        <v>0</v>
      </c>
      <c r="L221" s="206">
        <f t="shared" si="61"/>
        <v>0</v>
      </c>
      <c r="M221" s="206">
        <f t="shared" si="61"/>
        <v>0</v>
      </c>
      <c r="N221" s="206">
        <f t="shared" si="61"/>
        <v>0</v>
      </c>
      <c r="O221" s="206">
        <f t="shared" si="61"/>
        <v>0</v>
      </c>
      <c r="P221" s="206">
        <f t="shared" si="61"/>
        <v>0</v>
      </c>
      <c r="Q221" s="206">
        <f t="shared" si="61"/>
        <v>0</v>
      </c>
      <c r="R221" s="206">
        <f t="shared" si="61"/>
        <v>0</v>
      </c>
      <c r="S221" s="108"/>
      <c r="T221" s="108"/>
    </row>
    <row r="222" spans="2:20" ht="12.75" hidden="1" customHeight="1" outlineLevel="1">
      <c r="B222" s="144"/>
      <c r="C222" s="597" t="s">
        <v>149</v>
      </c>
      <c r="D222" s="584"/>
      <c r="E222" s="584"/>
      <c r="F222" s="584"/>
      <c r="G222" s="584"/>
      <c r="H222" s="137" t="s">
        <v>143</v>
      </c>
      <c r="I222" s="206">
        <f>IF(I$19&lt;&gt;"",(I87*I90*$H$14*I95/1000)/I24,0)</f>
        <v>0</v>
      </c>
      <c r="J222" s="206">
        <f t="shared" ref="J222:R222" si="62">IF(J$19&lt;&gt;"",(J87*J90*$H$14*J95/1000)/J24,0)</f>
        <v>0</v>
      </c>
      <c r="K222" s="206">
        <f t="shared" si="62"/>
        <v>0</v>
      </c>
      <c r="L222" s="206">
        <f t="shared" si="62"/>
        <v>0</v>
      </c>
      <c r="M222" s="206">
        <f t="shared" si="62"/>
        <v>0</v>
      </c>
      <c r="N222" s="206">
        <f t="shared" si="62"/>
        <v>0</v>
      </c>
      <c r="O222" s="206">
        <f t="shared" si="62"/>
        <v>0</v>
      </c>
      <c r="P222" s="206">
        <f t="shared" si="62"/>
        <v>0</v>
      </c>
      <c r="Q222" s="206">
        <f t="shared" si="62"/>
        <v>0</v>
      </c>
      <c r="R222" s="206">
        <f t="shared" si="62"/>
        <v>0</v>
      </c>
      <c r="S222" s="108"/>
      <c r="T222" s="108"/>
    </row>
    <row r="223" spans="2:20" ht="12.75" hidden="1" customHeight="1" outlineLevel="1">
      <c r="B223" s="144"/>
      <c r="C223" s="148" t="s">
        <v>150</v>
      </c>
      <c r="D223" s="147"/>
      <c r="E223" s="147"/>
      <c r="F223" s="147"/>
      <c r="G223" s="147"/>
      <c r="H223" s="144" t="s">
        <v>143</v>
      </c>
      <c r="I223" s="206">
        <f>IF(I$19&lt;&gt;"",(I99*I102*$H$14*I107/1000)/I24,0)</f>
        <v>0</v>
      </c>
      <c r="J223" s="206">
        <f t="shared" ref="J223:R223" si="63">IF(J$19&lt;&gt;"",(J99*J102*$H$14*J107/1000)/J24,0)</f>
        <v>0</v>
      </c>
      <c r="K223" s="206">
        <f t="shared" si="63"/>
        <v>0</v>
      </c>
      <c r="L223" s="206">
        <f t="shared" si="63"/>
        <v>0</v>
      </c>
      <c r="M223" s="206">
        <f t="shared" si="63"/>
        <v>0</v>
      </c>
      <c r="N223" s="206">
        <f t="shared" si="63"/>
        <v>0</v>
      </c>
      <c r="O223" s="206">
        <f t="shared" si="63"/>
        <v>0</v>
      </c>
      <c r="P223" s="206">
        <f t="shared" si="63"/>
        <v>0</v>
      </c>
      <c r="Q223" s="206">
        <f t="shared" si="63"/>
        <v>0</v>
      </c>
      <c r="R223" s="206">
        <f t="shared" si="63"/>
        <v>0</v>
      </c>
      <c r="S223" s="108"/>
      <c r="T223" s="108"/>
    </row>
    <row r="224" spans="2:20" ht="12.75" hidden="1" customHeight="1" outlineLevel="1">
      <c r="B224" s="144"/>
      <c r="C224" s="597" t="s">
        <v>151</v>
      </c>
      <c r="D224" s="584"/>
      <c r="E224" s="584"/>
      <c r="F224" s="584"/>
      <c r="G224" s="584"/>
      <c r="H224" s="137" t="s">
        <v>143</v>
      </c>
      <c r="I224" s="206">
        <f>IF(I$19&lt;&gt;"",(I111*I114*$H$14*I119/1000)/I24,0)</f>
        <v>0</v>
      </c>
      <c r="J224" s="206">
        <f t="shared" ref="J224:R224" si="64">IF(J$19&lt;&gt;"",(J111*J114*$H$14*J119/1000)/J24,0)</f>
        <v>0</v>
      </c>
      <c r="K224" s="206">
        <f t="shared" si="64"/>
        <v>0</v>
      </c>
      <c r="L224" s="206">
        <f t="shared" si="64"/>
        <v>0</v>
      </c>
      <c r="M224" s="206">
        <f t="shared" si="64"/>
        <v>0</v>
      </c>
      <c r="N224" s="206">
        <f t="shared" si="64"/>
        <v>0</v>
      </c>
      <c r="O224" s="206">
        <f t="shared" si="64"/>
        <v>0</v>
      </c>
      <c r="P224" s="206">
        <f t="shared" si="64"/>
        <v>0</v>
      </c>
      <c r="Q224" s="206">
        <f t="shared" si="64"/>
        <v>0</v>
      </c>
      <c r="R224" s="206">
        <f t="shared" si="64"/>
        <v>0</v>
      </c>
      <c r="S224" s="108"/>
      <c r="T224" s="108"/>
    </row>
    <row r="225" spans="2:20" ht="12.75" hidden="1" customHeight="1" outlineLevel="1">
      <c r="B225" s="144"/>
      <c r="C225" s="148" t="s">
        <v>152</v>
      </c>
      <c r="D225" s="147"/>
      <c r="E225" s="147"/>
      <c r="F225" s="147"/>
      <c r="G225" s="147"/>
      <c r="H225" s="144" t="s">
        <v>143</v>
      </c>
      <c r="I225" s="206">
        <f>IF(I$19&lt;&gt;"",(I123*I126*$H$14*I131/1000)/I24,0)</f>
        <v>0</v>
      </c>
      <c r="J225" s="206">
        <f t="shared" ref="J225:R225" si="65">IF(J$19&lt;&gt;"",(J123*J126*$H$14*J131/1000)/J24,0)</f>
        <v>0</v>
      </c>
      <c r="K225" s="206">
        <f t="shared" si="65"/>
        <v>0</v>
      </c>
      <c r="L225" s="206">
        <f t="shared" si="65"/>
        <v>0</v>
      </c>
      <c r="M225" s="206">
        <f t="shared" si="65"/>
        <v>0</v>
      </c>
      <c r="N225" s="206">
        <f t="shared" si="65"/>
        <v>0</v>
      </c>
      <c r="O225" s="206">
        <f t="shared" si="65"/>
        <v>0</v>
      </c>
      <c r="P225" s="206">
        <f t="shared" si="65"/>
        <v>0</v>
      </c>
      <c r="Q225" s="206">
        <f t="shared" si="65"/>
        <v>0</v>
      </c>
      <c r="R225" s="206">
        <f t="shared" si="65"/>
        <v>0</v>
      </c>
      <c r="S225" s="108"/>
      <c r="T225" s="108"/>
    </row>
    <row r="226" spans="2:20" ht="12.75" hidden="1" customHeight="1" outlineLevel="1">
      <c r="B226" s="144"/>
      <c r="C226" s="597" t="s">
        <v>153</v>
      </c>
      <c r="D226" s="584"/>
      <c r="E226" s="584"/>
      <c r="F226" s="584"/>
      <c r="G226" s="584"/>
      <c r="H226" s="137" t="s">
        <v>143</v>
      </c>
      <c r="I226" s="206">
        <f>IF(I$19&lt;&gt;"",(I135*I138*$H$14*I143/1000)/I24,0)</f>
        <v>0</v>
      </c>
      <c r="J226" s="206">
        <f t="shared" ref="J226:R226" si="66">IF(J$19&lt;&gt;"",(J135*J138*$H$14*J143/1000)/J24,0)</f>
        <v>0</v>
      </c>
      <c r="K226" s="206">
        <f t="shared" si="66"/>
        <v>0</v>
      </c>
      <c r="L226" s="206">
        <f t="shared" si="66"/>
        <v>0</v>
      </c>
      <c r="M226" s="206">
        <f t="shared" si="66"/>
        <v>0</v>
      </c>
      <c r="N226" s="206">
        <f t="shared" si="66"/>
        <v>0</v>
      </c>
      <c r="O226" s="206">
        <f t="shared" si="66"/>
        <v>0</v>
      </c>
      <c r="P226" s="206">
        <f t="shared" si="66"/>
        <v>0</v>
      </c>
      <c r="Q226" s="206">
        <f t="shared" si="66"/>
        <v>0</v>
      </c>
      <c r="R226" s="206">
        <f t="shared" si="66"/>
        <v>0</v>
      </c>
      <c r="S226" s="108"/>
      <c r="T226" s="108"/>
    </row>
    <row r="227" spans="2:20" ht="13.25" hidden="1" customHeight="1" outlineLevel="1">
      <c r="B227" s="378"/>
      <c r="C227" s="593" t="s">
        <v>154</v>
      </c>
      <c r="D227" s="593"/>
      <c r="E227" s="593"/>
      <c r="F227" s="593"/>
      <c r="G227" s="593"/>
      <c r="H227" s="378" t="s">
        <v>90</v>
      </c>
      <c r="I227" s="380">
        <f>I213+I197</f>
        <v>0</v>
      </c>
      <c r="J227" s="380"/>
      <c r="K227" s="380"/>
      <c r="L227" s="380"/>
      <c r="M227" s="380"/>
      <c r="N227" s="380"/>
      <c r="O227" s="380"/>
      <c r="P227" s="380"/>
      <c r="Q227" s="380"/>
      <c r="R227" s="380"/>
      <c r="S227" s="380"/>
      <c r="T227" s="380"/>
    </row>
    <row r="228" spans="2:20" ht="29.25" hidden="1" customHeight="1" outlineLevel="1">
      <c r="B228" s="383"/>
      <c r="C228" s="384" t="s">
        <v>155</v>
      </c>
      <c r="D228" s="384"/>
      <c r="E228" s="384"/>
      <c r="F228" s="384"/>
      <c r="G228" s="384"/>
      <c r="H228" s="384" t="s">
        <v>90</v>
      </c>
      <c r="I228" s="385" t="e">
        <f>I227+I176</f>
        <v>#VALUE!</v>
      </c>
      <c r="J228" s="385"/>
      <c r="K228" s="385"/>
      <c r="L228" s="385"/>
      <c r="M228" s="385"/>
      <c r="N228" s="385"/>
      <c r="O228" s="385"/>
      <c r="P228" s="385"/>
      <c r="Q228" s="385"/>
      <c r="R228" s="385"/>
      <c r="S228" s="385"/>
      <c r="T228" s="385"/>
    </row>
    <row r="229" spans="2:20" collapsed="1">
      <c r="C229" s="188"/>
      <c r="D229" s="188"/>
      <c r="E229" s="189"/>
      <c r="F229" s="189"/>
      <c r="G229" s="189"/>
      <c r="H229" s="189"/>
      <c r="I229" s="189"/>
      <c r="J229" s="193"/>
      <c r="K229" s="191"/>
    </row>
    <row r="230" spans="2:20">
      <c r="F230" s="193"/>
      <c r="G230" s="193"/>
      <c r="H230" s="193"/>
      <c r="I230" s="475"/>
      <c r="J230" s="193"/>
      <c r="K230" s="191"/>
    </row>
    <row r="232" spans="2:20">
      <c r="I232" s="192" t="s">
        <v>70</v>
      </c>
    </row>
    <row r="233" spans="2:20">
      <c r="I233" s="192" t="s">
        <v>156</v>
      </c>
    </row>
    <row r="234" spans="2:20">
      <c r="I234" s="192" t="s">
        <v>82</v>
      </c>
    </row>
    <row r="235" spans="2:20">
      <c r="I235" s="192" t="s">
        <v>157</v>
      </c>
    </row>
  </sheetData>
  <sheetProtection algorithmName="SHA-512" hashValue="kyjdoWY5HaHie5xUfC2qrYFsRg+hUJrV9GhIf8AVZ4P/OYPv8VAyHDteADuvD8yzIcmRXVnKsa/D7Z1JbC0dZQ==" saltValue="ZyaQeEALZ73f5u34CWMCIA==" spinCount="100000" sheet="1" selectLockedCells="1"/>
  <mergeCells count="54">
    <mergeCell ref="C227:G227"/>
    <mergeCell ref="C218:G218"/>
    <mergeCell ref="C220:G220"/>
    <mergeCell ref="C222:G222"/>
    <mergeCell ref="C224:G224"/>
    <mergeCell ref="C187:G187"/>
    <mergeCell ref="C188:G188"/>
    <mergeCell ref="C189:G189"/>
    <mergeCell ref="C190:G190"/>
    <mergeCell ref="C226:G226"/>
    <mergeCell ref="C182:G182"/>
    <mergeCell ref="C183:G183"/>
    <mergeCell ref="C184:G184"/>
    <mergeCell ref="C185:G185"/>
    <mergeCell ref="C186:G186"/>
    <mergeCell ref="C181:G181"/>
    <mergeCell ref="C168:G168"/>
    <mergeCell ref="C169:G169"/>
    <mergeCell ref="C170:G170"/>
    <mergeCell ref="C171:G171"/>
    <mergeCell ref="C172:G172"/>
    <mergeCell ref="C173:G173"/>
    <mergeCell ref="C174:G174"/>
    <mergeCell ref="C176:G176"/>
    <mergeCell ref="C177:G177"/>
    <mergeCell ref="C178:G178"/>
    <mergeCell ref="C180:G180"/>
    <mergeCell ref="C167:G167"/>
    <mergeCell ref="C149:D149"/>
    <mergeCell ref="C151:G151"/>
    <mergeCell ref="C155:G155"/>
    <mergeCell ref="C158:G158"/>
    <mergeCell ref="C160:G160"/>
    <mergeCell ref="C162:G162"/>
    <mergeCell ref="C163:G163"/>
    <mergeCell ref="C164:G164"/>
    <mergeCell ref="C165:G165"/>
    <mergeCell ref="C166:G166"/>
    <mergeCell ref="C5:E5"/>
    <mergeCell ref="F5:I5"/>
    <mergeCell ref="C3:H3"/>
    <mergeCell ref="C4:H4"/>
    <mergeCell ref="C15:G15"/>
    <mergeCell ref="C6:E6"/>
    <mergeCell ref="F6:I6"/>
    <mergeCell ref="C7:E7"/>
    <mergeCell ref="F7:I7"/>
    <mergeCell ref="C8:H8"/>
    <mergeCell ref="C9:G9"/>
    <mergeCell ref="C10:G10"/>
    <mergeCell ref="C11:G11"/>
    <mergeCell ref="C12:G12"/>
    <mergeCell ref="C13:G13"/>
    <mergeCell ref="C14:G14"/>
  </mergeCells>
  <phoneticPr fontId="82" type="noConversion"/>
  <dataValidations count="2">
    <dataValidation type="list" allowBlank="1" showInputMessage="1" showErrorMessage="1" sqref="I67:R67 I139:R139 I127:R127 I43:R43 I79:R79 I103:R103 I31:R31 I91:R91 I115:R115 I55:R55" xr:uid="{600A40BE-4607-4806-ABBE-86CDFC971810}">
      <formula1>$I$232:$I$235</formula1>
    </dataValidation>
    <dataValidation allowBlank="1" showInputMessage="1" showErrorMessage="1" prompt="Markera cell till vänster för att välja pris i dropdown-menyn" sqref="G11" xr:uid="{45CB8892-8BF9-4043-8BD4-606623F023BC}"/>
  </dataValidations>
  <pageMargins left="0.75" right="0.75" top="1" bottom="1" header="0.5" footer="0.5"/>
  <pageSetup paperSize="9" scale="35" orientation="portrait" horizontalDpi="1200" verticalDpi="1200"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BA0FCFE-9F25-4544-88E6-58CEF82AF85C}">
          <x14:formula1>
            <xm:f>'4. Reduktionsfaktorer, LENI-tal'!$Q$12:$T$12</xm:f>
          </x14:formula1>
          <xm:sqref>I19:R19 I20:I22 J21:R22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CED3-B342-4651-8335-D518E5737CA5}">
  <sheetPr codeName="Blad6">
    <tabColor rgb="FF6B2879"/>
  </sheetPr>
  <dimension ref="A1:T243"/>
  <sheetViews>
    <sheetView topLeftCell="A126" zoomScale="60" zoomScaleNormal="60" workbookViewId="0">
      <selection activeCell="C148" sqref="C148"/>
    </sheetView>
  </sheetViews>
  <sheetFormatPr baseColWidth="10" defaultColWidth="9.1640625" defaultRowHeight="16"/>
  <cols>
    <col min="1" max="1" width="15.1640625" style="173" customWidth="1"/>
    <col min="2" max="2" width="12.5" style="173" customWidth="1"/>
    <col min="3" max="3" width="10.5" style="173" customWidth="1"/>
    <col min="4" max="4" width="8.5" style="173" customWidth="1"/>
    <col min="5" max="5" width="8.1640625" style="192" customWidth="1"/>
    <col min="6" max="6" width="10" style="192" customWidth="1"/>
    <col min="7" max="7" width="16.5" style="192" customWidth="1"/>
    <col min="8" max="8" width="8.83203125" style="192" customWidth="1"/>
    <col min="9" max="10" width="20.5" style="173" customWidth="1"/>
    <col min="11" max="11" width="20.5" style="195" customWidth="1"/>
    <col min="12" max="18" width="20.5" style="173" customWidth="1"/>
    <col min="19" max="16384" width="9.1640625" style="173"/>
  </cols>
  <sheetData>
    <row r="1" spans="1:20" s="169" customFormat="1" ht="13">
      <c r="A1" s="271" t="s">
        <v>0</v>
      </c>
    </row>
    <row r="2" spans="1:20" s="169" customFormat="1" ht="38">
      <c r="G2" s="1" t="s">
        <v>1</v>
      </c>
    </row>
    <row r="3" spans="1:20" s="169" customFormat="1" ht="14">
      <c r="G3" s="28" t="str">
        <f>'1. Introduktion'!G3</f>
        <v>Version 3.0</v>
      </c>
      <c r="H3" s="13"/>
      <c r="I3" s="13"/>
    </row>
    <row r="4" spans="1:20" s="169" customFormat="1" ht="14">
      <c r="G4" s="28" t="str">
        <f>'1. Introduktion'!G4</f>
        <v>Datum: 2024-12-17</v>
      </c>
      <c r="H4" s="13"/>
      <c r="I4" s="28"/>
      <c r="K4" s="196"/>
    </row>
    <row r="5" spans="1:20" s="169" customFormat="1" ht="13"/>
    <row r="6" spans="1:20" s="3" customFormat="1" ht="41.25" customHeight="1">
      <c r="C6" s="631"/>
      <c r="D6" s="631"/>
      <c r="E6" s="631"/>
      <c r="F6" s="631"/>
      <c r="G6" s="631"/>
      <c r="H6" s="632"/>
      <c r="I6" s="632"/>
      <c r="J6" s="9"/>
      <c r="K6" s="10"/>
      <c r="L6" s="10"/>
      <c r="M6" s="10"/>
      <c r="N6" s="10"/>
      <c r="O6" s="10"/>
      <c r="P6" s="10"/>
      <c r="Q6" s="10"/>
      <c r="R6" s="10"/>
    </row>
    <row r="7" spans="1:20" s="170" customFormat="1" ht="23">
      <c r="C7" s="4"/>
      <c r="D7" s="4"/>
      <c r="E7" s="4"/>
      <c r="F7" s="4"/>
      <c r="G7" s="4"/>
      <c r="H7" s="171"/>
      <c r="I7" s="171"/>
      <c r="J7" s="4"/>
      <c r="K7" s="4"/>
      <c r="L7" s="4"/>
      <c r="M7" s="4"/>
      <c r="N7" s="4"/>
      <c r="O7" s="4"/>
      <c r="P7" s="4"/>
      <c r="Q7" s="4"/>
      <c r="R7" s="4"/>
    </row>
    <row r="8" spans="1:20" s="170" customFormat="1" ht="23">
      <c r="B8" s="219"/>
      <c r="C8" s="88" t="s">
        <v>161</v>
      </c>
      <c r="D8" s="89"/>
      <c r="E8" s="89"/>
      <c r="F8" s="89"/>
      <c r="G8" s="89"/>
      <c r="H8" s="220"/>
      <c r="I8" s="220"/>
      <c r="J8" s="89"/>
      <c r="K8" s="89"/>
      <c r="L8" s="89"/>
      <c r="M8" s="89"/>
      <c r="N8" s="89"/>
      <c r="O8" s="89"/>
      <c r="P8" s="89"/>
      <c r="Q8" s="89"/>
      <c r="R8" s="89"/>
      <c r="S8" s="89"/>
      <c r="T8" s="89"/>
    </row>
    <row r="9" spans="1:20" ht="15.75" customHeight="1">
      <c r="B9" s="129"/>
      <c r="C9" s="578"/>
      <c r="D9" s="578"/>
      <c r="E9" s="578"/>
      <c r="F9" s="578"/>
      <c r="G9" s="578"/>
      <c r="H9" s="578"/>
      <c r="I9" s="172"/>
      <c r="J9" s="129"/>
      <c r="K9" s="129"/>
      <c r="L9" s="129"/>
      <c r="M9" s="129"/>
      <c r="N9" s="129"/>
      <c r="O9" s="129"/>
      <c r="P9" s="129"/>
      <c r="Q9" s="129"/>
      <c r="R9" s="129"/>
      <c r="S9" s="129"/>
      <c r="T9" s="129"/>
    </row>
    <row r="10" spans="1:20" ht="23">
      <c r="B10" s="129"/>
      <c r="C10" s="579" t="s">
        <v>162</v>
      </c>
      <c r="D10" s="579"/>
      <c r="E10" s="579"/>
      <c r="F10" s="579"/>
      <c r="G10" s="579"/>
      <c r="H10" s="579"/>
      <c r="I10" s="166"/>
      <c r="J10" s="129"/>
      <c r="K10" s="129"/>
      <c r="L10" s="129"/>
      <c r="M10" s="129"/>
      <c r="N10" s="129"/>
      <c r="O10" s="129"/>
      <c r="P10" s="129"/>
      <c r="Q10" s="129"/>
      <c r="R10" s="129"/>
      <c r="S10" s="129"/>
      <c r="T10" s="129"/>
    </row>
    <row r="11" spans="1:20" s="174" customFormat="1">
      <c r="B11" s="129"/>
      <c r="C11" s="573" t="s">
        <v>22</v>
      </c>
      <c r="D11" s="573"/>
      <c r="E11" s="573"/>
      <c r="F11" s="630" t="s">
        <v>163</v>
      </c>
      <c r="G11" s="630"/>
      <c r="H11" s="630"/>
      <c r="I11" s="630"/>
      <c r="J11" s="129"/>
      <c r="K11" s="129"/>
      <c r="L11" s="129"/>
      <c r="M11" s="129"/>
      <c r="N11" s="129"/>
      <c r="O11" s="129"/>
      <c r="P11" s="129"/>
      <c r="Q11" s="129"/>
      <c r="R11" s="129"/>
      <c r="S11" s="129"/>
      <c r="T11" s="129"/>
    </row>
    <row r="12" spans="1:20" s="174" customFormat="1">
      <c r="B12" s="129"/>
      <c r="C12" s="573" t="s">
        <v>23</v>
      </c>
      <c r="D12" s="573"/>
      <c r="E12" s="573"/>
      <c r="F12" s="633" t="s">
        <v>164</v>
      </c>
      <c r="G12" s="633"/>
      <c r="H12" s="633"/>
      <c r="I12" s="633"/>
      <c r="J12" s="129"/>
      <c r="K12" s="129"/>
      <c r="L12" s="129"/>
      <c r="M12" s="129"/>
      <c r="N12" s="129"/>
      <c r="O12" s="129"/>
      <c r="P12" s="129"/>
      <c r="Q12" s="129"/>
      <c r="R12" s="129"/>
      <c r="S12" s="129"/>
      <c r="T12" s="129"/>
    </row>
    <row r="13" spans="1:20" s="174" customFormat="1">
      <c r="B13" s="129"/>
      <c r="C13" s="573" t="s">
        <v>24</v>
      </c>
      <c r="D13" s="573"/>
      <c r="E13" s="573"/>
      <c r="F13" s="630" t="s">
        <v>165</v>
      </c>
      <c r="G13" s="630"/>
      <c r="H13" s="630"/>
      <c r="I13" s="630"/>
      <c r="J13" s="129"/>
      <c r="K13" s="129"/>
      <c r="L13" s="129"/>
      <c r="M13" s="129"/>
      <c r="N13" s="129"/>
      <c r="O13" s="129"/>
      <c r="P13" s="129"/>
      <c r="Q13" s="129"/>
      <c r="R13" s="129"/>
      <c r="S13" s="129"/>
      <c r="T13" s="129"/>
    </row>
    <row r="14" spans="1:20" ht="15">
      <c r="B14" s="129"/>
      <c r="C14" s="581"/>
      <c r="D14" s="581"/>
      <c r="E14" s="581"/>
      <c r="F14" s="581"/>
      <c r="G14" s="581"/>
      <c r="H14" s="581"/>
      <c r="I14" s="172"/>
      <c r="J14" s="129"/>
      <c r="K14" s="129"/>
      <c r="L14" s="129"/>
      <c r="M14" s="129"/>
      <c r="N14" s="129"/>
      <c r="O14" s="129"/>
      <c r="P14" s="129"/>
      <c r="Q14" s="129"/>
      <c r="R14" s="129"/>
      <c r="S14" s="129"/>
      <c r="T14" s="129"/>
    </row>
    <row r="15" spans="1:20" s="174" customFormat="1">
      <c r="B15" s="111" t="s">
        <v>25</v>
      </c>
      <c r="C15" s="582" t="s">
        <v>26</v>
      </c>
      <c r="D15" s="582"/>
      <c r="E15" s="582"/>
      <c r="F15" s="582"/>
      <c r="G15" s="582"/>
      <c r="H15" s="7"/>
      <c r="I15" s="175" t="s">
        <v>27</v>
      </c>
      <c r="J15" s="129"/>
      <c r="K15" s="129"/>
      <c r="L15" s="129"/>
      <c r="M15" s="129"/>
      <c r="N15" s="129"/>
      <c r="O15" s="129"/>
      <c r="P15" s="129"/>
      <c r="Q15" s="129"/>
      <c r="R15" s="129"/>
      <c r="S15" s="129"/>
      <c r="T15" s="129"/>
    </row>
    <row r="16" spans="1:20" s="174" customFormat="1">
      <c r="B16" s="111" t="s">
        <v>28</v>
      </c>
      <c r="C16" s="582" t="s">
        <v>29</v>
      </c>
      <c r="D16" s="582"/>
      <c r="E16" s="582"/>
      <c r="F16" s="582"/>
      <c r="G16" s="582"/>
      <c r="H16" s="60">
        <v>0.05</v>
      </c>
      <c r="I16" s="176"/>
      <c r="J16" s="129"/>
      <c r="K16" s="129"/>
      <c r="L16" s="129"/>
      <c r="M16" s="129"/>
      <c r="N16" s="129"/>
      <c r="O16" s="129"/>
      <c r="P16" s="129"/>
      <c r="Q16" s="129"/>
      <c r="R16" s="129"/>
      <c r="S16" s="129"/>
      <c r="T16" s="129"/>
    </row>
    <row r="17" spans="2:20" s="174" customFormat="1">
      <c r="B17" s="111" t="s">
        <v>31</v>
      </c>
      <c r="C17" s="582" t="s">
        <v>32</v>
      </c>
      <c r="D17" s="582"/>
      <c r="E17" s="582"/>
      <c r="F17" s="582"/>
      <c r="G17" s="582"/>
      <c r="H17" s="11"/>
      <c r="I17" s="175" t="s">
        <v>33</v>
      </c>
      <c r="J17" s="129"/>
      <c r="K17" s="129"/>
      <c r="L17" s="129"/>
      <c r="M17" s="129"/>
      <c r="N17" s="129"/>
      <c r="O17" s="129"/>
      <c r="P17" s="129"/>
      <c r="Q17" s="129"/>
      <c r="R17" s="129"/>
      <c r="S17" s="129"/>
      <c r="T17" s="129"/>
    </row>
    <row r="18" spans="2:20" s="174" customFormat="1">
      <c r="B18" s="111" t="s">
        <v>34</v>
      </c>
      <c r="C18" s="582" t="s">
        <v>35</v>
      </c>
      <c r="D18" s="582"/>
      <c r="E18" s="582"/>
      <c r="F18" s="582"/>
      <c r="G18" s="582"/>
      <c r="H18" s="8"/>
      <c r="I18" s="176"/>
      <c r="J18" s="129"/>
      <c r="K18" s="129"/>
      <c r="L18" s="129"/>
      <c r="M18" s="129"/>
      <c r="N18" s="129"/>
      <c r="O18" s="129"/>
      <c r="P18" s="129"/>
      <c r="Q18" s="129"/>
      <c r="R18" s="129"/>
      <c r="S18" s="129"/>
      <c r="T18" s="129"/>
    </row>
    <row r="19" spans="2:20" s="174" customFormat="1">
      <c r="B19" s="111" t="s">
        <v>36</v>
      </c>
      <c r="C19" s="582" t="s">
        <v>37</v>
      </c>
      <c r="D19" s="582"/>
      <c r="E19" s="582"/>
      <c r="F19" s="582"/>
      <c r="G19" s="582"/>
      <c r="H19" s="11"/>
      <c r="I19" s="177" t="s">
        <v>38</v>
      </c>
      <c r="J19" s="129"/>
      <c r="K19" s="129"/>
      <c r="L19" s="129"/>
      <c r="M19" s="129"/>
      <c r="N19" s="129"/>
      <c r="O19" s="129"/>
      <c r="P19" s="129"/>
      <c r="Q19" s="129"/>
      <c r="R19" s="129"/>
      <c r="S19" s="129"/>
      <c r="T19" s="129"/>
    </row>
    <row r="20" spans="2:20" s="174" customFormat="1">
      <c r="B20" s="111" t="s">
        <v>39</v>
      </c>
      <c r="C20" s="582" t="s">
        <v>40</v>
      </c>
      <c r="D20" s="582"/>
      <c r="E20" s="582"/>
      <c r="F20" s="582"/>
      <c r="G20" s="582"/>
      <c r="H20" s="12"/>
      <c r="I20" s="177" t="s">
        <v>41</v>
      </c>
      <c r="J20" s="129"/>
      <c r="K20" s="129"/>
      <c r="L20" s="129"/>
      <c r="M20" s="129"/>
      <c r="N20" s="129"/>
      <c r="O20" s="129"/>
      <c r="P20" s="129"/>
      <c r="Q20" s="129"/>
      <c r="R20" s="129"/>
      <c r="S20" s="129"/>
      <c r="T20" s="129"/>
    </row>
    <row r="21" spans="2:20" s="174" customFormat="1" ht="15.75" customHeight="1">
      <c r="B21" s="129"/>
      <c r="C21" s="580"/>
      <c r="D21" s="580"/>
      <c r="E21" s="580"/>
      <c r="F21" s="580"/>
      <c r="G21" s="580"/>
      <c r="H21" s="139"/>
      <c r="I21" s="178"/>
      <c r="J21" s="129"/>
      <c r="K21" s="129"/>
      <c r="L21" s="129"/>
      <c r="M21" s="129"/>
      <c r="N21" s="129"/>
      <c r="O21" s="129"/>
      <c r="P21" s="129"/>
      <c r="Q21" s="129"/>
      <c r="R21" s="129"/>
      <c r="S21" s="129"/>
      <c r="T21" s="129"/>
    </row>
    <row r="22" spans="2:20" s="174" customFormat="1" ht="28.5" customHeight="1">
      <c r="B22" s="221"/>
      <c r="C22" s="222" t="s">
        <v>44</v>
      </c>
      <c r="D22" s="223"/>
      <c r="E22" s="223"/>
      <c r="F22" s="223"/>
      <c r="G22" s="221"/>
      <c r="H22" s="221"/>
      <c r="I22" s="221"/>
      <c r="J22" s="221"/>
      <c r="K22" s="221"/>
      <c r="L22" s="221"/>
      <c r="M22" s="221"/>
      <c r="N22" s="221"/>
      <c r="O22" s="221"/>
      <c r="P22" s="221"/>
      <c r="Q22" s="221"/>
      <c r="R22" s="221"/>
      <c r="S22" s="221"/>
      <c r="T22" s="221"/>
    </row>
    <row r="23" spans="2:20" s="174" customFormat="1" ht="16.5" customHeight="1">
      <c r="B23" s="108"/>
      <c r="C23" s="109"/>
      <c r="D23" s="108"/>
      <c r="E23" s="108"/>
      <c r="F23" s="108"/>
      <c r="G23" s="108"/>
      <c r="H23" s="108"/>
      <c r="I23" s="108"/>
      <c r="J23" s="108"/>
      <c r="K23" s="108"/>
      <c r="L23" s="108"/>
      <c r="M23" s="108"/>
      <c r="N23" s="108"/>
      <c r="O23" s="108"/>
      <c r="P23" s="108"/>
      <c r="Q23" s="108"/>
      <c r="R23" s="108"/>
      <c r="S23" s="108"/>
      <c r="T23" s="108"/>
    </row>
    <row r="24" spans="2:20" s="174" customFormat="1" ht="16.5" customHeight="1">
      <c r="B24" s="108"/>
      <c r="C24" s="623" t="s">
        <v>166</v>
      </c>
      <c r="D24" s="623"/>
      <c r="E24" s="623"/>
      <c r="F24" s="623"/>
      <c r="G24" s="623"/>
      <c r="H24" s="623"/>
      <c r="I24" s="108"/>
      <c r="J24" s="108"/>
      <c r="K24" s="108"/>
      <c r="L24" s="108"/>
      <c r="M24" s="108"/>
      <c r="N24" s="108"/>
      <c r="O24" s="108"/>
      <c r="P24" s="108"/>
      <c r="Q24" s="108"/>
      <c r="R24" s="108"/>
      <c r="S24" s="108"/>
      <c r="T24" s="108"/>
    </row>
    <row r="25" spans="2:20" s="174" customFormat="1" ht="44" customHeight="1">
      <c r="B25" s="111"/>
      <c r="C25" s="112" t="s">
        <v>46</v>
      </c>
      <c r="D25" s="113"/>
      <c r="E25" s="113"/>
      <c r="F25" s="113"/>
      <c r="G25" s="114"/>
      <c r="H25" s="114"/>
      <c r="I25" s="197" t="s">
        <v>167</v>
      </c>
      <c r="J25" s="197" t="s">
        <v>168</v>
      </c>
      <c r="K25" s="197" t="s">
        <v>169</v>
      </c>
      <c r="L25" s="197" t="s">
        <v>170</v>
      </c>
      <c r="M25" s="197" t="s">
        <v>171</v>
      </c>
      <c r="N25" s="197" t="s">
        <v>172</v>
      </c>
      <c r="O25" s="197" t="s">
        <v>173</v>
      </c>
      <c r="P25" s="197" t="s">
        <v>174</v>
      </c>
      <c r="Q25" s="197" t="s">
        <v>175</v>
      </c>
      <c r="R25" s="197" t="s">
        <v>176</v>
      </c>
      <c r="S25" s="108"/>
      <c r="T25" s="108"/>
    </row>
    <row r="26" spans="2:20" s="174" customFormat="1" ht="16.5" hidden="1" customHeight="1">
      <c r="B26" s="111"/>
      <c r="C26" s="112" t="s">
        <v>49</v>
      </c>
      <c r="D26" s="113"/>
      <c r="E26" s="113"/>
      <c r="F26" s="113"/>
      <c r="G26" s="114"/>
      <c r="H26" s="114"/>
      <c r="I26" s="70" t="str">
        <f>SUBSTITUTE(I25," ","_")</f>
        <v>Byggnadstyp_1</v>
      </c>
      <c r="J26" s="70" t="str">
        <f t="shared" ref="J26:R26" si="0">SUBSTITUTE(J25," ","_")</f>
        <v>Byggnadstyp_2</v>
      </c>
      <c r="K26" s="70" t="str">
        <f t="shared" si="0"/>
        <v>Byggnadstyp_3</v>
      </c>
      <c r="L26" s="70" t="str">
        <f t="shared" si="0"/>
        <v>Byggnadstyp_4</v>
      </c>
      <c r="M26" s="70" t="str">
        <f t="shared" si="0"/>
        <v>Byggnadstyp_5</v>
      </c>
      <c r="N26" s="70" t="str">
        <f t="shared" si="0"/>
        <v>Byggnadstyp_6</v>
      </c>
      <c r="O26" s="70" t="str">
        <f t="shared" si="0"/>
        <v>Byggnadstyp_7</v>
      </c>
      <c r="P26" s="70" t="str">
        <f t="shared" si="0"/>
        <v>Byggnadstyp_8</v>
      </c>
      <c r="Q26" s="70" t="str">
        <f t="shared" si="0"/>
        <v>Byggnadstyp_9</v>
      </c>
      <c r="R26" s="70" t="str">
        <f t="shared" si="0"/>
        <v>Byggnadstyp_10</v>
      </c>
      <c r="S26" s="108"/>
      <c r="T26" s="108"/>
    </row>
    <row r="27" spans="2:20" s="174" customFormat="1" ht="44" customHeight="1">
      <c r="B27" s="111"/>
      <c r="C27" s="112" t="s">
        <v>50</v>
      </c>
      <c r="D27" s="113"/>
      <c r="E27" s="113"/>
      <c r="F27" s="113"/>
      <c r="G27" s="114"/>
      <c r="H27" s="114"/>
      <c r="I27" s="197" t="s">
        <v>177</v>
      </c>
      <c r="J27" s="197" t="s">
        <v>178</v>
      </c>
      <c r="K27" s="197" t="s">
        <v>179</v>
      </c>
      <c r="L27" s="197" t="s">
        <v>180</v>
      </c>
      <c r="M27" s="197" t="s">
        <v>181</v>
      </c>
      <c r="N27" s="197" t="s">
        <v>182</v>
      </c>
      <c r="O27" s="197" t="s">
        <v>183</v>
      </c>
      <c r="P27" s="197" t="s">
        <v>184</v>
      </c>
      <c r="Q27" s="197" t="s">
        <v>185</v>
      </c>
      <c r="R27" s="197" t="s">
        <v>186</v>
      </c>
      <c r="S27" s="108"/>
      <c r="T27" s="108"/>
    </row>
    <row r="28" spans="2:20" s="174" customFormat="1" ht="16.5" customHeight="1">
      <c r="B28" s="111"/>
      <c r="C28" s="115" t="s">
        <v>53</v>
      </c>
      <c r="D28" s="116"/>
      <c r="E28" s="116"/>
      <c r="F28" s="116"/>
      <c r="G28" s="117"/>
      <c r="H28" s="117" t="s">
        <v>54</v>
      </c>
      <c r="I28" s="167">
        <v>1</v>
      </c>
      <c r="J28" s="167">
        <v>1</v>
      </c>
      <c r="K28" s="167">
        <v>1</v>
      </c>
      <c r="L28" s="167">
        <v>1</v>
      </c>
      <c r="M28" s="167">
        <v>1</v>
      </c>
      <c r="N28" s="167">
        <v>1</v>
      </c>
      <c r="O28" s="167">
        <v>1</v>
      </c>
      <c r="P28" s="167">
        <v>1</v>
      </c>
      <c r="Q28" s="167">
        <v>1</v>
      </c>
      <c r="R28" s="167">
        <v>1</v>
      </c>
      <c r="S28" s="108"/>
      <c r="T28" s="108"/>
    </row>
    <row r="29" spans="2:20" s="174" customFormat="1" ht="16.5" customHeight="1">
      <c r="B29" s="111"/>
      <c r="C29" s="115" t="s">
        <v>55</v>
      </c>
      <c r="D29" s="116"/>
      <c r="E29" s="116"/>
      <c r="F29" s="116"/>
      <c r="G29" s="117"/>
      <c r="H29" s="117" t="s">
        <v>56</v>
      </c>
      <c r="I29" s="167">
        <v>1</v>
      </c>
      <c r="J29" s="167">
        <v>1</v>
      </c>
      <c r="K29" s="167">
        <v>1</v>
      </c>
      <c r="L29" s="167">
        <v>1</v>
      </c>
      <c r="M29" s="167">
        <v>1</v>
      </c>
      <c r="N29" s="167">
        <v>1</v>
      </c>
      <c r="O29" s="167">
        <v>1</v>
      </c>
      <c r="P29" s="167">
        <v>1</v>
      </c>
      <c r="Q29" s="167">
        <v>1</v>
      </c>
      <c r="R29" s="167">
        <v>1</v>
      </c>
      <c r="S29" s="108"/>
      <c r="T29" s="108"/>
    </row>
    <row r="30" spans="2:20" s="174" customFormat="1" ht="16.5" customHeight="1">
      <c r="B30" s="111"/>
      <c r="C30" s="110" t="s">
        <v>187</v>
      </c>
      <c r="D30" s="118"/>
      <c r="E30" s="118"/>
      <c r="F30" s="118"/>
      <c r="G30" s="118"/>
      <c r="H30" s="118"/>
      <c r="I30" s="179"/>
      <c r="J30" s="179"/>
      <c r="K30" s="179"/>
      <c r="L30" s="179"/>
      <c r="M30" s="179"/>
      <c r="N30" s="179"/>
      <c r="O30" s="179"/>
      <c r="P30" s="179"/>
      <c r="Q30" s="179"/>
      <c r="R30" s="179"/>
      <c r="S30" s="108"/>
      <c r="T30" s="108"/>
    </row>
    <row r="31" spans="2:20" s="174" customFormat="1" ht="16.5" customHeight="1">
      <c r="B31" s="111"/>
      <c r="C31" s="110" t="s">
        <v>188</v>
      </c>
      <c r="D31" s="118"/>
      <c r="E31" s="118"/>
      <c r="F31" s="118"/>
      <c r="G31" s="118"/>
      <c r="H31" s="118"/>
      <c r="I31" s="179"/>
      <c r="J31" s="179"/>
      <c r="K31" s="179"/>
      <c r="L31" s="179"/>
      <c r="M31" s="179"/>
      <c r="N31" s="179"/>
      <c r="O31" s="179"/>
      <c r="P31" s="179"/>
      <c r="Q31" s="179"/>
      <c r="R31" s="179"/>
      <c r="S31" s="108"/>
      <c r="T31" s="108"/>
    </row>
    <row r="32" spans="2:20" s="174" customFormat="1" ht="16.5" customHeight="1">
      <c r="B32" s="111" t="s">
        <v>58</v>
      </c>
      <c r="C32" s="115" t="s">
        <v>59</v>
      </c>
      <c r="D32" s="116"/>
      <c r="E32" s="116"/>
      <c r="F32" s="116"/>
      <c r="G32" s="117"/>
      <c r="H32" s="117" t="s">
        <v>54</v>
      </c>
      <c r="I32" s="71"/>
      <c r="J32" s="71"/>
      <c r="K32" s="71"/>
      <c r="L32" s="71"/>
      <c r="M32" s="71"/>
      <c r="N32" s="71"/>
      <c r="O32" s="71"/>
      <c r="P32" s="71"/>
      <c r="Q32" s="71"/>
      <c r="R32" s="71"/>
      <c r="S32" s="108"/>
      <c r="T32" s="108"/>
    </row>
    <row r="33" spans="2:20" s="174" customFormat="1" ht="16.5" customHeight="1">
      <c r="B33" s="111" t="s">
        <v>60</v>
      </c>
      <c r="C33" s="115" t="s">
        <v>61</v>
      </c>
      <c r="D33" s="116"/>
      <c r="E33" s="116"/>
      <c r="F33" s="116"/>
      <c r="G33" s="117"/>
      <c r="H33" s="117" t="s">
        <v>62</v>
      </c>
      <c r="I33" s="71"/>
      <c r="J33" s="71"/>
      <c r="K33" s="71"/>
      <c r="L33" s="71"/>
      <c r="M33" s="71"/>
      <c r="N33" s="71"/>
      <c r="O33" s="71"/>
      <c r="P33" s="71"/>
      <c r="Q33" s="71"/>
      <c r="R33" s="71"/>
      <c r="S33" s="108"/>
      <c r="T33" s="108"/>
    </row>
    <row r="34" spans="2:20" s="174" customFormat="1" ht="16.5" customHeight="1">
      <c r="B34" s="111" t="s">
        <v>63</v>
      </c>
      <c r="C34" s="115" t="s">
        <v>64</v>
      </c>
      <c r="D34" s="116"/>
      <c r="E34" s="116"/>
      <c r="F34" s="116"/>
      <c r="G34" s="117"/>
      <c r="H34" s="117" t="s">
        <v>62</v>
      </c>
      <c r="I34" s="71"/>
      <c r="J34" s="71"/>
      <c r="K34" s="71"/>
      <c r="L34" s="71"/>
      <c r="M34" s="71"/>
      <c r="N34" s="71"/>
      <c r="O34" s="71"/>
      <c r="P34" s="71"/>
      <c r="Q34" s="71"/>
      <c r="R34" s="71"/>
      <c r="S34" s="108"/>
      <c r="T34" s="108"/>
    </row>
    <row r="35" spans="2:20" s="174" customFormat="1" ht="16.5" customHeight="1">
      <c r="B35" s="111" t="s">
        <v>65</v>
      </c>
      <c r="C35" s="115" t="s">
        <v>66</v>
      </c>
      <c r="D35" s="116"/>
      <c r="E35" s="116"/>
      <c r="F35" s="116"/>
      <c r="G35" s="117"/>
      <c r="H35" s="117" t="s">
        <v>67</v>
      </c>
      <c r="I35" s="71"/>
      <c r="J35" s="71"/>
      <c r="K35" s="71"/>
      <c r="L35" s="71"/>
      <c r="M35" s="71"/>
      <c r="N35" s="71"/>
      <c r="O35" s="71"/>
      <c r="P35" s="71"/>
      <c r="Q35" s="71"/>
      <c r="R35" s="71"/>
      <c r="S35" s="108"/>
      <c r="T35" s="108"/>
    </row>
    <row r="36" spans="2:20" s="174" customFormat="1" ht="30" customHeight="1">
      <c r="B36" s="111" t="s">
        <v>68</v>
      </c>
      <c r="C36" s="115" t="s">
        <v>69</v>
      </c>
      <c r="D36" s="116"/>
      <c r="E36" s="116"/>
      <c r="F36" s="116"/>
      <c r="G36" s="117"/>
      <c r="H36" s="117"/>
      <c r="I36" s="71" t="s">
        <v>70</v>
      </c>
      <c r="J36" s="71" t="s">
        <v>70</v>
      </c>
      <c r="K36" s="71" t="s">
        <v>70</v>
      </c>
      <c r="L36" s="71" t="s">
        <v>70</v>
      </c>
      <c r="M36" s="71" t="s">
        <v>70</v>
      </c>
      <c r="N36" s="71" t="s">
        <v>70</v>
      </c>
      <c r="O36" s="71" t="s">
        <v>70</v>
      </c>
      <c r="P36" s="71" t="s">
        <v>70</v>
      </c>
      <c r="Q36" s="71" t="s">
        <v>70</v>
      </c>
      <c r="R36" s="71" t="s">
        <v>70</v>
      </c>
      <c r="S36" s="108"/>
      <c r="T36" s="108"/>
    </row>
    <row r="37" spans="2:20" s="174" customFormat="1" ht="28.5" customHeight="1">
      <c r="B37" s="111" t="s">
        <v>71</v>
      </c>
      <c r="C37" s="115" t="s">
        <v>72</v>
      </c>
      <c r="D37" s="116"/>
      <c r="E37" s="116"/>
      <c r="F37" s="116"/>
      <c r="G37" s="117"/>
      <c r="H37" s="117"/>
      <c r="I37" s="71" t="str" cm="1">
        <f t="array" aca="1" ref="I37" ca="1">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37" s="71" t="str" cm="1">
        <f t="array" aca="1" ref="J37" ca="1">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37" s="71" t="str" cm="1">
        <f t="array" aca="1" ref="K37" ca="1">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37" s="71" t="str" cm="1">
        <f t="array" aca="1" ref="L37" ca="1">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37" s="71" t="str" cm="1">
        <f t="array" aca="1" ref="M37" ca="1">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37" s="71" t="str" cm="1">
        <f t="array" aca="1" ref="N37" ca="1">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37" s="71" t="str" cm="1">
        <f t="array" aca="1" ref="O37" ca="1">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37" s="71" t="str" cm="1">
        <f t="array" aca="1" ref="P37" ca="1">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37" s="71" t="str" cm="1">
        <f t="array" aca="1" ref="Q37" ca="1">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37" s="71" t="str" cm="1">
        <f t="array" aca="1" ref="R37" ca="1">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37" s="108"/>
      <c r="T37" s="108"/>
    </row>
    <row r="38" spans="2:20" s="174" customFormat="1" ht="28.5" customHeight="1">
      <c r="B38" s="111" t="s">
        <v>73</v>
      </c>
      <c r="C38" s="115" t="s">
        <v>74</v>
      </c>
      <c r="D38" s="116"/>
      <c r="E38" s="116"/>
      <c r="F38" s="116"/>
      <c r="G38" s="117"/>
      <c r="H38" s="117"/>
      <c r="I38" s="71" t="str" cm="1">
        <f t="array" aca="1" ref="I38" ca="1">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38" s="71" t="str" cm="1">
        <f t="array" aca="1" ref="J38" ca="1">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38" s="71" t="str" cm="1">
        <f t="array" aca="1" ref="K38" ca="1">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38" s="71" t="str" cm="1">
        <f t="array" aca="1" ref="L38" ca="1">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38" s="71" t="str" cm="1">
        <f t="array" aca="1" ref="M38" ca="1">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38" s="71" t="str" cm="1">
        <f t="array" aca="1" ref="N38" ca="1">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38" s="71" t="str" cm="1">
        <f t="array" aca="1" ref="O38" ca="1">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38" s="71" t="str" cm="1">
        <f t="array" aca="1" ref="P38" ca="1">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38" s="71" t="str" cm="1">
        <f t="array" aca="1" ref="Q38" ca="1">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38" s="71" t="str" cm="1">
        <f t="array" aca="1" ref="R38" ca="1">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38" s="108"/>
      <c r="T38" s="108"/>
    </row>
    <row r="39" spans="2:20" s="174" customFormat="1" ht="28.5" customHeight="1">
      <c r="B39" s="111" t="s">
        <v>75</v>
      </c>
      <c r="C39" s="115" t="s">
        <v>76</v>
      </c>
      <c r="D39" s="116"/>
      <c r="E39" s="116"/>
      <c r="F39" s="116"/>
      <c r="G39" s="117"/>
      <c r="H39" s="117"/>
      <c r="I39" s="71" t="str" cm="1">
        <f t="array" aca="1" ref="I39" ca="1">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39" s="71" t="str" cm="1">
        <f t="array" aca="1" ref="J39" ca="1">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39" s="71" t="str" cm="1">
        <f t="array" aca="1" ref="K39" ca="1">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39" s="71" t="str" cm="1">
        <f t="array" aca="1" ref="L39" ca="1">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39" s="71" t="str" cm="1">
        <f t="array" aca="1" ref="M39" ca="1">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39" s="71" t="str" cm="1">
        <f t="array" aca="1" ref="N39" ca="1">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39" s="71" t="str" cm="1">
        <f t="array" aca="1" ref="O39" ca="1">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39" s="71" t="str" cm="1">
        <f t="array" aca="1" ref="P39" ca="1">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39" s="71" t="str" cm="1">
        <f t="array" aca="1" ref="Q39" ca="1">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39" s="71" t="str" cm="1">
        <f t="array" aca="1" ref="R39" ca="1">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39" s="108"/>
      <c r="T39" s="108"/>
    </row>
    <row r="40" spans="2:20" s="174" customFormat="1" ht="16.5" customHeight="1">
      <c r="B40" s="111" t="s">
        <v>77</v>
      </c>
      <c r="C40" s="119" t="s">
        <v>78</v>
      </c>
      <c r="D40" s="116"/>
      <c r="E40" s="116"/>
      <c r="F40" s="116"/>
      <c r="G40" s="117"/>
      <c r="H40" s="117"/>
      <c r="I40" s="168">
        <f>IF(IF(I36=$I$238,I37,IF(I36=$I$239,I37*I38,IF(I36=$I$240,I37*I38*I39,1)))=0,"Fyll i 2.6-2.8",IF(I36=$I$238,I37,IF(I36=$I$239,I37*I38,IF(I36=$I$240,I37*I38*I39,1))))</f>
        <v>1</v>
      </c>
      <c r="J40" s="168">
        <f t="shared" ref="J40:R40" si="1">IF(IF(J36=$I$238,J37,IF(J36=$I$239,J37*J38,IF(J36=$I$240,J37*J38*J39,1)))=0,"Fyll i 2.6-2.8",IF(J36=$I$238,J37,IF(J36=$I$239,J37*J38,IF(J36=$I$240,J37*J38*J39,1))))</f>
        <v>1</v>
      </c>
      <c r="K40" s="168">
        <f t="shared" si="1"/>
        <v>1</v>
      </c>
      <c r="L40" s="168">
        <f t="shared" si="1"/>
        <v>1</v>
      </c>
      <c r="M40" s="168">
        <f t="shared" si="1"/>
        <v>1</v>
      </c>
      <c r="N40" s="168">
        <f t="shared" si="1"/>
        <v>1</v>
      </c>
      <c r="O40" s="168">
        <f t="shared" si="1"/>
        <v>1</v>
      </c>
      <c r="P40" s="168">
        <f t="shared" si="1"/>
        <v>1</v>
      </c>
      <c r="Q40" s="168">
        <f t="shared" si="1"/>
        <v>1</v>
      </c>
      <c r="R40" s="168">
        <f t="shared" si="1"/>
        <v>1</v>
      </c>
      <c r="S40" s="108"/>
      <c r="T40" s="108"/>
    </row>
    <row r="41" spans="2:20" s="174" customFormat="1" ht="16.5" customHeight="1">
      <c r="B41" s="111" t="s">
        <v>79</v>
      </c>
      <c r="C41" s="115" t="s">
        <v>80</v>
      </c>
      <c r="D41" s="116"/>
      <c r="E41" s="116"/>
      <c r="F41" s="116"/>
      <c r="G41" s="117"/>
      <c r="H41" s="117" t="s">
        <v>81</v>
      </c>
      <c r="I41" s="71"/>
      <c r="J41" s="71"/>
      <c r="K41" s="71"/>
      <c r="L41" s="71"/>
      <c r="M41" s="71"/>
      <c r="N41" s="71"/>
      <c r="O41" s="71"/>
      <c r="P41" s="71"/>
      <c r="Q41" s="71"/>
      <c r="R41" s="71"/>
      <c r="S41" s="108"/>
      <c r="T41" s="108"/>
    </row>
    <row r="42" spans="2:20" s="174" customFormat="1" ht="16.5" customHeight="1">
      <c r="B42" s="111"/>
      <c r="C42" s="118"/>
      <c r="D42" s="118"/>
      <c r="E42" s="118"/>
      <c r="F42" s="118"/>
      <c r="G42" s="118"/>
      <c r="H42" s="118"/>
      <c r="I42" s="179"/>
      <c r="J42" s="179"/>
      <c r="K42" s="179"/>
      <c r="L42" s="179"/>
      <c r="M42" s="179"/>
      <c r="N42" s="179"/>
      <c r="O42" s="179"/>
      <c r="P42" s="179"/>
      <c r="Q42" s="179"/>
      <c r="R42" s="179"/>
      <c r="S42" s="108"/>
      <c r="T42" s="108"/>
    </row>
    <row r="43" spans="2:20" s="174" customFormat="1" ht="16.5" customHeight="1">
      <c r="B43" s="111"/>
      <c r="C43" s="110" t="s">
        <v>189</v>
      </c>
      <c r="D43" s="118"/>
      <c r="E43" s="118"/>
      <c r="F43" s="118"/>
      <c r="G43" s="118"/>
      <c r="H43" s="118"/>
      <c r="I43" s="179"/>
      <c r="J43" s="179"/>
      <c r="K43" s="179"/>
      <c r="L43" s="179"/>
      <c r="M43" s="179"/>
      <c r="N43" s="179"/>
      <c r="O43" s="179"/>
      <c r="P43" s="179"/>
      <c r="Q43" s="179"/>
      <c r="R43" s="179"/>
      <c r="S43" s="108"/>
      <c r="T43" s="108"/>
    </row>
    <row r="44" spans="2:20" s="174" customFormat="1" ht="16.5" customHeight="1">
      <c r="B44" s="111" t="s">
        <v>58</v>
      </c>
      <c r="C44" s="115" t="s">
        <v>59</v>
      </c>
      <c r="D44" s="116"/>
      <c r="E44" s="116"/>
      <c r="F44" s="116"/>
      <c r="G44" s="117"/>
      <c r="H44" s="117" t="s">
        <v>54</v>
      </c>
      <c r="I44" s="71"/>
      <c r="J44" s="71"/>
      <c r="K44" s="71"/>
      <c r="L44" s="71"/>
      <c r="M44" s="71"/>
      <c r="N44" s="71"/>
      <c r="O44" s="71"/>
      <c r="P44" s="71"/>
      <c r="Q44" s="71"/>
      <c r="R44" s="71"/>
      <c r="S44" s="108"/>
      <c r="T44" s="108"/>
    </row>
    <row r="45" spans="2:20" s="174" customFormat="1" ht="16.5" customHeight="1">
      <c r="B45" s="111" t="s">
        <v>60</v>
      </c>
      <c r="C45" s="115" t="s">
        <v>61</v>
      </c>
      <c r="D45" s="116"/>
      <c r="E45" s="116"/>
      <c r="F45" s="116"/>
      <c r="G45" s="117"/>
      <c r="H45" s="117" t="s">
        <v>62</v>
      </c>
      <c r="I45" s="71"/>
      <c r="J45" s="71"/>
      <c r="K45" s="71"/>
      <c r="L45" s="71"/>
      <c r="M45" s="71"/>
      <c r="N45" s="71"/>
      <c r="O45" s="71"/>
      <c r="P45" s="71"/>
      <c r="Q45" s="71"/>
      <c r="R45" s="71"/>
      <c r="S45" s="108"/>
      <c r="T45" s="108"/>
    </row>
    <row r="46" spans="2:20" s="174" customFormat="1" ht="16.5" customHeight="1">
      <c r="B46" s="111" t="s">
        <v>63</v>
      </c>
      <c r="C46" s="115" t="s">
        <v>64</v>
      </c>
      <c r="D46" s="116"/>
      <c r="E46" s="116"/>
      <c r="F46" s="116"/>
      <c r="G46" s="117"/>
      <c r="H46" s="117" t="s">
        <v>62</v>
      </c>
      <c r="I46" s="71"/>
      <c r="J46" s="71"/>
      <c r="K46" s="71"/>
      <c r="L46" s="71"/>
      <c r="M46" s="71"/>
      <c r="N46" s="71"/>
      <c r="O46" s="71"/>
      <c r="P46" s="71"/>
      <c r="Q46" s="71"/>
      <c r="R46" s="71"/>
      <c r="S46" s="108"/>
      <c r="T46" s="108"/>
    </row>
    <row r="47" spans="2:20" s="174" customFormat="1" ht="16.5" customHeight="1">
      <c r="B47" s="111" t="s">
        <v>65</v>
      </c>
      <c r="C47" s="115" t="s">
        <v>66</v>
      </c>
      <c r="D47" s="116"/>
      <c r="E47" s="116"/>
      <c r="F47" s="116"/>
      <c r="G47" s="117"/>
      <c r="H47" s="117" t="s">
        <v>67</v>
      </c>
      <c r="I47" s="71"/>
      <c r="J47" s="71"/>
      <c r="K47" s="71"/>
      <c r="L47" s="71"/>
      <c r="M47" s="71"/>
      <c r="N47" s="71"/>
      <c r="O47" s="71"/>
      <c r="P47" s="71"/>
      <c r="Q47" s="71"/>
      <c r="R47" s="71"/>
      <c r="S47" s="108"/>
      <c r="T47" s="108"/>
    </row>
    <row r="48" spans="2:20" s="174" customFormat="1" ht="30" customHeight="1">
      <c r="B48" s="111" t="s">
        <v>68</v>
      </c>
      <c r="C48" s="115" t="s">
        <v>69</v>
      </c>
      <c r="D48" s="116"/>
      <c r="E48" s="116"/>
      <c r="F48" s="116"/>
      <c r="G48" s="117"/>
      <c r="H48" s="117"/>
      <c r="I48" s="71" t="s">
        <v>70</v>
      </c>
      <c r="J48" s="71" t="s">
        <v>70</v>
      </c>
      <c r="K48" s="71" t="s">
        <v>70</v>
      </c>
      <c r="L48" s="71" t="s">
        <v>70</v>
      </c>
      <c r="M48" s="71" t="s">
        <v>70</v>
      </c>
      <c r="N48" s="71" t="s">
        <v>70</v>
      </c>
      <c r="O48" s="71" t="s">
        <v>70</v>
      </c>
      <c r="P48" s="71" t="s">
        <v>70</v>
      </c>
      <c r="Q48" s="71" t="s">
        <v>70</v>
      </c>
      <c r="R48" s="71" t="s">
        <v>70</v>
      </c>
      <c r="S48" s="108"/>
      <c r="T48" s="108"/>
    </row>
    <row r="49" spans="2:20" s="174" customFormat="1" ht="16.5" customHeight="1">
      <c r="B49" s="111" t="s">
        <v>71</v>
      </c>
      <c r="C49" s="115" t="s">
        <v>72</v>
      </c>
      <c r="D49" s="116"/>
      <c r="E49" s="116"/>
      <c r="F49" s="116"/>
      <c r="G49" s="117"/>
      <c r="H49" s="117"/>
      <c r="I49" s="71"/>
      <c r="J49" s="71"/>
      <c r="K49" s="71"/>
      <c r="L49" s="71"/>
      <c r="M49" s="71"/>
      <c r="N49" s="71"/>
      <c r="O49" s="71"/>
      <c r="P49" s="71"/>
      <c r="Q49" s="71"/>
      <c r="R49" s="71"/>
      <c r="S49" s="108"/>
      <c r="T49" s="108"/>
    </row>
    <row r="50" spans="2:20" s="174" customFormat="1" ht="16.5" customHeight="1">
      <c r="B50" s="111" t="s">
        <v>73</v>
      </c>
      <c r="C50" s="115" t="s">
        <v>74</v>
      </c>
      <c r="D50" s="116"/>
      <c r="E50" s="116"/>
      <c r="F50" s="116"/>
      <c r="G50" s="117"/>
      <c r="H50" s="117"/>
      <c r="I50" s="71"/>
      <c r="J50" s="71"/>
      <c r="K50" s="71"/>
      <c r="L50" s="71"/>
      <c r="M50" s="71"/>
      <c r="N50" s="71"/>
      <c r="O50" s="71"/>
      <c r="P50" s="71"/>
      <c r="Q50" s="71"/>
      <c r="R50" s="71"/>
      <c r="S50" s="108"/>
      <c r="T50" s="108"/>
    </row>
    <row r="51" spans="2:20" s="174" customFormat="1" ht="16.5" customHeight="1">
      <c r="B51" s="111" t="s">
        <v>75</v>
      </c>
      <c r="C51" s="115" t="s">
        <v>76</v>
      </c>
      <c r="D51" s="116"/>
      <c r="E51" s="116"/>
      <c r="F51" s="116"/>
      <c r="G51" s="117"/>
      <c r="H51" s="117"/>
      <c r="I51" s="71"/>
      <c r="J51" s="71"/>
      <c r="K51" s="71"/>
      <c r="L51" s="71"/>
      <c r="M51" s="71"/>
      <c r="N51" s="71"/>
      <c r="O51" s="71"/>
      <c r="P51" s="71"/>
      <c r="Q51" s="71"/>
      <c r="R51" s="71"/>
      <c r="S51" s="108"/>
      <c r="T51" s="108"/>
    </row>
    <row r="52" spans="2:20" s="174" customFormat="1" ht="16.5" customHeight="1">
      <c r="B52" s="111" t="s">
        <v>77</v>
      </c>
      <c r="C52" s="119" t="s">
        <v>78</v>
      </c>
      <c r="D52" s="116"/>
      <c r="E52" s="116"/>
      <c r="F52" s="116"/>
      <c r="G52" s="117"/>
      <c r="H52" s="117"/>
      <c r="I52" s="168">
        <f>IF(IF(I48=$I$238,I49,IF(I48=$I$239,I49*I50,IF(I48=$I$240,I49*I50*I51,1)))=0,"Fyll i 2.6-2.8",IF(I48=$I$238,I49,IF(I48=$I$239,I49*I50,IF(I48=$I$240,I49*I50*I51,1))))</f>
        <v>1</v>
      </c>
      <c r="J52" s="168">
        <f t="shared" ref="J52" si="2">IF(IF(J48=$I$238,J49,IF(J48=$I$239,J49*J50,IF(J48=$I$240,J49*J50*J51,1)))=0,"Fyll i 2.6-2.8",IF(J48=$I$238,J49,IF(J48=$I$239,J49*J50,IF(J48=$I$240,J49*J50*J51,1))))</f>
        <v>1</v>
      </c>
      <c r="K52" s="168">
        <f t="shared" ref="K52" si="3">IF(IF(K48=$I$238,K49,IF(K48=$I$239,K49*K50,IF(K48=$I$240,K49*K50*K51,1)))=0,"Fyll i 2.6-2.8",IF(K48=$I$238,K49,IF(K48=$I$239,K49*K50,IF(K48=$I$240,K49*K50*K51,1))))</f>
        <v>1</v>
      </c>
      <c r="L52" s="168">
        <f t="shared" ref="L52" si="4">IF(IF(L48=$I$238,L49,IF(L48=$I$239,L49*L50,IF(L48=$I$240,L49*L50*L51,1)))=0,"Fyll i 2.6-2.8",IF(L48=$I$238,L49,IF(L48=$I$239,L49*L50,IF(L48=$I$240,L49*L50*L51,1))))</f>
        <v>1</v>
      </c>
      <c r="M52" s="168">
        <f t="shared" ref="M52" si="5">IF(IF(M48=$I$238,M49,IF(M48=$I$239,M49*M50,IF(M48=$I$240,M49*M50*M51,1)))=0,"Fyll i 2.6-2.8",IF(M48=$I$238,M49,IF(M48=$I$239,M49*M50,IF(M48=$I$240,M49*M50*M51,1))))</f>
        <v>1</v>
      </c>
      <c r="N52" s="168">
        <f t="shared" ref="N52" si="6">IF(IF(N48=$I$238,N49,IF(N48=$I$239,N49*N50,IF(N48=$I$240,N49*N50*N51,1)))=0,"Fyll i 2.6-2.8",IF(N48=$I$238,N49,IF(N48=$I$239,N49*N50,IF(N48=$I$240,N49*N50*N51,1))))</f>
        <v>1</v>
      </c>
      <c r="O52" s="168">
        <f t="shared" ref="O52" si="7">IF(IF(O48=$I$238,O49,IF(O48=$I$239,O49*O50,IF(O48=$I$240,O49*O50*O51,1)))=0,"Fyll i 2.6-2.8",IF(O48=$I$238,O49,IF(O48=$I$239,O49*O50,IF(O48=$I$240,O49*O50*O51,1))))</f>
        <v>1</v>
      </c>
      <c r="P52" s="168">
        <f t="shared" ref="P52" si="8">IF(IF(P48=$I$238,P49,IF(P48=$I$239,P49*P50,IF(P48=$I$240,P49*P50*P51,1)))=0,"Fyll i 2.6-2.8",IF(P48=$I$238,P49,IF(P48=$I$239,P49*P50,IF(P48=$I$240,P49*P50*P51,1))))</f>
        <v>1</v>
      </c>
      <c r="Q52" s="168">
        <f t="shared" ref="Q52" si="9">IF(IF(Q48=$I$238,Q49,IF(Q48=$I$239,Q49*Q50,IF(Q48=$I$240,Q49*Q50*Q51,1)))=0,"Fyll i 2.6-2.8",IF(Q48=$I$238,Q49,IF(Q48=$I$239,Q49*Q50,IF(Q48=$I$240,Q49*Q50*Q51,1))))</f>
        <v>1</v>
      </c>
      <c r="R52" s="168">
        <f t="shared" ref="R52" si="10">IF(IF(R48=$I$238,R49,IF(R48=$I$239,R49*R50,IF(R48=$I$240,R49*R50*R51,1)))=0,"Fyll i 2.6-2.8",IF(R48=$I$238,R49,IF(R48=$I$239,R49*R50,IF(R48=$I$240,R49*R50*R51,1))))</f>
        <v>1</v>
      </c>
      <c r="S52" s="108"/>
      <c r="T52" s="108"/>
    </row>
    <row r="53" spans="2:20" s="174" customFormat="1" ht="16.5" customHeight="1">
      <c r="B53" s="111" t="s">
        <v>79</v>
      </c>
      <c r="C53" s="115" t="s">
        <v>80</v>
      </c>
      <c r="D53" s="116"/>
      <c r="E53" s="116"/>
      <c r="F53" s="116"/>
      <c r="G53" s="117"/>
      <c r="H53" s="117" t="s">
        <v>81</v>
      </c>
      <c r="I53" s="71"/>
      <c r="J53" s="71"/>
      <c r="K53" s="71"/>
      <c r="L53" s="71"/>
      <c r="M53" s="71"/>
      <c r="N53" s="71"/>
      <c r="O53" s="71"/>
      <c r="P53" s="71"/>
      <c r="Q53" s="71"/>
      <c r="R53" s="71"/>
      <c r="S53" s="108"/>
      <c r="T53" s="108"/>
    </row>
    <row r="54" spans="2:20" s="174" customFormat="1" ht="16.5" customHeight="1">
      <c r="B54" s="111"/>
      <c r="C54" s="118"/>
      <c r="D54" s="118"/>
      <c r="E54" s="118"/>
      <c r="F54" s="118"/>
      <c r="G54" s="118"/>
      <c r="H54" s="118"/>
      <c r="I54" s="179"/>
      <c r="J54" s="179"/>
      <c r="K54" s="179"/>
      <c r="L54" s="179"/>
      <c r="M54" s="179"/>
      <c r="N54" s="179"/>
      <c r="O54" s="179"/>
      <c r="P54" s="179"/>
      <c r="Q54" s="179"/>
      <c r="R54" s="179"/>
      <c r="S54" s="108"/>
      <c r="T54" s="108"/>
    </row>
    <row r="55" spans="2:20" s="174" customFormat="1" ht="16.5" customHeight="1">
      <c r="B55" s="111"/>
      <c r="C55" s="110" t="s">
        <v>190</v>
      </c>
      <c r="D55" s="118"/>
      <c r="E55" s="118"/>
      <c r="F55" s="118"/>
      <c r="G55" s="118"/>
      <c r="H55" s="118"/>
      <c r="I55" s="179"/>
      <c r="J55" s="179"/>
      <c r="K55" s="179"/>
      <c r="L55" s="179"/>
      <c r="M55" s="179"/>
      <c r="N55" s="179"/>
      <c r="O55" s="179"/>
      <c r="P55" s="179"/>
      <c r="Q55" s="179"/>
      <c r="R55" s="179"/>
      <c r="S55" s="108"/>
      <c r="T55" s="108"/>
    </row>
    <row r="56" spans="2:20" s="174" customFormat="1" ht="16.5" customHeight="1">
      <c r="B56" s="111" t="s">
        <v>58</v>
      </c>
      <c r="C56" s="115" t="s">
        <v>59</v>
      </c>
      <c r="D56" s="116"/>
      <c r="E56" s="116"/>
      <c r="F56" s="116"/>
      <c r="G56" s="117"/>
      <c r="H56" s="117" t="s">
        <v>54</v>
      </c>
      <c r="I56" s="71"/>
      <c r="J56" s="71"/>
      <c r="K56" s="71"/>
      <c r="L56" s="71"/>
      <c r="M56" s="71"/>
      <c r="N56" s="71"/>
      <c r="O56" s="71"/>
      <c r="P56" s="71"/>
      <c r="Q56" s="71"/>
      <c r="R56" s="71"/>
      <c r="S56" s="108"/>
      <c r="T56" s="108"/>
    </row>
    <row r="57" spans="2:20" s="174" customFormat="1" ht="16.5" customHeight="1">
      <c r="B57" s="111" t="s">
        <v>60</v>
      </c>
      <c r="C57" s="115" t="s">
        <v>61</v>
      </c>
      <c r="D57" s="116"/>
      <c r="E57" s="116"/>
      <c r="F57" s="116"/>
      <c r="G57" s="117"/>
      <c r="H57" s="117" t="s">
        <v>62</v>
      </c>
      <c r="I57" s="71"/>
      <c r="J57" s="71"/>
      <c r="K57" s="71"/>
      <c r="L57" s="71"/>
      <c r="M57" s="71"/>
      <c r="N57" s="71"/>
      <c r="O57" s="71"/>
      <c r="P57" s="71"/>
      <c r="Q57" s="71"/>
      <c r="R57" s="71"/>
      <c r="S57" s="108"/>
      <c r="T57" s="108"/>
    </row>
    <row r="58" spans="2:20" s="174" customFormat="1" ht="16.5" customHeight="1">
      <c r="B58" s="111" t="s">
        <v>63</v>
      </c>
      <c r="C58" s="115" t="s">
        <v>64</v>
      </c>
      <c r="D58" s="116"/>
      <c r="E58" s="116"/>
      <c r="F58" s="116"/>
      <c r="G58" s="117"/>
      <c r="H58" s="117" t="s">
        <v>62</v>
      </c>
      <c r="I58" s="71"/>
      <c r="J58" s="71"/>
      <c r="K58" s="71"/>
      <c r="L58" s="71"/>
      <c r="M58" s="71"/>
      <c r="N58" s="71"/>
      <c r="O58" s="71"/>
      <c r="P58" s="71"/>
      <c r="Q58" s="71"/>
      <c r="R58" s="71"/>
      <c r="S58" s="108"/>
      <c r="T58" s="108"/>
    </row>
    <row r="59" spans="2:20" s="174" customFormat="1" ht="16.5" customHeight="1">
      <c r="B59" s="111" t="s">
        <v>65</v>
      </c>
      <c r="C59" s="115" t="s">
        <v>66</v>
      </c>
      <c r="D59" s="116"/>
      <c r="E59" s="116"/>
      <c r="F59" s="116"/>
      <c r="G59" s="117"/>
      <c r="H59" s="117" t="s">
        <v>67</v>
      </c>
      <c r="I59" s="71"/>
      <c r="J59" s="71"/>
      <c r="K59" s="71"/>
      <c r="L59" s="71"/>
      <c r="M59" s="71"/>
      <c r="N59" s="71"/>
      <c r="O59" s="71"/>
      <c r="P59" s="71"/>
      <c r="Q59" s="71"/>
      <c r="R59" s="71"/>
      <c r="S59" s="108"/>
      <c r="T59" s="108"/>
    </row>
    <row r="60" spans="2:20" s="174" customFormat="1" ht="30" customHeight="1">
      <c r="B60" s="111" t="s">
        <v>68</v>
      </c>
      <c r="C60" s="115" t="s">
        <v>69</v>
      </c>
      <c r="D60" s="116"/>
      <c r="E60" s="116"/>
      <c r="F60" s="116"/>
      <c r="G60" s="117"/>
      <c r="H60" s="117"/>
      <c r="I60" s="71" t="s">
        <v>70</v>
      </c>
      <c r="J60" s="71" t="s">
        <v>70</v>
      </c>
      <c r="K60" s="71" t="s">
        <v>70</v>
      </c>
      <c r="L60" s="71" t="s">
        <v>70</v>
      </c>
      <c r="M60" s="71" t="s">
        <v>70</v>
      </c>
      <c r="N60" s="71" t="s">
        <v>70</v>
      </c>
      <c r="O60" s="71" t="s">
        <v>70</v>
      </c>
      <c r="P60" s="71" t="s">
        <v>70</v>
      </c>
      <c r="Q60" s="71" t="s">
        <v>70</v>
      </c>
      <c r="R60" s="71" t="s">
        <v>70</v>
      </c>
      <c r="S60" s="108"/>
      <c r="T60" s="108"/>
    </row>
    <row r="61" spans="2:20" s="174" customFormat="1" ht="16.5" customHeight="1">
      <c r="B61" s="111" t="s">
        <v>71</v>
      </c>
      <c r="C61" s="115" t="s">
        <v>72</v>
      </c>
      <c r="D61" s="116"/>
      <c r="E61" s="116"/>
      <c r="F61" s="116"/>
      <c r="G61" s="117"/>
      <c r="H61" s="117"/>
      <c r="I61" s="71"/>
      <c r="J61" s="71"/>
      <c r="K61" s="71"/>
      <c r="L61" s="71"/>
      <c r="M61" s="71"/>
      <c r="N61" s="71"/>
      <c r="O61" s="71"/>
      <c r="P61" s="71"/>
      <c r="Q61" s="71"/>
      <c r="R61" s="71"/>
      <c r="S61" s="108"/>
      <c r="T61" s="108"/>
    </row>
    <row r="62" spans="2:20" s="174" customFormat="1" ht="16.5" customHeight="1">
      <c r="B62" s="111" t="s">
        <v>73</v>
      </c>
      <c r="C62" s="115" t="s">
        <v>74</v>
      </c>
      <c r="D62" s="116"/>
      <c r="E62" s="116"/>
      <c r="F62" s="116"/>
      <c r="G62" s="117"/>
      <c r="H62" s="117"/>
      <c r="I62" s="71"/>
      <c r="J62" s="71"/>
      <c r="K62" s="71"/>
      <c r="L62" s="71"/>
      <c r="M62" s="71"/>
      <c r="N62" s="71"/>
      <c r="O62" s="71"/>
      <c r="P62" s="71"/>
      <c r="Q62" s="71"/>
      <c r="R62" s="71"/>
      <c r="S62" s="108"/>
      <c r="T62" s="108"/>
    </row>
    <row r="63" spans="2:20" s="174" customFormat="1" ht="16.5" customHeight="1">
      <c r="B63" s="111" t="s">
        <v>75</v>
      </c>
      <c r="C63" s="115" t="s">
        <v>76</v>
      </c>
      <c r="D63" s="116"/>
      <c r="E63" s="116"/>
      <c r="F63" s="116"/>
      <c r="G63" s="117"/>
      <c r="H63" s="117"/>
      <c r="I63" s="71"/>
      <c r="J63" s="71"/>
      <c r="K63" s="71"/>
      <c r="L63" s="71"/>
      <c r="M63" s="71"/>
      <c r="N63" s="71"/>
      <c r="O63" s="71"/>
      <c r="P63" s="71"/>
      <c r="Q63" s="71"/>
      <c r="R63" s="71"/>
      <c r="S63" s="108"/>
      <c r="T63" s="108"/>
    </row>
    <row r="64" spans="2:20" s="174" customFormat="1" ht="16.5" customHeight="1">
      <c r="B64" s="111" t="s">
        <v>77</v>
      </c>
      <c r="C64" s="119" t="s">
        <v>78</v>
      </c>
      <c r="D64" s="116"/>
      <c r="E64" s="116"/>
      <c r="F64" s="116"/>
      <c r="G64" s="117"/>
      <c r="H64" s="117"/>
      <c r="I64" s="168">
        <f>IF(IF(I60=$I$238,I61,IF(I60=$I$239,I61*I62,IF(I60=$I$240,I61*I62*I63,1)))=0,"Fyll i 2.6-2.8",IF(I60=$I$238,I61,IF(I60=$I$239,I61*I62,IF(I60=$I$240,I61*I62*I63,1))))</f>
        <v>1</v>
      </c>
      <c r="J64" s="168">
        <f t="shared" ref="J64" si="11">IF(IF(J60=$I$238,J61,IF(J60=$I$239,J61*J62,IF(J60=$I$240,J61*J62*J63,1)))=0,"Fyll i 2.6-2.8",IF(J60=$I$238,J61,IF(J60=$I$239,J61*J62,IF(J60=$I$240,J61*J62*J63,1))))</f>
        <v>1</v>
      </c>
      <c r="K64" s="168">
        <f t="shared" ref="K64" si="12">IF(IF(K60=$I$238,K61,IF(K60=$I$239,K61*K62,IF(K60=$I$240,K61*K62*K63,1)))=0,"Fyll i 2.6-2.8",IF(K60=$I$238,K61,IF(K60=$I$239,K61*K62,IF(K60=$I$240,K61*K62*K63,1))))</f>
        <v>1</v>
      </c>
      <c r="L64" s="168">
        <f t="shared" ref="L64" si="13">IF(IF(L60=$I$238,L61,IF(L60=$I$239,L61*L62,IF(L60=$I$240,L61*L62*L63,1)))=0,"Fyll i 2.6-2.8",IF(L60=$I$238,L61,IF(L60=$I$239,L61*L62,IF(L60=$I$240,L61*L62*L63,1))))</f>
        <v>1</v>
      </c>
      <c r="M64" s="168">
        <f t="shared" ref="M64" si="14">IF(IF(M60=$I$238,M61,IF(M60=$I$239,M61*M62,IF(M60=$I$240,M61*M62*M63,1)))=0,"Fyll i 2.6-2.8",IF(M60=$I$238,M61,IF(M60=$I$239,M61*M62,IF(M60=$I$240,M61*M62*M63,1))))</f>
        <v>1</v>
      </c>
      <c r="N64" s="168">
        <f t="shared" ref="N64" si="15">IF(IF(N60=$I$238,N61,IF(N60=$I$239,N61*N62,IF(N60=$I$240,N61*N62*N63,1)))=0,"Fyll i 2.6-2.8",IF(N60=$I$238,N61,IF(N60=$I$239,N61*N62,IF(N60=$I$240,N61*N62*N63,1))))</f>
        <v>1</v>
      </c>
      <c r="O64" s="168">
        <f t="shared" ref="O64" si="16">IF(IF(O60=$I$238,O61,IF(O60=$I$239,O61*O62,IF(O60=$I$240,O61*O62*O63,1)))=0,"Fyll i 2.6-2.8",IF(O60=$I$238,O61,IF(O60=$I$239,O61*O62,IF(O60=$I$240,O61*O62*O63,1))))</f>
        <v>1</v>
      </c>
      <c r="P64" s="168">
        <f t="shared" ref="P64" si="17">IF(IF(P60=$I$238,P61,IF(P60=$I$239,P61*P62,IF(P60=$I$240,P61*P62*P63,1)))=0,"Fyll i 2.6-2.8",IF(P60=$I$238,P61,IF(P60=$I$239,P61*P62,IF(P60=$I$240,P61*P62*P63,1))))</f>
        <v>1</v>
      </c>
      <c r="Q64" s="168">
        <f t="shared" ref="Q64" si="18">IF(IF(Q60=$I$238,Q61,IF(Q60=$I$239,Q61*Q62,IF(Q60=$I$240,Q61*Q62*Q63,1)))=0,"Fyll i 2.6-2.8",IF(Q60=$I$238,Q61,IF(Q60=$I$239,Q61*Q62,IF(Q60=$I$240,Q61*Q62*Q63,1))))</f>
        <v>1</v>
      </c>
      <c r="R64" s="168">
        <f t="shared" ref="R64" si="19">IF(IF(R60=$I$238,R61,IF(R60=$I$239,R61*R62,IF(R60=$I$240,R61*R62*R63,1)))=0,"Fyll i 2.6-2.8",IF(R60=$I$238,R61,IF(R60=$I$239,R61*R62,IF(R60=$I$240,R61*R62*R63,1))))</f>
        <v>1</v>
      </c>
      <c r="S64" s="108"/>
      <c r="T64" s="108"/>
    </row>
    <row r="65" spans="2:20" s="174" customFormat="1" ht="16.5" customHeight="1">
      <c r="B65" s="111" t="s">
        <v>79</v>
      </c>
      <c r="C65" s="115" t="s">
        <v>80</v>
      </c>
      <c r="D65" s="116"/>
      <c r="E65" s="116"/>
      <c r="F65" s="116"/>
      <c r="G65" s="117"/>
      <c r="H65" s="117" t="s">
        <v>81</v>
      </c>
      <c r="I65" s="71"/>
      <c r="J65" s="71"/>
      <c r="K65" s="71"/>
      <c r="L65" s="71"/>
      <c r="M65" s="71"/>
      <c r="N65" s="71"/>
      <c r="O65" s="71"/>
      <c r="P65" s="71"/>
      <c r="Q65" s="71"/>
      <c r="R65" s="71"/>
      <c r="S65" s="108"/>
      <c r="T65" s="108"/>
    </row>
    <row r="66" spans="2:20" s="174" customFormat="1" ht="16.5" customHeight="1">
      <c r="B66" s="111"/>
      <c r="C66" s="118"/>
      <c r="D66" s="118"/>
      <c r="E66" s="118"/>
      <c r="F66" s="118"/>
      <c r="G66" s="118"/>
      <c r="H66" s="118"/>
      <c r="I66" s="179"/>
      <c r="J66" s="179"/>
      <c r="K66" s="179"/>
      <c r="L66" s="179"/>
      <c r="M66" s="179"/>
      <c r="N66" s="179"/>
      <c r="O66" s="179"/>
      <c r="P66" s="179"/>
      <c r="Q66" s="179"/>
      <c r="R66" s="179"/>
      <c r="S66" s="108"/>
      <c r="T66" s="108"/>
    </row>
    <row r="67" spans="2:20" s="174" customFormat="1" ht="16.5" customHeight="1">
      <c r="B67" s="111"/>
      <c r="C67" s="110" t="s">
        <v>191</v>
      </c>
      <c r="D67" s="118"/>
      <c r="E67" s="118"/>
      <c r="F67" s="118"/>
      <c r="G67" s="118"/>
      <c r="H67" s="118"/>
      <c r="I67" s="179"/>
      <c r="J67" s="179"/>
      <c r="K67" s="179"/>
      <c r="L67" s="179"/>
      <c r="M67" s="179"/>
      <c r="N67" s="179"/>
      <c r="O67" s="179"/>
      <c r="P67" s="179"/>
      <c r="Q67" s="179"/>
      <c r="R67" s="179"/>
      <c r="S67" s="108"/>
      <c r="T67" s="108"/>
    </row>
    <row r="68" spans="2:20" s="174" customFormat="1" ht="16.5" customHeight="1">
      <c r="B68" s="111" t="s">
        <v>58</v>
      </c>
      <c r="C68" s="115" t="s">
        <v>59</v>
      </c>
      <c r="D68" s="116"/>
      <c r="E68" s="116"/>
      <c r="F68" s="116"/>
      <c r="G68" s="117"/>
      <c r="H68" s="117" t="s">
        <v>54</v>
      </c>
      <c r="I68" s="71"/>
      <c r="J68" s="71"/>
      <c r="K68" s="71"/>
      <c r="L68" s="71"/>
      <c r="M68" s="71"/>
      <c r="N68" s="71"/>
      <c r="O68" s="71"/>
      <c r="P68" s="71"/>
      <c r="Q68" s="71"/>
      <c r="R68" s="71"/>
      <c r="S68" s="108"/>
      <c r="T68" s="108"/>
    </row>
    <row r="69" spans="2:20" s="174" customFormat="1" ht="16.5" customHeight="1">
      <c r="B69" s="111" t="s">
        <v>60</v>
      </c>
      <c r="C69" s="115" t="s">
        <v>61</v>
      </c>
      <c r="D69" s="116"/>
      <c r="E69" s="116"/>
      <c r="F69" s="116"/>
      <c r="G69" s="117"/>
      <c r="H69" s="117" t="s">
        <v>62</v>
      </c>
      <c r="I69" s="71"/>
      <c r="J69" s="71"/>
      <c r="K69" s="71"/>
      <c r="L69" s="71"/>
      <c r="M69" s="71"/>
      <c r="N69" s="71"/>
      <c r="O69" s="71"/>
      <c r="P69" s="71"/>
      <c r="Q69" s="71"/>
      <c r="R69" s="71"/>
      <c r="S69" s="108"/>
      <c r="T69" s="108"/>
    </row>
    <row r="70" spans="2:20" s="174" customFormat="1" ht="16.5" customHeight="1">
      <c r="B70" s="111" t="s">
        <v>63</v>
      </c>
      <c r="C70" s="115" t="s">
        <v>64</v>
      </c>
      <c r="D70" s="116"/>
      <c r="E70" s="116"/>
      <c r="F70" s="116"/>
      <c r="G70" s="117"/>
      <c r="H70" s="117" t="s">
        <v>62</v>
      </c>
      <c r="I70" s="71"/>
      <c r="J70" s="71"/>
      <c r="K70" s="71"/>
      <c r="L70" s="71"/>
      <c r="M70" s="71"/>
      <c r="N70" s="71"/>
      <c r="O70" s="71"/>
      <c r="P70" s="71"/>
      <c r="Q70" s="71"/>
      <c r="R70" s="71"/>
      <c r="S70" s="108"/>
      <c r="T70" s="108"/>
    </row>
    <row r="71" spans="2:20" s="174" customFormat="1" ht="16.5" customHeight="1">
      <c r="B71" s="111" t="s">
        <v>65</v>
      </c>
      <c r="C71" s="115" t="s">
        <v>66</v>
      </c>
      <c r="D71" s="116"/>
      <c r="E71" s="116"/>
      <c r="F71" s="116"/>
      <c r="G71" s="117"/>
      <c r="H71" s="117" t="s">
        <v>67</v>
      </c>
      <c r="I71" s="71"/>
      <c r="J71" s="71"/>
      <c r="K71" s="71"/>
      <c r="L71" s="71"/>
      <c r="M71" s="71"/>
      <c r="N71" s="71"/>
      <c r="O71" s="71"/>
      <c r="P71" s="71"/>
      <c r="Q71" s="71"/>
      <c r="R71" s="71"/>
      <c r="S71" s="108"/>
      <c r="T71" s="108"/>
    </row>
    <row r="72" spans="2:20" s="174" customFormat="1" ht="30" customHeight="1">
      <c r="B72" s="111" t="s">
        <v>68</v>
      </c>
      <c r="C72" s="115" t="s">
        <v>69</v>
      </c>
      <c r="D72" s="116"/>
      <c r="E72" s="116"/>
      <c r="F72" s="116"/>
      <c r="G72" s="117"/>
      <c r="H72" s="117"/>
      <c r="I72" s="71" t="s">
        <v>70</v>
      </c>
      <c r="J72" s="71" t="s">
        <v>70</v>
      </c>
      <c r="K72" s="71" t="s">
        <v>70</v>
      </c>
      <c r="L72" s="71" t="s">
        <v>70</v>
      </c>
      <c r="M72" s="71" t="s">
        <v>70</v>
      </c>
      <c r="N72" s="71" t="s">
        <v>70</v>
      </c>
      <c r="O72" s="71" t="s">
        <v>70</v>
      </c>
      <c r="P72" s="71" t="s">
        <v>70</v>
      </c>
      <c r="Q72" s="71" t="s">
        <v>70</v>
      </c>
      <c r="R72" s="71" t="s">
        <v>70</v>
      </c>
      <c r="S72" s="108"/>
      <c r="T72" s="108"/>
    </row>
    <row r="73" spans="2:20" s="174" customFormat="1" ht="16.5" customHeight="1">
      <c r="B73" s="111" t="s">
        <v>71</v>
      </c>
      <c r="C73" s="115" t="s">
        <v>72</v>
      </c>
      <c r="D73" s="116"/>
      <c r="E73" s="116"/>
      <c r="F73" s="116"/>
      <c r="G73" s="117"/>
      <c r="H73" s="117"/>
      <c r="I73" s="71"/>
      <c r="J73" s="71"/>
      <c r="K73" s="71"/>
      <c r="L73" s="71"/>
      <c r="M73" s="71"/>
      <c r="N73" s="71"/>
      <c r="O73" s="71"/>
      <c r="P73" s="71"/>
      <c r="Q73" s="71"/>
      <c r="R73" s="71"/>
      <c r="S73" s="108"/>
      <c r="T73" s="108"/>
    </row>
    <row r="74" spans="2:20" s="174" customFormat="1" ht="16.5" customHeight="1">
      <c r="B74" s="111" t="s">
        <v>73</v>
      </c>
      <c r="C74" s="115" t="s">
        <v>74</v>
      </c>
      <c r="D74" s="116"/>
      <c r="E74" s="116"/>
      <c r="F74" s="116"/>
      <c r="G74" s="117"/>
      <c r="H74" s="117"/>
      <c r="I74" s="71"/>
      <c r="J74" s="71"/>
      <c r="K74" s="71"/>
      <c r="L74" s="71"/>
      <c r="M74" s="71"/>
      <c r="N74" s="71"/>
      <c r="O74" s="71"/>
      <c r="P74" s="71"/>
      <c r="Q74" s="71"/>
      <c r="R74" s="71"/>
      <c r="S74" s="108"/>
      <c r="T74" s="108"/>
    </row>
    <row r="75" spans="2:20" s="174" customFormat="1" ht="16.5" customHeight="1">
      <c r="B75" s="111" t="s">
        <v>75</v>
      </c>
      <c r="C75" s="115" t="s">
        <v>76</v>
      </c>
      <c r="D75" s="116"/>
      <c r="E75" s="116"/>
      <c r="F75" s="116"/>
      <c r="G75" s="117"/>
      <c r="H75" s="117"/>
      <c r="I75" s="71"/>
      <c r="J75" s="71"/>
      <c r="K75" s="71"/>
      <c r="L75" s="71"/>
      <c r="M75" s="71"/>
      <c r="N75" s="71"/>
      <c r="O75" s="71"/>
      <c r="P75" s="71"/>
      <c r="Q75" s="71"/>
      <c r="R75" s="71"/>
      <c r="S75" s="108"/>
      <c r="T75" s="108"/>
    </row>
    <row r="76" spans="2:20" s="174" customFormat="1" ht="16.5" customHeight="1">
      <c r="B76" s="111" t="s">
        <v>77</v>
      </c>
      <c r="C76" s="119" t="s">
        <v>78</v>
      </c>
      <c r="D76" s="116"/>
      <c r="E76" s="116"/>
      <c r="F76" s="116"/>
      <c r="G76" s="117"/>
      <c r="H76" s="117"/>
      <c r="I76" s="168">
        <f>IF(IF(I72=$I$238,I73,IF(I72=$I$239,I73*I74,IF(I72=$I$240,I73*I74*I75,1)))=0,"Fyll i 2.6-2.8",IF(I72=$I$238,I73,IF(I72=$I$239,I73*I74,IF(I72=$I$240,I73*I74*I75,1))))</f>
        <v>1</v>
      </c>
      <c r="J76" s="168">
        <f t="shared" ref="J76" si="20">IF(IF(J72=$I$238,J73,IF(J72=$I$239,J73*J74,IF(J72=$I$240,J73*J74*J75,1)))=0,"Fyll i 2.6-2.8",IF(J72=$I$238,J73,IF(J72=$I$239,J73*J74,IF(J72=$I$240,J73*J74*J75,1))))</f>
        <v>1</v>
      </c>
      <c r="K76" s="168">
        <f t="shared" ref="K76" si="21">IF(IF(K72=$I$238,K73,IF(K72=$I$239,K73*K74,IF(K72=$I$240,K73*K74*K75,1)))=0,"Fyll i 2.6-2.8",IF(K72=$I$238,K73,IF(K72=$I$239,K73*K74,IF(K72=$I$240,K73*K74*K75,1))))</f>
        <v>1</v>
      </c>
      <c r="L76" s="168">
        <f t="shared" ref="L76" si="22">IF(IF(L72=$I$238,L73,IF(L72=$I$239,L73*L74,IF(L72=$I$240,L73*L74*L75,1)))=0,"Fyll i 2.6-2.8",IF(L72=$I$238,L73,IF(L72=$I$239,L73*L74,IF(L72=$I$240,L73*L74*L75,1))))</f>
        <v>1</v>
      </c>
      <c r="M76" s="168">
        <f t="shared" ref="M76" si="23">IF(IF(M72=$I$238,M73,IF(M72=$I$239,M73*M74,IF(M72=$I$240,M73*M74*M75,1)))=0,"Fyll i 2.6-2.8",IF(M72=$I$238,M73,IF(M72=$I$239,M73*M74,IF(M72=$I$240,M73*M74*M75,1))))</f>
        <v>1</v>
      </c>
      <c r="N76" s="168">
        <f t="shared" ref="N76" si="24">IF(IF(N72=$I$238,N73,IF(N72=$I$239,N73*N74,IF(N72=$I$240,N73*N74*N75,1)))=0,"Fyll i 2.6-2.8",IF(N72=$I$238,N73,IF(N72=$I$239,N73*N74,IF(N72=$I$240,N73*N74*N75,1))))</f>
        <v>1</v>
      </c>
      <c r="O76" s="168">
        <f t="shared" ref="O76" si="25">IF(IF(O72=$I$238,O73,IF(O72=$I$239,O73*O74,IF(O72=$I$240,O73*O74*O75,1)))=0,"Fyll i 2.6-2.8",IF(O72=$I$238,O73,IF(O72=$I$239,O73*O74,IF(O72=$I$240,O73*O74*O75,1))))</f>
        <v>1</v>
      </c>
      <c r="P76" s="168">
        <f t="shared" ref="P76" si="26">IF(IF(P72=$I$238,P73,IF(P72=$I$239,P73*P74,IF(P72=$I$240,P73*P74*P75,1)))=0,"Fyll i 2.6-2.8",IF(P72=$I$238,P73,IF(P72=$I$239,P73*P74,IF(P72=$I$240,P73*P74*P75,1))))</f>
        <v>1</v>
      </c>
      <c r="Q76" s="168">
        <f t="shared" ref="Q76" si="27">IF(IF(Q72=$I$238,Q73,IF(Q72=$I$239,Q73*Q74,IF(Q72=$I$240,Q73*Q74*Q75,1)))=0,"Fyll i 2.6-2.8",IF(Q72=$I$238,Q73,IF(Q72=$I$239,Q73*Q74,IF(Q72=$I$240,Q73*Q74*Q75,1))))</f>
        <v>1</v>
      </c>
      <c r="R76" s="168">
        <f t="shared" ref="R76" si="28">IF(IF(R72=$I$238,R73,IF(R72=$I$239,R73*R74,IF(R72=$I$240,R73*R74*R75,1)))=0,"Fyll i 2.6-2.8",IF(R72=$I$238,R73,IF(R72=$I$239,R73*R74,IF(R72=$I$240,R73*R74*R75,1))))</f>
        <v>1</v>
      </c>
      <c r="S76" s="108"/>
      <c r="T76" s="108"/>
    </row>
    <row r="77" spans="2:20" s="174" customFormat="1" ht="16.5" customHeight="1">
      <c r="B77" s="111" t="s">
        <v>79</v>
      </c>
      <c r="C77" s="115" t="s">
        <v>80</v>
      </c>
      <c r="D77" s="116"/>
      <c r="E77" s="116"/>
      <c r="F77" s="116"/>
      <c r="G77" s="117"/>
      <c r="H77" s="117" t="s">
        <v>81</v>
      </c>
      <c r="I77" s="71"/>
      <c r="J77" s="71"/>
      <c r="K77" s="71"/>
      <c r="L77" s="71"/>
      <c r="M77" s="71"/>
      <c r="N77" s="71"/>
      <c r="O77" s="71"/>
      <c r="P77" s="71"/>
      <c r="Q77" s="71"/>
      <c r="R77" s="71"/>
      <c r="S77" s="108"/>
      <c r="T77" s="108"/>
    </row>
    <row r="78" spans="2:20" s="174" customFormat="1" ht="16.5" customHeight="1">
      <c r="B78" s="111"/>
      <c r="C78" s="118"/>
      <c r="D78" s="118"/>
      <c r="E78" s="118"/>
      <c r="F78" s="118"/>
      <c r="G78" s="118"/>
      <c r="H78" s="118"/>
      <c r="I78" s="179"/>
      <c r="J78" s="179"/>
      <c r="K78" s="179"/>
      <c r="L78" s="179"/>
      <c r="M78" s="179"/>
      <c r="N78" s="179"/>
      <c r="O78" s="179"/>
      <c r="P78" s="179"/>
      <c r="Q78" s="179"/>
      <c r="R78" s="179"/>
      <c r="S78" s="108"/>
      <c r="T78" s="108"/>
    </row>
    <row r="79" spans="2:20" s="174" customFormat="1" ht="16.5" customHeight="1">
      <c r="B79" s="111"/>
      <c r="C79" s="110" t="s">
        <v>192</v>
      </c>
      <c r="D79" s="118"/>
      <c r="E79" s="118"/>
      <c r="F79" s="118"/>
      <c r="G79" s="118"/>
      <c r="H79" s="118"/>
      <c r="I79" s="179"/>
      <c r="J79" s="179"/>
      <c r="K79" s="179"/>
      <c r="L79" s="179"/>
      <c r="M79" s="179"/>
      <c r="N79" s="179"/>
      <c r="O79" s="179"/>
      <c r="P79" s="179"/>
      <c r="Q79" s="179"/>
      <c r="R79" s="179"/>
      <c r="S79" s="108"/>
      <c r="T79" s="108"/>
    </row>
    <row r="80" spans="2:20" s="174" customFormat="1" ht="16.5" customHeight="1">
      <c r="B80" s="111" t="s">
        <v>58</v>
      </c>
      <c r="C80" s="115" t="s">
        <v>59</v>
      </c>
      <c r="D80" s="116"/>
      <c r="E80" s="116"/>
      <c r="F80" s="116"/>
      <c r="G80" s="117"/>
      <c r="H80" s="117" t="s">
        <v>54</v>
      </c>
      <c r="I80" s="71"/>
      <c r="J80" s="71"/>
      <c r="K80" s="71"/>
      <c r="L80" s="71"/>
      <c r="M80" s="71"/>
      <c r="N80" s="71"/>
      <c r="O80" s="71"/>
      <c r="P80" s="71"/>
      <c r="Q80" s="71"/>
      <c r="R80" s="71"/>
      <c r="S80" s="108"/>
      <c r="T80" s="108"/>
    </row>
    <row r="81" spans="2:20" s="174" customFormat="1" ht="16.5" customHeight="1">
      <c r="B81" s="111" t="s">
        <v>60</v>
      </c>
      <c r="C81" s="115" t="s">
        <v>61</v>
      </c>
      <c r="D81" s="116"/>
      <c r="E81" s="116"/>
      <c r="F81" s="116"/>
      <c r="G81" s="117"/>
      <c r="H81" s="117" t="s">
        <v>62</v>
      </c>
      <c r="I81" s="71"/>
      <c r="J81" s="71"/>
      <c r="K81" s="71"/>
      <c r="L81" s="71"/>
      <c r="M81" s="71"/>
      <c r="N81" s="71"/>
      <c r="O81" s="71"/>
      <c r="P81" s="71"/>
      <c r="Q81" s="71"/>
      <c r="R81" s="71"/>
      <c r="S81" s="108"/>
      <c r="T81" s="108"/>
    </row>
    <row r="82" spans="2:20" s="174" customFormat="1" ht="16.5" customHeight="1">
      <c r="B82" s="111" t="s">
        <v>63</v>
      </c>
      <c r="C82" s="115" t="s">
        <v>64</v>
      </c>
      <c r="D82" s="116"/>
      <c r="E82" s="116"/>
      <c r="F82" s="116"/>
      <c r="G82" s="117"/>
      <c r="H82" s="117" t="s">
        <v>62</v>
      </c>
      <c r="I82" s="71"/>
      <c r="J82" s="71"/>
      <c r="K82" s="71"/>
      <c r="L82" s="71"/>
      <c r="M82" s="71"/>
      <c r="N82" s="71"/>
      <c r="O82" s="71"/>
      <c r="P82" s="71"/>
      <c r="Q82" s="71"/>
      <c r="R82" s="71"/>
      <c r="S82" s="108"/>
      <c r="T82" s="108"/>
    </row>
    <row r="83" spans="2:20" s="174" customFormat="1" ht="16.5" customHeight="1">
      <c r="B83" s="111" t="s">
        <v>65</v>
      </c>
      <c r="C83" s="115" t="s">
        <v>66</v>
      </c>
      <c r="D83" s="116"/>
      <c r="E83" s="116"/>
      <c r="F83" s="116"/>
      <c r="G83" s="117"/>
      <c r="H83" s="117" t="s">
        <v>67</v>
      </c>
      <c r="I83" s="71"/>
      <c r="J83" s="71"/>
      <c r="K83" s="71"/>
      <c r="L83" s="71"/>
      <c r="M83" s="71"/>
      <c r="N83" s="71"/>
      <c r="O83" s="71"/>
      <c r="P83" s="71"/>
      <c r="Q83" s="71"/>
      <c r="R83" s="71"/>
      <c r="S83" s="108"/>
      <c r="T83" s="108"/>
    </row>
    <row r="84" spans="2:20" s="180" customFormat="1" ht="30" customHeight="1">
      <c r="B84" s="120" t="s">
        <v>68</v>
      </c>
      <c r="C84" s="115" t="s">
        <v>69</v>
      </c>
      <c r="D84" s="121"/>
      <c r="E84" s="121"/>
      <c r="F84" s="121"/>
      <c r="G84" s="122"/>
      <c r="H84" s="122"/>
      <c r="I84" s="71" t="s">
        <v>70</v>
      </c>
      <c r="J84" s="71" t="s">
        <v>70</v>
      </c>
      <c r="K84" s="71" t="s">
        <v>70</v>
      </c>
      <c r="L84" s="71" t="s">
        <v>70</v>
      </c>
      <c r="M84" s="71" t="s">
        <v>70</v>
      </c>
      <c r="N84" s="71" t="s">
        <v>70</v>
      </c>
      <c r="O84" s="71" t="s">
        <v>70</v>
      </c>
      <c r="P84" s="71" t="s">
        <v>70</v>
      </c>
      <c r="Q84" s="71" t="s">
        <v>70</v>
      </c>
      <c r="R84" s="71" t="s">
        <v>70</v>
      </c>
      <c r="S84" s="108"/>
      <c r="T84" s="108"/>
    </row>
    <row r="85" spans="2:20" s="174" customFormat="1" ht="16.5" customHeight="1">
      <c r="B85" s="111" t="s">
        <v>71</v>
      </c>
      <c r="C85" s="115" t="s">
        <v>72</v>
      </c>
      <c r="D85" s="116"/>
      <c r="E85" s="116"/>
      <c r="F85" s="116"/>
      <c r="G85" s="117"/>
      <c r="H85" s="117"/>
      <c r="I85" s="71"/>
      <c r="J85" s="71"/>
      <c r="K85" s="71"/>
      <c r="L85" s="71"/>
      <c r="M85" s="71"/>
      <c r="N85" s="71"/>
      <c r="O85" s="71"/>
      <c r="P85" s="71"/>
      <c r="Q85" s="71"/>
      <c r="R85" s="71"/>
      <c r="S85" s="108"/>
      <c r="T85" s="108"/>
    </row>
    <row r="86" spans="2:20" s="174" customFormat="1" ht="16.5" customHeight="1">
      <c r="B86" s="111" t="s">
        <v>73</v>
      </c>
      <c r="C86" s="115" t="s">
        <v>74</v>
      </c>
      <c r="D86" s="116"/>
      <c r="E86" s="116"/>
      <c r="F86" s="116"/>
      <c r="G86" s="117"/>
      <c r="H86" s="117"/>
      <c r="I86" s="71"/>
      <c r="J86" s="71"/>
      <c r="K86" s="71"/>
      <c r="L86" s="71"/>
      <c r="M86" s="71"/>
      <c r="N86" s="71"/>
      <c r="O86" s="71"/>
      <c r="P86" s="71"/>
      <c r="Q86" s="71"/>
      <c r="R86" s="71"/>
      <c r="S86" s="108"/>
      <c r="T86" s="108"/>
    </row>
    <row r="87" spans="2:20" s="174" customFormat="1" ht="16.5" customHeight="1">
      <c r="B87" s="111" t="s">
        <v>75</v>
      </c>
      <c r="C87" s="115" t="s">
        <v>76</v>
      </c>
      <c r="D87" s="116"/>
      <c r="E87" s="116"/>
      <c r="F87" s="116"/>
      <c r="G87" s="117"/>
      <c r="H87" s="117"/>
      <c r="I87" s="71"/>
      <c r="J87" s="71"/>
      <c r="K87" s="71"/>
      <c r="L87" s="71"/>
      <c r="M87" s="71"/>
      <c r="N87" s="71"/>
      <c r="O87" s="71"/>
      <c r="P87" s="71"/>
      <c r="Q87" s="71"/>
      <c r="R87" s="71"/>
      <c r="S87" s="108"/>
      <c r="T87" s="108"/>
    </row>
    <row r="88" spans="2:20" s="174" customFormat="1" ht="16.5" customHeight="1">
      <c r="B88" s="111" t="s">
        <v>77</v>
      </c>
      <c r="C88" s="119" t="s">
        <v>78</v>
      </c>
      <c r="D88" s="116"/>
      <c r="E88" s="116"/>
      <c r="F88" s="116"/>
      <c r="G88" s="117"/>
      <c r="H88" s="117"/>
      <c r="I88" s="168">
        <f>IF(IF(I84=$I$238,I85,IF(I84=$I$239,I85*I86,IF(I84=$I$240,I85*I86*I87,1)))=0,"Fyll i 2.6-2.8",IF(I84=$I$238,I85,IF(I84=$I$239,I85*I86,IF(I84=$I$240,I85*I86*I87,1))))</f>
        <v>1</v>
      </c>
      <c r="J88" s="168">
        <f t="shared" ref="J88" si="29">IF(IF(J84=$I$238,J85,IF(J84=$I$239,J85*J86,IF(J84=$I$240,J85*J86*J87,1)))=0,"Fyll i 2.6-2.8",IF(J84=$I$238,J85,IF(J84=$I$239,J85*J86,IF(J84=$I$240,J85*J86*J87,1))))</f>
        <v>1</v>
      </c>
      <c r="K88" s="168">
        <f t="shared" ref="K88" si="30">IF(IF(K84=$I$238,K85,IF(K84=$I$239,K85*K86,IF(K84=$I$240,K85*K86*K87,1)))=0,"Fyll i 2.6-2.8",IF(K84=$I$238,K85,IF(K84=$I$239,K85*K86,IF(K84=$I$240,K85*K86*K87,1))))</f>
        <v>1</v>
      </c>
      <c r="L88" s="168">
        <f t="shared" ref="L88" si="31">IF(IF(L84=$I$238,L85,IF(L84=$I$239,L85*L86,IF(L84=$I$240,L85*L86*L87,1)))=0,"Fyll i 2.6-2.8",IF(L84=$I$238,L85,IF(L84=$I$239,L85*L86,IF(L84=$I$240,L85*L86*L87,1))))</f>
        <v>1</v>
      </c>
      <c r="M88" s="168">
        <f t="shared" ref="M88" si="32">IF(IF(M84=$I$238,M85,IF(M84=$I$239,M85*M86,IF(M84=$I$240,M85*M86*M87,1)))=0,"Fyll i 2.6-2.8",IF(M84=$I$238,M85,IF(M84=$I$239,M85*M86,IF(M84=$I$240,M85*M86*M87,1))))</f>
        <v>1</v>
      </c>
      <c r="N88" s="168">
        <f t="shared" ref="N88" si="33">IF(IF(N84=$I$238,N85,IF(N84=$I$239,N85*N86,IF(N84=$I$240,N85*N86*N87,1)))=0,"Fyll i 2.6-2.8",IF(N84=$I$238,N85,IF(N84=$I$239,N85*N86,IF(N84=$I$240,N85*N86*N87,1))))</f>
        <v>1</v>
      </c>
      <c r="O88" s="168">
        <f t="shared" ref="O88" si="34">IF(IF(O84=$I$238,O85,IF(O84=$I$239,O85*O86,IF(O84=$I$240,O85*O86*O87,1)))=0,"Fyll i 2.6-2.8",IF(O84=$I$238,O85,IF(O84=$I$239,O85*O86,IF(O84=$I$240,O85*O86*O87,1))))</f>
        <v>1</v>
      </c>
      <c r="P88" s="168">
        <f t="shared" ref="P88" si="35">IF(IF(P84=$I$238,P85,IF(P84=$I$239,P85*P86,IF(P84=$I$240,P85*P86*P87,1)))=0,"Fyll i 2.6-2.8",IF(P84=$I$238,P85,IF(P84=$I$239,P85*P86,IF(P84=$I$240,P85*P86*P87,1))))</f>
        <v>1</v>
      </c>
      <c r="Q88" s="168">
        <f t="shared" ref="Q88" si="36">IF(IF(Q84=$I$238,Q85,IF(Q84=$I$239,Q85*Q86,IF(Q84=$I$240,Q85*Q86*Q87,1)))=0,"Fyll i 2.6-2.8",IF(Q84=$I$238,Q85,IF(Q84=$I$239,Q85*Q86,IF(Q84=$I$240,Q85*Q86*Q87,1))))</f>
        <v>1</v>
      </c>
      <c r="R88" s="168">
        <f t="shared" ref="R88" si="37">IF(IF(R84=$I$238,R85,IF(R84=$I$239,R85*R86,IF(R84=$I$240,R85*R86*R87,1)))=0,"Fyll i 2.6-2.8",IF(R84=$I$238,R85,IF(R84=$I$239,R85*R86,IF(R84=$I$240,R85*R86*R87,1))))</f>
        <v>1</v>
      </c>
      <c r="S88" s="108"/>
      <c r="T88" s="108"/>
    </row>
    <row r="89" spans="2:20" s="174" customFormat="1" ht="16.5" customHeight="1">
      <c r="B89" s="111" t="s">
        <v>79</v>
      </c>
      <c r="C89" s="115" t="s">
        <v>80</v>
      </c>
      <c r="D89" s="116"/>
      <c r="E89" s="116"/>
      <c r="F89" s="116"/>
      <c r="G89" s="117"/>
      <c r="H89" s="117" t="s">
        <v>81</v>
      </c>
      <c r="I89" s="71"/>
      <c r="J89" s="71"/>
      <c r="K89" s="71"/>
      <c r="L89" s="71"/>
      <c r="M89" s="71"/>
      <c r="N89" s="71"/>
      <c r="O89" s="71"/>
      <c r="P89" s="71"/>
      <c r="Q89" s="71"/>
      <c r="R89" s="71"/>
      <c r="S89" s="108"/>
      <c r="T89" s="108"/>
    </row>
    <row r="90" spans="2:20" s="174" customFormat="1" ht="16.5" customHeight="1">
      <c r="B90" s="111"/>
      <c r="C90" s="118"/>
      <c r="D90" s="118"/>
      <c r="E90" s="118"/>
      <c r="F90" s="118"/>
      <c r="G90" s="118"/>
      <c r="H90" s="118"/>
      <c r="I90" s="179"/>
      <c r="J90" s="179"/>
      <c r="K90" s="179"/>
      <c r="L90" s="179"/>
      <c r="M90" s="179"/>
      <c r="N90" s="179"/>
      <c r="O90" s="179"/>
      <c r="P90" s="179"/>
      <c r="Q90" s="179"/>
      <c r="R90" s="179"/>
      <c r="S90" s="108"/>
      <c r="T90" s="108"/>
    </row>
    <row r="91" spans="2:20" s="174" customFormat="1" ht="16.5" customHeight="1">
      <c r="B91" s="111"/>
      <c r="C91" s="110" t="s">
        <v>193</v>
      </c>
      <c r="D91" s="118"/>
      <c r="E91" s="118"/>
      <c r="F91" s="118"/>
      <c r="G91" s="118"/>
      <c r="H91" s="118"/>
      <c r="I91" s="179"/>
      <c r="J91" s="179"/>
      <c r="K91" s="179"/>
      <c r="L91" s="179"/>
      <c r="M91" s="179"/>
      <c r="N91" s="179"/>
      <c r="O91" s="179"/>
      <c r="P91" s="179"/>
      <c r="Q91" s="179"/>
      <c r="R91" s="179"/>
      <c r="S91" s="108"/>
      <c r="T91" s="108"/>
    </row>
    <row r="92" spans="2:20" s="174" customFormat="1" ht="16.5" customHeight="1">
      <c r="B92" s="111" t="s">
        <v>58</v>
      </c>
      <c r="C92" s="115" t="s">
        <v>59</v>
      </c>
      <c r="D92" s="116"/>
      <c r="E92" s="116"/>
      <c r="F92" s="116"/>
      <c r="G92" s="117"/>
      <c r="H92" s="117" t="s">
        <v>54</v>
      </c>
      <c r="I92" s="71"/>
      <c r="J92" s="71"/>
      <c r="K92" s="71"/>
      <c r="L92" s="71"/>
      <c r="M92" s="71"/>
      <c r="N92" s="71"/>
      <c r="O92" s="71"/>
      <c r="P92" s="71"/>
      <c r="Q92" s="71"/>
      <c r="R92" s="71"/>
      <c r="S92" s="108"/>
      <c r="T92" s="108"/>
    </row>
    <row r="93" spans="2:20" s="174" customFormat="1" ht="16.5" customHeight="1">
      <c r="B93" s="111" t="s">
        <v>60</v>
      </c>
      <c r="C93" s="115" t="s">
        <v>61</v>
      </c>
      <c r="D93" s="116"/>
      <c r="E93" s="116"/>
      <c r="F93" s="116"/>
      <c r="G93" s="117"/>
      <c r="H93" s="117" t="s">
        <v>62</v>
      </c>
      <c r="I93" s="71"/>
      <c r="J93" s="71"/>
      <c r="K93" s="71"/>
      <c r="L93" s="71"/>
      <c r="M93" s="71"/>
      <c r="N93" s="71"/>
      <c r="O93" s="71"/>
      <c r="P93" s="71"/>
      <c r="Q93" s="71"/>
      <c r="R93" s="71"/>
      <c r="S93" s="108"/>
      <c r="T93" s="108"/>
    </row>
    <row r="94" spans="2:20" s="174" customFormat="1" ht="16.5" customHeight="1">
      <c r="B94" s="111" t="s">
        <v>63</v>
      </c>
      <c r="C94" s="115" t="s">
        <v>64</v>
      </c>
      <c r="D94" s="116"/>
      <c r="E94" s="116"/>
      <c r="F94" s="116"/>
      <c r="G94" s="117"/>
      <c r="H94" s="117" t="s">
        <v>62</v>
      </c>
      <c r="I94" s="71"/>
      <c r="J94" s="71"/>
      <c r="K94" s="71"/>
      <c r="L94" s="71"/>
      <c r="M94" s="71"/>
      <c r="N94" s="71"/>
      <c r="O94" s="71"/>
      <c r="P94" s="71"/>
      <c r="Q94" s="71"/>
      <c r="R94" s="71"/>
      <c r="S94" s="108"/>
      <c r="T94" s="108"/>
    </row>
    <row r="95" spans="2:20" s="174" customFormat="1" ht="16.5" customHeight="1">
      <c r="B95" s="111" t="s">
        <v>65</v>
      </c>
      <c r="C95" s="115" t="s">
        <v>66</v>
      </c>
      <c r="D95" s="116"/>
      <c r="E95" s="116"/>
      <c r="F95" s="116"/>
      <c r="G95" s="117"/>
      <c r="H95" s="117" t="s">
        <v>67</v>
      </c>
      <c r="I95" s="71"/>
      <c r="J95" s="71"/>
      <c r="K95" s="71"/>
      <c r="L95" s="71"/>
      <c r="M95" s="71"/>
      <c r="N95" s="71"/>
      <c r="O95" s="71"/>
      <c r="P95" s="71"/>
      <c r="Q95" s="71"/>
      <c r="R95" s="71"/>
      <c r="S95" s="108"/>
      <c r="T95" s="108"/>
    </row>
    <row r="96" spans="2:20" s="180" customFormat="1" ht="30" customHeight="1">
      <c r="B96" s="120" t="s">
        <v>68</v>
      </c>
      <c r="C96" s="115" t="s">
        <v>69</v>
      </c>
      <c r="D96" s="121"/>
      <c r="E96" s="121"/>
      <c r="F96" s="121"/>
      <c r="G96" s="122"/>
      <c r="H96" s="122"/>
      <c r="I96" s="71" t="s">
        <v>70</v>
      </c>
      <c r="J96" s="71" t="s">
        <v>70</v>
      </c>
      <c r="K96" s="71" t="s">
        <v>70</v>
      </c>
      <c r="L96" s="71" t="s">
        <v>70</v>
      </c>
      <c r="M96" s="71" t="s">
        <v>70</v>
      </c>
      <c r="N96" s="71" t="s">
        <v>70</v>
      </c>
      <c r="O96" s="71" t="s">
        <v>70</v>
      </c>
      <c r="P96" s="71" t="s">
        <v>70</v>
      </c>
      <c r="Q96" s="71" t="s">
        <v>70</v>
      </c>
      <c r="R96" s="71" t="s">
        <v>70</v>
      </c>
      <c r="S96" s="108"/>
      <c r="T96" s="108"/>
    </row>
    <row r="97" spans="2:20" s="174" customFormat="1" ht="16.5" customHeight="1">
      <c r="B97" s="111" t="s">
        <v>71</v>
      </c>
      <c r="C97" s="115" t="s">
        <v>72</v>
      </c>
      <c r="D97" s="116"/>
      <c r="E97" s="116"/>
      <c r="F97" s="116"/>
      <c r="G97" s="117"/>
      <c r="H97" s="117"/>
      <c r="I97" s="71"/>
      <c r="J97" s="71"/>
      <c r="K97" s="71"/>
      <c r="L97" s="71"/>
      <c r="M97" s="71"/>
      <c r="N97" s="71"/>
      <c r="O97" s="71"/>
      <c r="P97" s="71"/>
      <c r="Q97" s="71"/>
      <c r="R97" s="71"/>
      <c r="S97" s="108"/>
      <c r="T97" s="108"/>
    </row>
    <row r="98" spans="2:20" s="174" customFormat="1" ht="16.5" customHeight="1">
      <c r="B98" s="111" t="s">
        <v>73</v>
      </c>
      <c r="C98" s="115" t="s">
        <v>74</v>
      </c>
      <c r="D98" s="116"/>
      <c r="E98" s="116"/>
      <c r="F98" s="116"/>
      <c r="G98" s="117"/>
      <c r="H98" s="117"/>
      <c r="I98" s="71"/>
      <c r="J98" s="71"/>
      <c r="K98" s="71"/>
      <c r="L98" s="71"/>
      <c r="M98" s="71"/>
      <c r="N98" s="71"/>
      <c r="O98" s="71"/>
      <c r="P98" s="71"/>
      <c r="Q98" s="71"/>
      <c r="R98" s="71"/>
      <c r="S98" s="108"/>
      <c r="T98" s="108"/>
    </row>
    <row r="99" spans="2:20" s="174" customFormat="1" ht="16.5" customHeight="1">
      <c r="B99" s="111" t="s">
        <v>75</v>
      </c>
      <c r="C99" s="115" t="s">
        <v>76</v>
      </c>
      <c r="D99" s="116"/>
      <c r="E99" s="116"/>
      <c r="F99" s="116"/>
      <c r="G99" s="117"/>
      <c r="H99" s="117"/>
      <c r="I99" s="71"/>
      <c r="J99" s="71"/>
      <c r="K99" s="71"/>
      <c r="L99" s="71"/>
      <c r="M99" s="71"/>
      <c r="N99" s="71"/>
      <c r="O99" s="71"/>
      <c r="P99" s="71"/>
      <c r="Q99" s="71"/>
      <c r="R99" s="71"/>
      <c r="S99" s="108"/>
      <c r="T99" s="108"/>
    </row>
    <row r="100" spans="2:20" s="174" customFormat="1" ht="16.5" customHeight="1">
      <c r="B100" s="111" t="s">
        <v>77</v>
      </c>
      <c r="C100" s="119" t="s">
        <v>78</v>
      </c>
      <c r="D100" s="116"/>
      <c r="E100" s="116"/>
      <c r="F100" s="116"/>
      <c r="G100" s="117"/>
      <c r="H100" s="117"/>
      <c r="I100" s="168">
        <f>IF(IF(I96=$I$238,I97,IF(I96=$I$239,I97*I98,IF(I96=$I$240,I97*I98*I99,1)))=0,"Fyll i 2.6-2.8",IF(I96=$I$238,I97,IF(I96=$I$239,I97*I98,IF(I96=$I$240,I97*I98*I99,1))))</f>
        <v>1</v>
      </c>
      <c r="J100" s="168">
        <f t="shared" ref="J100" si="38">IF(IF(J96=$I$238,J97,IF(J96=$I$239,J97*J98,IF(J96=$I$240,J97*J98*J99,1)))=0,"Fyll i 2.6-2.8",IF(J96=$I$238,J97,IF(J96=$I$239,J97*J98,IF(J96=$I$240,J97*J98*J99,1))))</f>
        <v>1</v>
      </c>
      <c r="K100" s="168">
        <f t="shared" ref="K100" si="39">IF(IF(K96=$I$238,K97,IF(K96=$I$239,K97*K98,IF(K96=$I$240,K97*K98*K99,1)))=0,"Fyll i 2.6-2.8",IF(K96=$I$238,K97,IF(K96=$I$239,K97*K98,IF(K96=$I$240,K97*K98*K99,1))))</f>
        <v>1</v>
      </c>
      <c r="L100" s="168">
        <f t="shared" ref="L100" si="40">IF(IF(L96=$I$238,L97,IF(L96=$I$239,L97*L98,IF(L96=$I$240,L97*L98*L99,1)))=0,"Fyll i 2.6-2.8",IF(L96=$I$238,L97,IF(L96=$I$239,L97*L98,IF(L96=$I$240,L97*L98*L99,1))))</f>
        <v>1</v>
      </c>
      <c r="M100" s="168">
        <f t="shared" ref="M100" si="41">IF(IF(M96=$I$238,M97,IF(M96=$I$239,M97*M98,IF(M96=$I$240,M97*M98*M99,1)))=0,"Fyll i 2.6-2.8",IF(M96=$I$238,M97,IF(M96=$I$239,M97*M98,IF(M96=$I$240,M97*M98*M99,1))))</f>
        <v>1</v>
      </c>
      <c r="N100" s="168">
        <f t="shared" ref="N100" si="42">IF(IF(N96=$I$238,N97,IF(N96=$I$239,N97*N98,IF(N96=$I$240,N97*N98*N99,1)))=0,"Fyll i 2.6-2.8",IF(N96=$I$238,N97,IF(N96=$I$239,N97*N98,IF(N96=$I$240,N97*N98*N99,1))))</f>
        <v>1</v>
      </c>
      <c r="O100" s="168">
        <f t="shared" ref="O100" si="43">IF(IF(O96=$I$238,O97,IF(O96=$I$239,O97*O98,IF(O96=$I$240,O97*O98*O99,1)))=0,"Fyll i 2.6-2.8",IF(O96=$I$238,O97,IF(O96=$I$239,O97*O98,IF(O96=$I$240,O97*O98*O99,1))))</f>
        <v>1</v>
      </c>
      <c r="P100" s="168">
        <f t="shared" ref="P100" si="44">IF(IF(P96=$I$238,P97,IF(P96=$I$239,P97*P98,IF(P96=$I$240,P97*P98*P99,1)))=0,"Fyll i 2.6-2.8",IF(P96=$I$238,P97,IF(P96=$I$239,P97*P98,IF(P96=$I$240,P97*P98*P99,1))))</f>
        <v>1</v>
      </c>
      <c r="Q100" s="168">
        <f t="shared" ref="Q100" si="45">IF(IF(Q96=$I$238,Q97,IF(Q96=$I$239,Q97*Q98,IF(Q96=$I$240,Q97*Q98*Q99,1)))=0,"Fyll i 2.6-2.8",IF(Q96=$I$238,Q97,IF(Q96=$I$239,Q97*Q98,IF(Q96=$I$240,Q97*Q98*Q99,1))))</f>
        <v>1</v>
      </c>
      <c r="R100" s="168">
        <f t="shared" ref="R100" si="46">IF(IF(R96=$I$238,R97,IF(R96=$I$239,R97*R98,IF(R96=$I$240,R97*R98*R99,1)))=0,"Fyll i 2.6-2.8",IF(R96=$I$238,R97,IF(R96=$I$239,R97*R98,IF(R96=$I$240,R97*R98*R99,1))))</f>
        <v>1</v>
      </c>
      <c r="S100" s="108"/>
      <c r="T100" s="108"/>
    </row>
    <row r="101" spans="2:20" s="174" customFormat="1" ht="16.5" customHeight="1">
      <c r="B101" s="111" t="s">
        <v>79</v>
      </c>
      <c r="C101" s="115" t="s">
        <v>80</v>
      </c>
      <c r="D101" s="116"/>
      <c r="E101" s="116"/>
      <c r="F101" s="116"/>
      <c r="G101" s="117"/>
      <c r="H101" s="117" t="s">
        <v>81</v>
      </c>
      <c r="I101" s="71"/>
      <c r="J101" s="71"/>
      <c r="K101" s="71"/>
      <c r="L101" s="71"/>
      <c r="M101" s="71"/>
      <c r="N101" s="71"/>
      <c r="O101" s="71"/>
      <c r="P101" s="71"/>
      <c r="Q101" s="71"/>
      <c r="R101" s="71"/>
      <c r="S101" s="108"/>
      <c r="T101" s="108"/>
    </row>
    <row r="102" spans="2:20" s="174" customFormat="1" ht="16.5" customHeight="1">
      <c r="B102" s="111"/>
      <c r="C102" s="118"/>
      <c r="D102" s="118"/>
      <c r="E102" s="118"/>
      <c r="F102" s="118"/>
      <c r="G102" s="118"/>
      <c r="H102" s="118"/>
      <c r="I102" s="179"/>
      <c r="J102" s="179"/>
      <c r="K102" s="179"/>
      <c r="L102" s="179"/>
      <c r="M102" s="179"/>
      <c r="N102" s="179"/>
      <c r="O102" s="179"/>
      <c r="P102" s="179"/>
      <c r="Q102" s="179"/>
      <c r="R102" s="179"/>
      <c r="S102" s="108"/>
      <c r="T102" s="108"/>
    </row>
    <row r="103" spans="2:20" s="174" customFormat="1" ht="16.5" customHeight="1">
      <c r="B103" s="111"/>
      <c r="C103" s="110" t="s">
        <v>194</v>
      </c>
      <c r="D103" s="118"/>
      <c r="E103" s="118"/>
      <c r="F103" s="118"/>
      <c r="G103" s="118"/>
      <c r="H103" s="118"/>
      <c r="I103" s="179"/>
      <c r="J103" s="179"/>
      <c r="K103" s="179"/>
      <c r="L103" s="179"/>
      <c r="M103" s="179"/>
      <c r="N103" s="179"/>
      <c r="O103" s="179"/>
      <c r="P103" s="179"/>
      <c r="Q103" s="179"/>
      <c r="R103" s="179"/>
      <c r="S103" s="108"/>
      <c r="T103" s="108"/>
    </row>
    <row r="104" spans="2:20" s="174" customFormat="1" ht="16.5" customHeight="1">
      <c r="B104" s="111" t="s">
        <v>58</v>
      </c>
      <c r="C104" s="115" t="s">
        <v>59</v>
      </c>
      <c r="D104" s="116"/>
      <c r="E104" s="116"/>
      <c r="F104" s="116"/>
      <c r="G104" s="117"/>
      <c r="H104" s="117" t="s">
        <v>54</v>
      </c>
      <c r="I104" s="71"/>
      <c r="J104" s="71"/>
      <c r="K104" s="71"/>
      <c r="L104" s="71"/>
      <c r="M104" s="71"/>
      <c r="N104" s="71"/>
      <c r="O104" s="71"/>
      <c r="P104" s="71"/>
      <c r="Q104" s="71"/>
      <c r="R104" s="71"/>
      <c r="S104" s="108"/>
      <c r="T104" s="108"/>
    </row>
    <row r="105" spans="2:20" s="174" customFormat="1" ht="16.5" customHeight="1">
      <c r="B105" s="111" t="s">
        <v>60</v>
      </c>
      <c r="C105" s="115" t="s">
        <v>61</v>
      </c>
      <c r="D105" s="116"/>
      <c r="E105" s="116"/>
      <c r="F105" s="116"/>
      <c r="G105" s="117"/>
      <c r="H105" s="117" t="s">
        <v>62</v>
      </c>
      <c r="I105" s="71"/>
      <c r="J105" s="71"/>
      <c r="K105" s="71"/>
      <c r="L105" s="71"/>
      <c r="M105" s="71"/>
      <c r="N105" s="71"/>
      <c r="O105" s="71"/>
      <c r="P105" s="71"/>
      <c r="Q105" s="71"/>
      <c r="R105" s="71"/>
      <c r="S105" s="108"/>
      <c r="T105" s="108"/>
    </row>
    <row r="106" spans="2:20" s="174" customFormat="1" ht="16.5" customHeight="1">
      <c r="B106" s="111" t="s">
        <v>63</v>
      </c>
      <c r="C106" s="115" t="s">
        <v>64</v>
      </c>
      <c r="D106" s="116"/>
      <c r="E106" s="116"/>
      <c r="F106" s="116"/>
      <c r="G106" s="117"/>
      <c r="H106" s="117" t="s">
        <v>62</v>
      </c>
      <c r="I106" s="71"/>
      <c r="J106" s="71"/>
      <c r="K106" s="71"/>
      <c r="L106" s="71"/>
      <c r="M106" s="71"/>
      <c r="N106" s="71"/>
      <c r="O106" s="71"/>
      <c r="P106" s="71"/>
      <c r="Q106" s="71"/>
      <c r="R106" s="71"/>
      <c r="S106" s="108"/>
      <c r="T106" s="108"/>
    </row>
    <row r="107" spans="2:20" s="174" customFormat="1" ht="16.5" customHeight="1">
      <c r="B107" s="111" t="s">
        <v>65</v>
      </c>
      <c r="C107" s="115" t="s">
        <v>66</v>
      </c>
      <c r="D107" s="116"/>
      <c r="E107" s="116"/>
      <c r="F107" s="116"/>
      <c r="G107" s="117"/>
      <c r="H107" s="117" t="s">
        <v>67</v>
      </c>
      <c r="I107" s="71"/>
      <c r="J107" s="71"/>
      <c r="K107" s="71"/>
      <c r="L107" s="71"/>
      <c r="M107" s="71"/>
      <c r="N107" s="71"/>
      <c r="O107" s="71"/>
      <c r="P107" s="71"/>
      <c r="Q107" s="71"/>
      <c r="R107" s="71"/>
      <c r="S107" s="108"/>
      <c r="T107" s="108"/>
    </row>
    <row r="108" spans="2:20" s="180" customFormat="1" ht="30" customHeight="1">
      <c r="B108" s="120" t="s">
        <v>68</v>
      </c>
      <c r="C108" s="115" t="s">
        <v>69</v>
      </c>
      <c r="D108" s="121"/>
      <c r="E108" s="121"/>
      <c r="F108" s="121"/>
      <c r="G108" s="122"/>
      <c r="H108" s="122"/>
      <c r="I108" s="71" t="s">
        <v>70</v>
      </c>
      <c r="J108" s="71" t="s">
        <v>70</v>
      </c>
      <c r="K108" s="71" t="s">
        <v>70</v>
      </c>
      <c r="L108" s="71" t="s">
        <v>70</v>
      </c>
      <c r="M108" s="71" t="s">
        <v>70</v>
      </c>
      <c r="N108" s="71" t="s">
        <v>70</v>
      </c>
      <c r="O108" s="71" t="s">
        <v>70</v>
      </c>
      <c r="P108" s="71" t="s">
        <v>70</v>
      </c>
      <c r="Q108" s="71" t="s">
        <v>70</v>
      </c>
      <c r="R108" s="71" t="s">
        <v>70</v>
      </c>
      <c r="S108" s="108"/>
      <c r="T108" s="108"/>
    </row>
    <row r="109" spans="2:20" s="174" customFormat="1" ht="16.5" customHeight="1">
      <c r="B109" s="111" t="s">
        <v>71</v>
      </c>
      <c r="C109" s="115" t="s">
        <v>72</v>
      </c>
      <c r="D109" s="116"/>
      <c r="E109" s="116"/>
      <c r="F109" s="116"/>
      <c r="G109" s="117"/>
      <c r="H109" s="117"/>
      <c r="I109" s="71"/>
      <c r="J109" s="71"/>
      <c r="K109" s="71"/>
      <c r="L109" s="71"/>
      <c r="M109" s="71"/>
      <c r="N109" s="71"/>
      <c r="O109" s="71"/>
      <c r="P109" s="71"/>
      <c r="Q109" s="71"/>
      <c r="R109" s="71"/>
      <c r="S109" s="108"/>
      <c r="T109" s="108"/>
    </row>
    <row r="110" spans="2:20" s="174" customFormat="1" ht="16.5" customHeight="1">
      <c r="B110" s="111" t="s">
        <v>73</v>
      </c>
      <c r="C110" s="115" t="s">
        <v>74</v>
      </c>
      <c r="D110" s="116"/>
      <c r="E110" s="116"/>
      <c r="F110" s="116"/>
      <c r="G110" s="117"/>
      <c r="H110" s="117"/>
      <c r="I110" s="71"/>
      <c r="J110" s="71"/>
      <c r="K110" s="71"/>
      <c r="L110" s="71"/>
      <c r="M110" s="71"/>
      <c r="N110" s="71"/>
      <c r="O110" s="71"/>
      <c r="P110" s="71"/>
      <c r="Q110" s="71"/>
      <c r="R110" s="71"/>
      <c r="S110" s="108"/>
      <c r="T110" s="108"/>
    </row>
    <row r="111" spans="2:20" s="174" customFormat="1" ht="16.5" customHeight="1">
      <c r="B111" s="111" t="s">
        <v>75</v>
      </c>
      <c r="C111" s="115" t="s">
        <v>76</v>
      </c>
      <c r="D111" s="116"/>
      <c r="E111" s="116"/>
      <c r="F111" s="116"/>
      <c r="G111" s="117"/>
      <c r="H111" s="117"/>
      <c r="I111" s="71"/>
      <c r="J111" s="71"/>
      <c r="K111" s="71"/>
      <c r="L111" s="71"/>
      <c r="M111" s="71"/>
      <c r="N111" s="71"/>
      <c r="O111" s="71"/>
      <c r="P111" s="71"/>
      <c r="Q111" s="71"/>
      <c r="R111" s="71"/>
      <c r="S111" s="108"/>
      <c r="T111" s="108"/>
    </row>
    <row r="112" spans="2:20" s="174" customFormat="1" ht="16.5" customHeight="1">
      <c r="B112" s="111" t="s">
        <v>77</v>
      </c>
      <c r="C112" s="119" t="s">
        <v>78</v>
      </c>
      <c r="D112" s="116"/>
      <c r="E112" s="116"/>
      <c r="F112" s="116"/>
      <c r="G112" s="117"/>
      <c r="H112" s="117"/>
      <c r="I112" s="168">
        <f>IF(IF(I108=$I$238,I109,IF(I108=$I$239,I109*I110,IF(I108=$I$240,I109*I110*I111,1)))=0,"Fyll i 2.6-2.8",IF(I108=$I$238,I109,IF(I108=$I$239,I109*I110,IF(I108=$I$240,I109*I110*I111,1))))</f>
        <v>1</v>
      </c>
      <c r="J112" s="168">
        <f t="shared" ref="J112" si="47">IF(IF(J108=$I$238,J109,IF(J108=$I$239,J109*J110,IF(J108=$I$240,J109*J110*J111,1)))=0,"Fyll i 2.6-2.8",IF(J108=$I$238,J109,IF(J108=$I$239,J109*J110,IF(J108=$I$240,J109*J110*J111,1))))</f>
        <v>1</v>
      </c>
      <c r="K112" s="168">
        <f t="shared" ref="K112" si="48">IF(IF(K108=$I$238,K109,IF(K108=$I$239,K109*K110,IF(K108=$I$240,K109*K110*K111,1)))=0,"Fyll i 2.6-2.8",IF(K108=$I$238,K109,IF(K108=$I$239,K109*K110,IF(K108=$I$240,K109*K110*K111,1))))</f>
        <v>1</v>
      </c>
      <c r="L112" s="168">
        <f t="shared" ref="L112" si="49">IF(IF(L108=$I$238,L109,IF(L108=$I$239,L109*L110,IF(L108=$I$240,L109*L110*L111,1)))=0,"Fyll i 2.6-2.8",IF(L108=$I$238,L109,IF(L108=$I$239,L109*L110,IF(L108=$I$240,L109*L110*L111,1))))</f>
        <v>1</v>
      </c>
      <c r="M112" s="168">
        <f t="shared" ref="M112" si="50">IF(IF(M108=$I$238,M109,IF(M108=$I$239,M109*M110,IF(M108=$I$240,M109*M110*M111,1)))=0,"Fyll i 2.6-2.8",IF(M108=$I$238,M109,IF(M108=$I$239,M109*M110,IF(M108=$I$240,M109*M110*M111,1))))</f>
        <v>1</v>
      </c>
      <c r="N112" s="168">
        <f t="shared" ref="N112" si="51">IF(IF(N108=$I$238,N109,IF(N108=$I$239,N109*N110,IF(N108=$I$240,N109*N110*N111,1)))=0,"Fyll i 2.6-2.8",IF(N108=$I$238,N109,IF(N108=$I$239,N109*N110,IF(N108=$I$240,N109*N110*N111,1))))</f>
        <v>1</v>
      </c>
      <c r="O112" s="168">
        <f t="shared" ref="O112" si="52">IF(IF(O108=$I$238,O109,IF(O108=$I$239,O109*O110,IF(O108=$I$240,O109*O110*O111,1)))=0,"Fyll i 2.6-2.8",IF(O108=$I$238,O109,IF(O108=$I$239,O109*O110,IF(O108=$I$240,O109*O110*O111,1))))</f>
        <v>1</v>
      </c>
      <c r="P112" s="168">
        <f t="shared" ref="P112" si="53">IF(IF(P108=$I$238,P109,IF(P108=$I$239,P109*P110,IF(P108=$I$240,P109*P110*P111,1)))=0,"Fyll i 2.6-2.8",IF(P108=$I$238,P109,IF(P108=$I$239,P109*P110,IF(P108=$I$240,P109*P110*P111,1))))</f>
        <v>1</v>
      </c>
      <c r="Q112" s="168">
        <f t="shared" ref="Q112" si="54">IF(IF(Q108=$I$238,Q109,IF(Q108=$I$239,Q109*Q110,IF(Q108=$I$240,Q109*Q110*Q111,1)))=0,"Fyll i 2.6-2.8",IF(Q108=$I$238,Q109,IF(Q108=$I$239,Q109*Q110,IF(Q108=$I$240,Q109*Q110*Q111,1))))</f>
        <v>1</v>
      </c>
      <c r="R112" s="168">
        <f t="shared" ref="R112" si="55">IF(IF(R108=$I$238,R109,IF(R108=$I$239,R109*R110,IF(R108=$I$240,R109*R110*R111,1)))=0,"Fyll i 2.6-2.8",IF(R108=$I$238,R109,IF(R108=$I$239,R109*R110,IF(R108=$I$240,R109*R110*R111,1))))</f>
        <v>1</v>
      </c>
      <c r="S112" s="108"/>
      <c r="T112" s="108"/>
    </row>
    <row r="113" spans="2:20" s="174" customFormat="1" ht="16.5" customHeight="1">
      <c r="B113" s="111" t="s">
        <v>79</v>
      </c>
      <c r="C113" s="115" t="s">
        <v>80</v>
      </c>
      <c r="D113" s="116"/>
      <c r="E113" s="116"/>
      <c r="F113" s="116"/>
      <c r="G113" s="117"/>
      <c r="H113" s="117" t="s">
        <v>81</v>
      </c>
      <c r="I113" s="71"/>
      <c r="J113" s="71"/>
      <c r="K113" s="71"/>
      <c r="L113" s="71"/>
      <c r="M113" s="71"/>
      <c r="N113" s="71"/>
      <c r="O113" s="71"/>
      <c r="P113" s="71"/>
      <c r="Q113" s="71"/>
      <c r="R113" s="71"/>
      <c r="S113" s="108"/>
      <c r="T113" s="108"/>
    </row>
    <row r="114" spans="2:20" s="174" customFormat="1" ht="16.5" customHeight="1">
      <c r="B114" s="111"/>
      <c r="C114" s="118"/>
      <c r="D114" s="118"/>
      <c r="E114" s="118"/>
      <c r="F114" s="118"/>
      <c r="G114" s="118"/>
      <c r="H114" s="118"/>
      <c r="I114" s="179"/>
      <c r="J114" s="179"/>
      <c r="K114" s="179"/>
      <c r="L114" s="179"/>
      <c r="M114" s="179"/>
      <c r="N114" s="179"/>
      <c r="O114" s="179"/>
      <c r="P114" s="179"/>
      <c r="Q114" s="179"/>
      <c r="R114" s="179"/>
      <c r="S114" s="108"/>
      <c r="T114" s="108"/>
    </row>
    <row r="115" spans="2:20" s="174" customFormat="1" ht="16.5" customHeight="1">
      <c r="B115" s="111"/>
      <c r="C115" s="110" t="s">
        <v>195</v>
      </c>
      <c r="D115" s="118"/>
      <c r="E115" s="118"/>
      <c r="F115" s="118"/>
      <c r="G115" s="118"/>
      <c r="H115" s="118"/>
      <c r="I115" s="179"/>
      <c r="J115" s="179"/>
      <c r="K115" s="179"/>
      <c r="L115" s="179"/>
      <c r="M115" s="179"/>
      <c r="N115" s="179"/>
      <c r="O115" s="179"/>
      <c r="P115" s="179"/>
      <c r="Q115" s="179"/>
      <c r="R115" s="179"/>
      <c r="S115" s="108"/>
      <c r="T115" s="108"/>
    </row>
    <row r="116" spans="2:20" s="174" customFormat="1" ht="16.5" customHeight="1">
      <c r="B116" s="111" t="s">
        <v>58</v>
      </c>
      <c r="C116" s="115" t="s">
        <v>59</v>
      </c>
      <c r="D116" s="116"/>
      <c r="E116" s="116"/>
      <c r="F116" s="116"/>
      <c r="G116" s="117"/>
      <c r="H116" s="117" t="s">
        <v>54</v>
      </c>
      <c r="I116" s="71"/>
      <c r="J116" s="71"/>
      <c r="K116" s="71"/>
      <c r="L116" s="71"/>
      <c r="M116" s="71"/>
      <c r="N116" s="71"/>
      <c r="O116" s="71"/>
      <c r="P116" s="71"/>
      <c r="Q116" s="71"/>
      <c r="R116" s="71"/>
      <c r="S116" s="108"/>
      <c r="T116" s="108"/>
    </row>
    <row r="117" spans="2:20" s="174" customFormat="1" ht="16.5" customHeight="1">
      <c r="B117" s="111" t="s">
        <v>60</v>
      </c>
      <c r="C117" s="115" t="s">
        <v>61</v>
      </c>
      <c r="D117" s="116"/>
      <c r="E117" s="116"/>
      <c r="F117" s="116"/>
      <c r="G117" s="117"/>
      <c r="H117" s="117" t="s">
        <v>62</v>
      </c>
      <c r="I117" s="71"/>
      <c r="J117" s="71"/>
      <c r="K117" s="71"/>
      <c r="L117" s="71"/>
      <c r="M117" s="71"/>
      <c r="N117" s="71"/>
      <c r="O117" s="71"/>
      <c r="P117" s="71"/>
      <c r="Q117" s="71"/>
      <c r="R117" s="71"/>
      <c r="S117" s="108"/>
      <c r="T117" s="108"/>
    </row>
    <row r="118" spans="2:20" s="174" customFormat="1" ht="16.5" customHeight="1">
      <c r="B118" s="111" t="s">
        <v>63</v>
      </c>
      <c r="C118" s="115" t="s">
        <v>64</v>
      </c>
      <c r="D118" s="116"/>
      <c r="E118" s="116"/>
      <c r="F118" s="116"/>
      <c r="G118" s="117"/>
      <c r="H118" s="117" t="s">
        <v>62</v>
      </c>
      <c r="I118" s="71"/>
      <c r="J118" s="71"/>
      <c r="K118" s="71"/>
      <c r="L118" s="71"/>
      <c r="M118" s="71"/>
      <c r="N118" s="71"/>
      <c r="O118" s="71"/>
      <c r="P118" s="71"/>
      <c r="Q118" s="71"/>
      <c r="R118" s="71"/>
      <c r="S118" s="108"/>
      <c r="T118" s="108"/>
    </row>
    <row r="119" spans="2:20" s="174" customFormat="1" ht="16.5" customHeight="1">
      <c r="B119" s="111" t="s">
        <v>65</v>
      </c>
      <c r="C119" s="115" t="s">
        <v>66</v>
      </c>
      <c r="D119" s="116"/>
      <c r="E119" s="116"/>
      <c r="F119" s="116"/>
      <c r="G119" s="117"/>
      <c r="H119" s="117" t="s">
        <v>67</v>
      </c>
      <c r="I119" s="71"/>
      <c r="J119" s="71"/>
      <c r="K119" s="71"/>
      <c r="L119" s="71"/>
      <c r="M119" s="71"/>
      <c r="N119" s="71"/>
      <c r="O119" s="71"/>
      <c r="P119" s="71"/>
      <c r="Q119" s="71"/>
      <c r="R119" s="71"/>
      <c r="S119" s="108"/>
      <c r="T119" s="108"/>
    </row>
    <row r="120" spans="2:20" s="180" customFormat="1" ht="30" customHeight="1">
      <c r="B120" s="120" t="s">
        <v>68</v>
      </c>
      <c r="C120" s="115" t="s">
        <v>69</v>
      </c>
      <c r="D120" s="121"/>
      <c r="E120" s="121"/>
      <c r="F120" s="121"/>
      <c r="G120" s="122"/>
      <c r="H120" s="122"/>
      <c r="I120" s="71" t="s">
        <v>70</v>
      </c>
      <c r="J120" s="71" t="s">
        <v>70</v>
      </c>
      <c r="K120" s="71" t="s">
        <v>70</v>
      </c>
      <c r="L120" s="71" t="s">
        <v>70</v>
      </c>
      <c r="M120" s="71" t="s">
        <v>70</v>
      </c>
      <c r="N120" s="71" t="s">
        <v>70</v>
      </c>
      <c r="O120" s="71" t="s">
        <v>70</v>
      </c>
      <c r="P120" s="71" t="s">
        <v>70</v>
      </c>
      <c r="Q120" s="71" t="s">
        <v>70</v>
      </c>
      <c r="R120" s="71" t="s">
        <v>70</v>
      </c>
      <c r="S120" s="108"/>
      <c r="T120" s="108"/>
    </row>
    <row r="121" spans="2:20" s="174" customFormat="1" ht="16.5" customHeight="1">
      <c r="B121" s="111" t="s">
        <v>71</v>
      </c>
      <c r="C121" s="115" t="s">
        <v>72</v>
      </c>
      <c r="D121" s="116"/>
      <c r="E121" s="116"/>
      <c r="F121" s="116"/>
      <c r="G121" s="117"/>
      <c r="H121" s="117"/>
      <c r="I121" s="71"/>
      <c r="J121" s="71"/>
      <c r="K121" s="71"/>
      <c r="L121" s="71"/>
      <c r="M121" s="71"/>
      <c r="N121" s="71"/>
      <c r="O121" s="71"/>
      <c r="P121" s="71"/>
      <c r="Q121" s="71"/>
      <c r="R121" s="71"/>
      <c r="S121" s="108"/>
      <c r="T121" s="108"/>
    </row>
    <row r="122" spans="2:20" s="174" customFormat="1" ht="16.5" customHeight="1">
      <c r="B122" s="111" t="s">
        <v>73</v>
      </c>
      <c r="C122" s="115" t="s">
        <v>74</v>
      </c>
      <c r="D122" s="116"/>
      <c r="E122" s="116"/>
      <c r="F122" s="116"/>
      <c r="G122" s="117"/>
      <c r="H122" s="117"/>
      <c r="I122" s="71"/>
      <c r="J122" s="71"/>
      <c r="K122" s="71"/>
      <c r="L122" s="71"/>
      <c r="M122" s="71"/>
      <c r="N122" s="71"/>
      <c r="O122" s="71"/>
      <c r="P122" s="71"/>
      <c r="Q122" s="71"/>
      <c r="R122" s="71"/>
      <c r="S122" s="108"/>
      <c r="T122" s="108"/>
    </row>
    <row r="123" spans="2:20" s="174" customFormat="1" ht="16.5" customHeight="1">
      <c r="B123" s="111" t="s">
        <v>75</v>
      </c>
      <c r="C123" s="115" t="s">
        <v>76</v>
      </c>
      <c r="D123" s="116"/>
      <c r="E123" s="116"/>
      <c r="F123" s="116"/>
      <c r="G123" s="117"/>
      <c r="H123" s="117"/>
      <c r="I123" s="71"/>
      <c r="J123" s="71"/>
      <c r="K123" s="71"/>
      <c r="L123" s="71"/>
      <c r="M123" s="71"/>
      <c r="N123" s="71"/>
      <c r="O123" s="71"/>
      <c r="P123" s="71"/>
      <c r="Q123" s="71"/>
      <c r="R123" s="71"/>
      <c r="S123" s="108"/>
      <c r="T123" s="108"/>
    </row>
    <row r="124" spans="2:20" s="174" customFormat="1" ht="16.5" customHeight="1">
      <c r="B124" s="111" t="s">
        <v>77</v>
      </c>
      <c r="C124" s="119" t="s">
        <v>78</v>
      </c>
      <c r="D124" s="116"/>
      <c r="E124" s="116"/>
      <c r="F124" s="116"/>
      <c r="G124" s="117"/>
      <c r="H124" s="117"/>
      <c r="I124" s="168">
        <f>IF(IF(I120=$I$238,I121,IF(I120=$I$239,I121*I122,IF(I120=$I$240,I121*I122*I123,1)))=0,"Fyll i 2.6-2.8",IF(I120=$I$238,I121,IF(I120=$I$239,I121*I122,IF(I120=$I$240,I121*I122*I123,1))))</f>
        <v>1</v>
      </c>
      <c r="J124" s="168">
        <f t="shared" ref="J124" si="56">IF(IF(J120=$I$238,J121,IF(J120=$I$239,J121*J122,IF(J120=$I$240,J121*J122*J123,1)))=0,"Fyll i 2.6-2.8",IF(J120=$I$238,J121,IF(J120=$I$239,J121*J122,IF(J120=$I$240,J121*J122*J123,1))))</f>
        <v>1</v>
      </c>
      <c r="K124" s="168">
        <f t="shared" ref="K124" si="57">IF(IF(K120=$I$238,K121,IF(K120=$I$239,K121*K122,IF(K120=$I$240,K121*K122*K123,1)))=0,"Fyll i 2.6-2.8",IF(K120=$I$238,K121,IF(K120=$I$239,K121*K122,IF(K120=$I$240,K121*K122*K123,1))))</f>
        <v>1</v>
      </c>
      <c r="L124" s="168">
        <f t="shared" ref="L124" si="58">IF(IF(L120=$I$238,L121,IF(L120=$I$239,L121*L122,IF(L120=$I$240,L121*L122*L123,1)))=0,"Fyll i 2.6-2.8",IF(L120=$I$238,L121,IF(L120=$I$239,L121*L122,IF(L120=$I$240,L121*L122*L123,1))))</f>
        <v>1</v>
      </c>
      <c r="M124" s="168">
        <f t="shared" ref="M124" si="59">IF(IF(M120=$I$238,M121,IF(M120=$I$239,M121*M122,IF(M120=$I$240,M121*M122*M123,1)))=0,"Fyll i 2.6-2.8",IF(M120=$I$238,M121,IF(M120=$I$239,M121*M122,IF(M120=$I$240,M121*M122*M123,1))))</f>
        <v>1</v>
      </c>
      <c r="N124" s="168">
        <f t="shared" ref="N124" si="60">IF(IF(N120=$I$238,N121,IF(N120=$I$239,N121*N122,IF(N120=$I$240,N121*N122*N123,1)))=0,"Fyll i 2.6-2.8",IF(N120=$I$238,N121,IF(N120=$I$239,N121*N122,IF(N120=$I$240,N121*N122*N123,1))))</f>
        <v>1</v>
      </c>
      <c r="O124" s="168">
        <f t="shared" ref="O124" si="61">IF(IF(O120=$I$238,O121,IF(O120=$I$239,O121*O122,IF(O120=$I$240,O121*O122*O123,1)))=0,"Fyll i 2.6-2.8",IF(O120=$I$238,O121,IF(O120=$I$239,O121*O122,IF(O120=$I$240,O121*O122*O123,1))))</f>
        <v>1</v>
      </c>
      <c r="P124" s="168">
        <f t="shared" ref="P124" si="62">IF(IF(P120=$I$238,P121,IF(P120=$I$239,P121*P122,IF(P120=$I$240,P121*P122*P123,1)))=0,"Fyll i 2.6-2.8",IF(P120=$I$238,P121,IF(P120=$I$239,P121*P122,IF(P120=$I$240,P121*P122*P123,1))))</f>
        <v>1</v>
      </c>
      <c r="Q124" s="168">
        <f t="shared" ref="Q124" si="63">IF(IF(Q120=$I$238,Q121,IF(Q120=$I$239,Q121*Q122,IF(Q120=$I$240,Q121*Q122*Q123,1)))=0,"Fyll i 2.6-2.8",IF(Q120=$I$238,Q121,IF(Q120=$I$239,Q121*Q122,IF(Q120=$I$240,Q121*Q122*Q123,1))))</f>
        <v>1</v>
      </c>
      <c r="R124" s="168">
        <f t="shared" ref="R124" si="64">IF(IF(R120=$I$238,R121,IF(R120=$I$239,R121*R122,IF(R120=$I$240,R121*R122*R123,1)))=0,"Fyll i 2.6-2.8",IF(R120=$I$238,R121,IF(R120=$I$239,R121*R122,IF(R120=$I$240,R121*R122*R123,1))))</f>
        <v>1</v>
      </c>
      <c r="S124" s="108"/>
      <c r="T124" s="108"/>
    </row>
    <row r="125" spans="2:20" s="174" customFormat="1" ht="16.5" customHeight="1">
      <c r="B125" s="111" t="s">
        <v>79</v>
      </c>
      <c r="C125" s="115" t="s">
        <v>80</v>
      </c>
      <c r="D125" s="116"/>
      <c r="E125" s="116"/>
      <c r="F125" s="116"/>
      <c r="G125" s="117"/>
      <c r="H125" s="117" t="s">
        <v>81</v>
      </c>
      <c r="I125" s="71"/>
      <c r="J125" s="71"/>
      <c r="K125" s="71"/>
      <c r="L125" s="71"/>
      <c r="M125" s="71"/>
      <c r="N125" s="71"/>
      <c r="O125" s="71"/>
      <c r="P125" s="71"/>
      <c r="Q125" s="71"/>
      <c r="R125" s="71"/>
      <c r="S125" s="108"/>
      <c r="T125" s="108"/>
    </row>
    <row r="126" spans="2:20" s="174" customFormat="1" ht="16.5" customHeight="1">
      <c r="B126" s="111"/>
      <c r="C126" s="118"/>
      <c r="D126" s="118"/>
      <c r="E126" s="118"/>
      <c r="F126" s="118"/>
      <c r="G126" s="118"/>
      <c r="H126" s="118"/>
      <c r="I126" s="179"/>
      <c r="J126" s="179"/>
      <c r="K126" s="179"/>
      <c r="L126" s="179"/>
      <c r="M126" s="179"/>
      <c r="N126" s="179"/>
      <c r="O126" s="179"/>
      <c r="P126" s="179"/>
      <c r="Q126" s="179"/>
      <c r="R126" s="179"/>
      <c r="S126" s="108"/>
      <c r="T126" s="108"/>
    </row>
    <row r="127" spans="2:20" s="174" customFormat="1" ht="16.5" customHeight="1">
      <c r="B127" s="111"/>
      <c r="C127" s="110" t="s">
        <v>196</v>
      </c>
      <c r="D127" s="118"/>
      <c r="E127" s="118"/>
      <c r="F127" s="118"/>
      <c r="G127" s="118"/>
      <c r="H127" s="118"/>
      <c r="I127" s="179"/>
      <c r="J127" s="179"/>
      <c r="K127" s="179"/>
      <c r="L127" s="179"/>
      <c r="M127" s="179"/>
      <c r="N127" s="179"/>
      <c r="O127" s="179"/>
      <c r="P127" s="179"/>
      <c r="Q127" s="179"/>
      <c r="R127" s="179"/>
      <c r="S127" s="108"/>
      <c r="T127" s="108"/>
    </row>
    <row r="128" spans="2:20" s="174" customFormat="1" ht="16.5" customHeight="1">
      <c r="B128" s="111" t="s">
        <v>58</v>
      </c>
      <c r="C128" s="115" t="s">
        <v>59</v>
      </c>
      <c r="D128" s="116"/>
      <c r="E128" s="116"/>
      <c r="F128" s="116"/>
      <c r="G128" s="117"/>
      <c r="H128" s="117" t="s">
        <v>54</v>
      </c>
      <c r="I128" s="71"/>
      <c r="J128" s="71"/>
      <c r="K128" s="71"/>
      <c r="L128" s="71"/>
      <c r="M128" s="71"/>
      <c r="N128" s="71"/>
      <c r="O128" s="71"/>
      <c r="P128" s="71"/>
      <c r="Q128" s="71"/>
      <c r="R128" s="71"/>
      <c r="S128" s="108"/>
      <c r="T128" s="108"/>
    </row>
    <row r="129" spans="2:20" s="174" customFormat="1" ht="16.5" customHeight="1">
      <c r="B129" s="111" t="s">
        <v>60</v>
      </c>
      <c r="C129" s="115" t="s">
        <v>61</v>
      </c>
      <c r="D129" s="116"/>
      <c r="E129" s="116"/>
      <c r="F129" s="116"/>
      <c r="G129" s="117"/>
      <c r="H129" s="117" t="s">
        <v>62</v>
      </c>
      <c r="I129" s="71"/>
      <c r="J129" s="71"/>
      <c r="K129" s="71"/>
      <c r="L129" s="71"/>
      <c r="M129" s="71"/>
      <c r="N129" s="71"/>
      <c r="O129" s="71"/>
      <c r="P129" s="71"/>
      <c r="Q129" s="71"/>
      <c r="R129" s="71"/>
      <c r="S129" s="108"/>
      <c r="T129" s="108"/>
    </row>
    <row r="130" spans="2:20" s="174" customFormat="1" ht="16.5" customHeight="1">
      <c r="B130" s="111" t="s">
        <v>63</v>
      </c>
      <c r="C130" s="115" t="s">
        <v>64</v>
      </c>
      <c r="D130" s="116"/>
      <c r="E130" s="116"/>
      <c r="F130" s="116"/>
      <c r="G130" s="117"/>
      <c r="H130" s="117" t="s">
        <v>62</v>
      </c>
      <c r="I130" s="71"/>
      <c r="J130" s="71"/>
      <c r="K130" s="71"/>
      <c r="L130" s="71"/>
      <c r="M130" s="71"/>
      <c r="N130" s="71"/>
      <c r="O130" s="71"/>
      <c r="P130" s="71"/>
      <c r="Q130" s="71"/>
      <c r="R130" s="71"/>
      <c r="S130" s="108"/>
      <c r="T130" s="108"/>
    </row>
    <row r="131" spans="2:20" s="174" customFormat="1" ht="16.5" customHeight="1">
      <c r="B131" s="111" t="s">
        <v>65</v>
      </c>
      <c r="C131" s="115" t="s">
        <v>66</v>
      </c>
      <c r="D131" s="116"/>
      <c r="E131" s="116"/>
      <c r="F131" s="116"/>
      <c r="G131" s="117"/>
      <c r="H131" s="117" t="s">
        <v>67</v>
      </c>
      <c r="I131" s="71"/>
      <c r="J131" s="71"/>
      <c r="K131" s="71"/>
      <c r="L131" s="71"/>
      <c r="M131" s="71"/>
      <c r="N131" s="71"/>
      <c r="O131" s="71"/>
      <c r="P131" s="71"/>
      <c r="Q131" s="71"/>
      <c r="R131" s="71"/>
      <c r="S131" s="108"/>
      <c r="T131" s="108"/>
    </row>
    <row r="132" spans="2:20" s="180" customFormat="1" ht="30" customHeight="1">
      <c r="B132" s="120" t="s">
        <v>68</v>
      </c>
      <c r="C132" s="115" t="s">
        <v>69</v>
      </c>
      <c r="D132" s="121"/>
      <c r="E132" s="121"/>
      <c r="F132" s="121"/>
      <c r="G132" s="122"/>
      <c r="H132" s="122"/>
      <c r="I132" s="71" t="s">
        <v>70</v>
      </c>
      <c r="J132" s="71" t="s">
        <v>70</v>
      </c>
      <c r="K132" s="71" t="s">
        <v>70</v>
      </c>
      <c r="L132" s="71" t="s">
        <v>70</v>
      </c>
      <c r="M132" s="71" t="s">
        <v>70</v>
      </c>
      <c r="N132" s="71" t="s">
        <v>70</v>
      </c>
      <c r="O132" s="71" t="s">
        <v>70</v>
      </c>
      <c r="P132" s="71" t="s">
        <v>70</v>
      </c>
      <c r="Q132" s="71" t="s">
        <v>70</v>
      </c>
      <c r="R132" s="71" t="s">
        <v>70</v>
      </c>
      <c r="S132" s="108"/>
      <c r="T132" s="108"/>
    </row>
    <row r="133" spans="2:20" s="174" customFormat="1" ht="16.5" customHeight="1">
      <c r="B133" s="111" t="s">
        <v>71</v>
      </c>
      <c r="C133" s="115" t="s">
        <v>72</v>
      </c>
      <c r="D133" s="116"/>
      <c r="E133" s="116"/>
      <c r="F133" s="116"/>
      <c r="G133" s="117"/>
      <c r="H133" s="117"/>
      <c r="I133" s="71"/>
      <c r="J133" s="71"/>
      <c r="K133" s="71"/>
      <c r="L133" s="71"/>
      <c r="M133" s="71"/>
      <c r="N133" s="71"/>
      <c r="O133" s="71"/>
      <c r="P133" s="71"/>
      <c r="Q133" s="71"/>
      <c r="R133" s="71"/>
      <c r="S133" s="108"/>
      <c r="T133" s="108"/>
    </row>
    <row r="134" spans="2:20" s="174" customFormat="1" ht="16.5" customHeight="1">
      <c r="B134" s="111" t="s">
        <v>73</v>
      </c>
      <c r="C134" s="115" t="s">
        <v>74</v>
      </c>
      <c r="D134" s="116"/>
      <c r="E134" s="116"/>
      <c r="F134" s="116"/>
      <c r="G134" s="117"/>
      <c r="H134" s="117"/>
      <c r="I134" s="71"/>
      <c r="J134" s="71"/>
      <c r="K134" s="71"/>
      <c r="L134" s="71"/>
      <c r="M134" s="71"/>
      <c r="N134" s="71"/>
      <c r="O134" s="71"/>
      <c r="P134" s="71"/>
      <c r="Q134" s="71"/>
      <c r="R134" s="71"/>
      <c r="S134" s="108"/>
      <c r="T134" s="108"/>
    </row>
    <row r="135" spans="2:20" s="174" customFormat="1" ht="16.5" customHeight="1">
      <c r="B135" s="111" t="s">
        <v>75</v>
      </c>
      <c r="C135" s="115" t="s">
        <v>76</v>
      </c>
      <c r="D135" s="116"/>
      <c r="E135" s="116"/>
      <c r="F135" s="116"/>
      <c r="G135" s="117"/>
      <c r="H135" s="117"/>
      <c r="I135" s="71"/>
      <c r="J135" s="71"/>
      <c r="K135" s="71"/>
      <c r="L135" s="71"/>
      <c r="M135" s="71"/>
      <c r="N135" s="71"/>
      <c r="O135" s="71"/>
      <c r="P135" s="71"/>
      <c r="Q135" s="71"/>
      <c r="R135" s="71"/>
      <c r="S135" s="108"/>
      <c r="T135" s="108"/>
    </row>
    <row r="136" spans="2:20" s="174" customFormat="1" ht="16.5" customHeight="1">
      <c r="B136" s="111" t="s">
        <v>77</v>
      </c>
      <c r="C136" s="119" t="s">
        <v>78</v>
      </c>
      <c r="D136" s="116"/>
      <c r="E136" s="116"/>
      <c r="F136" s="116"/>
      <c r="G136" s="117"/>
      <c r="H136" s="117"/>
      <c r="I136" s="168">
        <f>IF(IF(I132=$I$238,I133,IF(I132=$I$239,I133*I134,IF(I132=$I$240,I133*I134*I135,1)))=0,"Fyll i 2.6-2.8",IF(I132=$I$238,I133,IF(I132=$I$239,I133*I134,IF(I132=$I$240,I133*I134*I135,1))))</f>
        <v>1</v>
      </c>
      <c r="J136" s="168">
        <f t="shared" ref="J136" si="65">IF(IF(J132=$I$238,J133,IF(J132=$I$239,J133*J134,IF(J132=$I$240,J133*J134*J135,1)))=0,"Fyll i 2.6-2.8",IF(J132=$I$238,J133,IF(J132=$I$239,J133*J134,IF(J132=$I$240,J133*J134*J135,1))))</f>
        <v>1</v>
      </c>
      <c r="K136" s="168">
        <f t="shared" ref="K136" si="66">IF(IF(K132=$I$238,K133,IF(K132=$I$239,K133*K134,IF(K132=$I$240,K133*K134*K135,1)))=0,"Fyll i 2.6-2.8",IF(K132=$I$238,K133,IF(K132=$I$239,K133*K134,IF(K132=$I$240,K133*K134*K135,1))))</f>
        <v>1</v>
      </c>
      <c r="L136" s="168">
        <f t="shared" ref="L136" si="67">IF(IF(L132=$I$238,L133,IF(L132=$I$239,L133*L134,IF(L132=$I$240,L133*L134*L135,1)))=0,"Fyll i 2.6-2.8",IF(L132=$I$238,L133,IF(L132=$I$239,L133*L134,IF(L132=$I$240,L133*L134*L135,1))))</f>
        <v>1</v>
      </c>
      <c r="M136" s="168">
        <f t="shared" ref="M136" si="68">IF(IF(M132=$I$238,M133,IF(M132=$I$239,M133*M134,IF(M132=$I$240,M133*M134*M135,1)))=0,"Fyll i 2.6-2.8",IF(M132=$I$238,M133,IF(M132=$I$239,M133*M134,IF(M132=$I$240,M133*M134*M135,1))))</f>
        <v>1</v>
      </c>
      <c r="N136" s="168">
        <f t="shared" ref="N136" si="69">IF(IF(N132=$I$238,N133,IF(N132=$I$239,N133*N134,IF(N132=$I$240,N133*N134*N135,1)))=0,"Fyll i 2.6-2.8",IF(N132=$I$238,N133,IF(N132=$I$239,N133*N134,IF(N132=$I$240,N133*N134*N135,1))))</f>
        <v>1</v>
      </c>
      <c r="O136" s="168">
        <f t="shared" ref="O136" si="70">IF(IF(O132=$I$238,O133,IF(O132=$I$239,O133*O134,IF(O132=$I$240,O133*O134*O135,1)))=0,"Fyll i 2.6-2.8",IF(O132=$I$238,O133,IF(O132=$I$239,O133*O134,IF(O132=$I$240,O133*O134*O135,1))))</f>
        <v>1</v>
      </c>
      <c r="P136" s="168">
        <f t="shared" ref="P136" si="71">IF(IF(P132=$I$238,P133,IF(P132=$I$239,P133*P134,IF(P132=$I$240,P133*P134*P135,1)))=0,"Fyll i 2.6-2.8",IF(P132=$I$238,P133,IF(P132=$I$239,P133*P134,IF(P132=$I$240,P133*P134*P135,1))))</f>
        <v>1</v>
      </c>
      <c r="Q136" s="168">
        <f t="shared" ref="Q136" si="72">IF(IF(Q132=$I$238,Q133,IF(Q132=$I$239,Q133*Q134,IF(Q132=$I$240,Q133*Q134*Q135,1)))=0,"Fyll i 2.6-2.8",IF(Q132=$I$238,Q133,IF(Q132=$I$239,Q133*Q134,IF(Q132=$I$240,Q133*Q134*Q135,1))))</f>
        <v>1</v>
      </c>
      <c r="R136" s="168">
        <f t="shared" ref="R136" si="73">IF(IF(R132=$I$238,R133,IF(R132=$I$239,R133*R134,IF(R132=$I$240,R133*R134*R135,1)))=0,"Fyll i 2.6-2.8",IF(R132=$I$238,R133,IF(R132=$I$239,R133*R134,IF(R132=$I$240,R133*R134*R135,1))))</f>
        <v>1</v>
      </c>
      <c r="S136" s="108"/>
      <c r="T136" s="108"/>
    </row>
    <row r="137" spans="2:20" s="174" customFormat="1" ht="16.5" customHeight="1">
      <c r="B137" s="111" t="s">
        <v>79</v>
      </c>
      <c r="C137" s="115" t="s">
        <v>80</v>
      </c>
      <c r="D137" s="116"/>
      <c r="E137" s="116"/>
      <c r="F137" s="116"/>
      <c r="G137" s="117"/>
      <c r="H137" s="117" t="s">
        <v>81</v>
      </c>
      <c r="I137" s="71"/>
      <c r="J137" s="71"/>
      <c r="K137" s="71"/>
      <c r="L137" s="71"/>
      <c r="M137" s="71"/>
      <c r="N137" s="71"/>
      <c r="O137" s="71"/>
      <c r="P137" s="71"/>
      <c r="Q137" s="71"/>
      <c r="R137" s="71"/>
      <c r="S137" s="108"/>
      <c r="T137" s="108"/>
    </row>
    <row r="138" spans="2:20" s="174" customFormat="1" ht="16.5" customHeight="1">
      <c r="B138" s="111"/>
      <c r="C138" s="118"/>
      <c r="D138" s="118"/>
      <c r="E138" s="118"/>
      <c r="F138" s="118"/>
      <c r="G138" s="118"/>
      <c r="H138" s="118"/>
      <c r="I138" s="179"/>
      <c r="J138" s="179"/>
      <c r="K138" s="179"/>
      <c r="L138" s="179"/>
      <c r="M138" s="179"/>
      <c r="N138" s="179"/>
      <c r="O138" s="179"/>
      <c r="P138" s="179"/>
      <c r="Q138" s="179"/>
      <c r="R138" s="179"/>
      <c r="S138" s="108"/>
      <c r="T138" s="108"/>
    </row>
    <row r="139" spans="2:20" s="174" customFormat="1" ht="16.5" customHeight="1">
      <c r="B139" s="111"/>
      <c r="C139" s="110" t="s">
        <v>197</v>
      </c>
      <c r="D139" s="118"/>
      <c r="E139" s="118"/>
      <c r="F139" s="118"/>
      <c r="G139" s="118"/>
      <c r="H139" s="118"/>
      <c r="I139" s="179"/>
      <c r="J139" s="179"/>
      <c r="K139" s="179"/>
      <c r="L139" s="179"/>
      <c r="M139" s="179"/>
      <c r="N139" s="179"/>
      <c r="O139" s="179"/>
      <c r="P139" s="179"/>
      <c r="Q139" s="179"/>
      <c r="R139" s="179"/>
      <c r="S139" s="108"/>
      <c r="T139" s="108"/>
    </row>
    <row r="140" spans="2:20" s="174" customFormat="1" ht="16.5" customHeight="1">
      <c r="B140" s="111" t="s">
        <v>58</v>
      </c>
      <c r="C140" s="115" t="s">
        <v>59</v>
      </c>
      <c r="D140" s="116"/>
      <c r="E140" s="116"/>
      <c r="F140" s="116"/>
      <c r="G140" s="117"/>
      <c r="H140" s="117" t="s">
        <v>54</v>
      </c>
      <c r="I140" s="71"/>
      <c r="J140" s="71"/>
      <c r="K140" s="71"/>
      <c r="L140" s="71"/>
      <c r="M140" s="71"/>
      <c r="N140" s="71"/>
      <c r="O140" s="71"/>
      <c r="P140" s="71"/>
      <c r="Q140" s="71"/>
      <c r="R140" s="71"/>
      <c r="S140" s="108"/>
      <c r="T140" s="108"/>
    </row>
    <row r="141" spans="2:20" s="174" customFormat="1" ht="16.5" customHeight="1">
      <c r="B141" s="111" t="s">
        <v>60</v>
      </c>
      <c r="C141" s="115" t="s">
        <v>61</v>
      </c>
      <c r="D141" s="116"/>
      <c r="E141" s="116"/>
      <c r="F141" s="116"/>
      <c r="G141" s="117"/>
      <c r="H141" s="117" t="s">
        <v>62</v>
      </c>
      <c r="I141" s="71"/>
      <c r="J141" s="71"/>
      <c r="K141" s="71"/>
      <c r="L141" s="71"/>
      <c r="M141" s="71"/>
      <c r="N141" s="71"/>
      <c r="O141" s="71"/>
      <c r="P141" s="71"/>
      <c r="Q141" s="71"/>
      <c r="R141" s="71"/>
      <c r="S141" s="108"/>
      <c r="T141" s="108"/>
    </row>
    <row r="142" spans="2:20" s="174" customFormat="1" ht="16.5" customHeight="1">
      <c r="B142" s="111" t="s">
        <v>63</v>
      </c>
      <c r="C142" s="115" t="s">
        <v>64</v>
      </c>
      <c r="D142" s="116"/>
      <c r="E142" s="116"/>
      <c r="F142" s="116"/>
      <c r="G142" s="117"/>
      <c r="H142" s="117" t="s">
        <v>62</v>
      </c>
      <c r="I142" s="71"/>
      <c r="J142" s="71"/>
      <c r="K142" s="71"/>
      <c r="L142" s="71"/>
      <c r="M142" s="71"/>
      <c r="N142" s="71"/>
      <c r="O142" s="71"/>
      <c r="P142" s="71"/>
      <c r="Q142" s="71"/>
      <c r="R142" s="71"/>
      <c r="S142" s="108"/>
      <c r="T142" s="108"/>
    </row>
    <row r="143" spans="2:20" s="174" customFormat="1" ht="16.5" customHeight="1">
      <c r="B143" s="111" t="s">
        <v>65</v>
      </c>
      <c r="C143" s="115" t="s">
        <v>66</v>
      </c>
      <c r="D143" s="116"/>
      <c r="E143" s="116"/>
      <c r="F143" s="116"/>
      <c r="G143" s="117"/>
      <c r="H143" s="117" t="s">
        <v>67</v>
      </c>
      <c r="I143" s="71"/>
      <c r="J143" s="71"/>
      <c r="K143" s="71"/>
      <c r="L143" s="71"/>
      <c r="M143" s="71"/>
      <c r="N143" s="71"/>
      <c r="O143" s="71"/>
      <c r="P143" s="71"/>
      <c r="Q143" s="71"/>
      <c r="R143" s="71"/>
      <c r="S143" s="108"/>
      <c r="T143" s="108"/>
    </row>
    <row r="144" spans="2:20" s="180" customFormat="1" ht="30" customHeight="1">
      <c r="B144" s="120" t="s">
        <v>68</v>
      </c>
      <c r="C144" s="115" t="s">
        <v>69</v>
      </c>
      <c r="D144" s="121"/>
      <c r="E144" s="121"/>
      <c r="F144" s="121"/>
      <c r="G144" s="122"/>
      <c r="H144" s="122"/>
      <c r="I144" s="71" t="s">
        <v>70</v>
      </c>
      <c r="J144" s="71" t="s">
        <v>70</v>
      </c>
      <c r="K144" s="71" t="s">
        <v>70</v>
      </c>
      <c r="L144" s="71" t="s">
        <v>70</v>
      </c>
      <c r="M144" s="71" t="s">
        <v>70</v>
      </c>
      <c r="N144" s="71" t="s">
        <v>70</v>
      </c>
      <c r="O144" s="71" t="s">
        <v>70</v>
      </c>
      <c r="P144" s="71" t="s">
        <v>70</v>
      </c>
      <c r="Q144" s="71" t="s">
        <v>70</v>
      </c>
      <c r="R144" s="71" t="s">
        <v>70</v>
      </c>
      <c r="S144" s="108"/>
      <c r="T144" s="108"/>
    </row>
    <row r="145" spans="1:20" s="174" customFormat="1" ht="16.5" customHeight="1">
      <c r="B145" s="111" t="s">
        <v>71</v>
      </c>
      <c r="C145" s="115" t="s">
        <v>72</v>
      </c>
      <c r="D145" s="116"/>
      <c r="E145" s="116"/>
      <c r="F145" s="116"/>
      <c r="G145" s="117"/>
      <c r="H145" s="117"/>
      <c r="I145" s="71"/>
      <c r="J145" s="71"/>
      <c r="K145" s="71"/>
      <c r="L145" s="71"/>
      <c r="M145" s="71"/>
      <c r="N145" s="71"/>
      <c r="O145" s="71"/>
      <c r="P145" s="71"/>
      <c r="Q145" s="71"/>
      <c r="R145" s="71"/>
      <c r="S145" s="108"/>
      <c r="T145" s="108"/>
    </row>
    <row r="146" spans="1:20" s="174" customFormat="1" ht="16.5" customHeight="1">
      <c r="B146" s="111" t="s">
        <v>73</v>
      </c>
      <c r="C146" s="115" t="s">
        <v>74</v>
      </c>
      <c r="D146" s="116"/>
      <c r="E146" s="116"/>
      <c r="F146" s="116"/>
      <c r="G146" s="117"/>
      <c r="H146" s="117"/>
      <c r="I146" s="71"/>
      <c r="J146" s="71"/>
      <c r="K146" s="71"/>
      <c r="L146" s="71"/>
      <c r="M146" s="71"/>
      <c r="N146" s="71"/>
      <c r="O146" s="71"/>
      <c r="P146" s="71"/>
      <c r="Q146" s="71"/>
      <c r="R146" s="71"/>
      <c r="S146" s="108"/>
      <c r="T146" s="108"/>
    </row>
    <row r="147" spans="1:20" s="174" customFormat="1" ht="16.5" customHeight="1">
      <c r="B147" s="111" t="s">
        <v>75</v>
      </c>
      <c r="C147" s="115" t="s">
        <v>76</v>
      </c>
      <c r="D147" s="116"/>
      <c r="E147" s="116"/>
      <c r="F147" s="116"/>
      <c r="G147" s="117"/>
      <c r="H147" s="117"/>
      <c r="I147" s="71"/>
      <c r="J147" s="71"/>
      <c r="K147" s="71"/>
      <c r="L147" s="71"/>
      <c r="M147" s="71"/>
      <c r="N147" s="71"/>
      <c r="O147" s="71"/>
      <c r="P147" s="71"/>
      <c r="Q147" s="71"/>
      <c r="R147" s="71"/>
      <c r="S147" s="108"/>
      <c r="T147" s="108"/>
    </row>
    <row r="148" spans="1:20" s="174" customFormat="1" ht="16.5" customHeight="1">
      <c r="B148" s="111" t="s">
        <v>77</v>
      </c>
      <c r="C148" s="119" t="s">
        <v>78</v>
      </c>
      <c r="D148" s="116"/>
      <c r="E148" s="116"/>
      <c r="F148" s="116"/>
      <c r="G148" s="117"/>
      <c r="H148" s="117"/>
      <c r="I148" s="168">
        <f>IF(IF(I144=$I$238,I145,IF(I144=$I$239,I145*I146,IF(I144=$I$240,I145*I146*I147,1)))=0,"Fyll i 2.6-2.8",IF(I144=$I$238,I145,IF(I144=$I$239,I145*I146,IF(I144=$I$240,I145*I146*I147,1))))</f>
        <v>1</v>
      </c>
      <c r="J148" s="168">
        <f t="shared" ref="J148" si="74">IF(IF(J144=$I$238,J145,IF(J144=$I$239,J145*J146,IF(J144=$I$240,J145*J146*J147,1)))=0,"Fyll i 2.6-2.8",IF(J144=$I$238,J145,IF(J144=$I$239,J145*J146,IF(J144=$I$240,J145*J146*J147,1))))</f>
        <v>1</v>
      </c>
      <c r="K148" s="168">
        <f t="shared" ref="K148" si="75">IF(IF(K144=$I$238,K145,IF(K144=$I$239,K145*K146,IF(K144=$I$240,K145*K146*K147,1)))=0,"Fyll i 2.6-2.8",IF(K144=$I$238,K145,IF(K144=$I$239,K145*K146,IF(K144=$I$240,K145*K146*K147,1))))</f>
        <v>1</v>
      </c>
      <c r="L148" s="168">
        <f t="shared" ref="L148" si="76">IF(IF(L144=$I$238,L145,IF(L144=$I$239,L145*L146,IF(L144=$I$240,L145*L146*L147,1)))=0,"Fyll i 2.6-2.8",IF(L144=$I$238,L145,IF(L144=$I$239,L145*L146,IF(L144=$I$240,L145*L146*L147,1))))</f>
        <v>1</v>
      </c>
      <c r="M148" s="168">
        <f t="shared" ref="M148" si="77">IF(IF(M144=$I$238,M145,IF(M144=$I$239,M145*M146,IF(M144=$I$240,M145*M146*M147,1)))=0,"Fyll i 2.6-2.8",IF(M144=$I$238,M145,IF(M144=$I$239,M145*M146,IF(M144=$I$240,M145*M146*M147,1))))</f>
        <v>1</v>
      </c>
      <c r="N148" s="168">
        <f t="shared" ref="N148" si="78">IF(IF(N144=$I$238,N145,IF(N144=$I$239,N145*N146,IF(N144=$I$240,N145*N146*N147,1)))=0,"Fyll i 2.6-2.8",IF(N144=$I$238,N145,IF(N144=$I$239,N145*N146,IF(N144=$I$240,N145*N146*N147,1))))</f>
        <v>1</v>
      </c>
      <c r="O148" s="168">
        <f t="shared" ref="O148" si="79">IF(IF(O144=$I$238,O145,IF(O144=$I$239,O145*O146,IF(O144=$I$240,O145*O146*O147,1)))=0,"Fyll i 2.6-2.8",IF(O144=$I$238,O145,IF(O144=$I$239,O145*O146,IF(O144=$I$240,O145*O146*O147,1))))</f>
        <v>1</v>
      </c>
      <c r="P148" s="168">
        <f t="shared" ref="P148" si="80">IF(IF(P144=$I$238,P145,IF(P144=$I$239,P145*P146,IF(P144=$I$240,P145*P146*P147,1)))=0,"Fyll i 2.6-2.8",IF(P144=$I$238,P145,IF(P144=$I$239,P145*P146,IF(P144=$I$240,P145*P146*P147,1))))</f>
        <v>1</v>
      </c>
      <c r="Q148" s="168">
        <f t="shared" ref="Q148" si="81">IF(IF(Q144=$I$238,Q145,IF(Q144=$I$239,Q145*Q146,IF(Q144=$I$240,Q145*Q146*Q147,1)))=0,"Fyll i 2.6-2.8",IF(Q144=$I$238,Q145,IF(Q144=$I$239,Q145*Q146,IF(Q144=$I$240,Q145*Q146*Q147,1))))</f>
        <v>1</v>
      </c>
      <c r="R148" s="168">
        <f t="shared" ref="R148" si="82">IF(IF(R144=$I$238,R145,IF(R144=$I$239,R145*R146,IF(R144=$I$240,R145*R146*R147,1)))=0,"Fyll i 2.6-2.8",IF(R144=$I$238,R145,IF(R144=$I$239,R145*R146,IF(R144=$I$240,R145*R146*R147,1))))</f>
        <v>1</v>
      </c>
      <c r="S148" s="108"/>
      <c r="T148" s="108"/>
    </row>
    <row r="149" spans="1:20" s="174" customFormat="1" ht="16.5" customHeight="1">
      <c r="B149" s="111" t="s">
        <v>79</v>
      </c>
      <c r="C149" s="115" t="s">
        <v>80</v>
      </c>
      <c r="D149" s="116"/>
      <c r="E149" s="116"/>
      <c r="F149" s="116"/>
      <c r="G149" s="117"/>
      <c r="H149" s="117" t="s">
        <v>81</v>
      </c>
      <c r="I149" s="71"/>
      <c r="J149" s="71"/>
      <c r="K149" s="71"/>
      <c r="L149" s="71"/>
      <c r="M149" s="71"/>
      <c r="N149" s="71"/>
      <c r="O149" s="71"/>
      <c r="P149" s="71"/>
      <c r="Q149" s="71"/>
      <c r="R149" s="71"/>
      <c r="S149" s="108"/>
      <c r="T149" s="108"/>
    </row>
    <row r="150" spans="1:20" s="174" customFormat="1" ht="16.5" customHeight="1">
      <c r="B150" s="111"/>
      <c r="C150" s="118"/>
      <c r="D150" s="118"/>
      <c r="E150" s="118"/>
      <c r="F150" s="118"/>
      <c r="G150" s="118"/>
      <c r="H150" s="118"/>
      <c r="I150" s="179"/>
      <c r="J150" s="179"/>
      <c r="K150" s="179"/>
      <c r="L150" s="179"/>
      <c r="M150" s="179"/>
      <c r="N150" s="179"/>
      <c r="O150" s="179"/>
      <c r="P150" s="179"/>
      <c r="Q150" s="179"/>
      <c r="R150" s="179"/>
      <c r="S150" s="108"/>
      <c r="T150" s="108"/>
    </row>
    <row r="151" spans="1:20" s="174" customFormat="1" ht="16.5" customHeight="1">
      <c r="B151" s="111"/>
      <c r="C151" s="110" t="s">
        <v>83</v>
      </c>
      <c r="D151" s="118"/>
      <c r="E151" s="118"/>
      <c r="F151" s="118"/>
      <c r="G151" s="118"/>
      <c r="H151" s="118"/>
      <c r="I151" s="179"/>
      <c r="J151" s="179"/>
      <c r="K151" s="179"/>
      <c r="L151" s="179"/>
      <c r="M151" s="179"/>
      <c r="N151" s="179"/>
      <c r="O151" s="179"/>
      <c r="P151" s="179"/>
      <c r="Q151" s="179"/>
      <c r="R151" s="179"/>
      <c r="S151" s="108"/>
      <c r="T151" s="108"/>
    </row>
    <row r="152" spans="1:20" s="174" customFormat="1" ht="16.5" customHeight="1">
      <c r="B152" s="111" t="s">
        <v>84</v>
      </c>
      <c r="C152" s="115" t="s">
        <v>85</v>
      </c>
      <c r="D152" s="116"/>
      <c r="E152" s="116"/>
      <c r="F152" s="116"/>
      <c r="G152" s="117"/>
      <c r="H152" s="117" t="s">
        <v>81</v>
      </c>
      <c r="I152" s="71"/>
      <c r="J152" s="71"/>
      <c r="K152" s="71"/>
      <c r="L152" s="71"/>
      <c r="M152" s="71"/>
      <c r="N152" s="71"/>
      <c r="O152" s="71"/>
      <c r="P152" s="71"/>
      <c r="Q152" s="71"/>
      <c r="R152" s="71"/>
      <c r="S152" s="108"/>
      <c r="T152" s="108"/>
    </row>
    <row r="153" spans="1:20" s="174" customFormat="1">
      <c r="B153" s="123"/>
      <c r="C153" s="124"/>
      <c r="D153" s="124"/>
      <c r="E153" s="124"/>
      <c r="F153" s="124"/>
      <c r="G153" s="124"/>
      <c r="H153" s="124"/>
      <c r="I153" s="181"/>
      <c r="J153" s="181"/>
      <c r="K153" s="181"/>
      <c r="L153" s="181"/>
      <c r="M153" s="181"/>
      <c r="N153" s="181"/>
      <c r="O153" s="181"/>
      <c r="P153" s="181"/>
      <c r="Q153" s="181"/>
      <c r="R153" s="181"/>
      <c r="S153" s="108"/>
      <c r="T153" s="108"/>
    </row>
    <row r="154" spans="1:20" s="174" customFormat="1" ht="29" customHeight="1">
      <c r="B154" s="224"/>
      <c r="C154" s="634" t="s">
        <v>86</v>
      </c>
      <c r="D154" s="634"/>
      <c r="E154" s="221"/>
      <c r="F154" s="225"/>
      <c r="G154" s="225"/>
      <c r="H154" s="226"/>
      <c r="I154" s="227"/>
      <c r="J154" s="227"/>
      <c r="K154" s="227"/>
      <c r="L154" s="228"/>
      <c r="M154" s="228"/>
      <c r="N154" s="228"/>
      <c r="O154" s="228"/>
      <c r="P154" s="228"/>
      <c r="Q154" s="228"/>
      <c r="R154" s="228"/>
      <c r="S154" s="229"/>
      <c r="T154" s="229"/>
    </row>
    <row r="155" spans="1:20" s="125" customFormat="1" ht="26.25" hidden="1" customHeight="1">
      <c r="A155" s="182"/>
      <c r="C155" s="126" t="s">
        <v>87</v>
      </c>
      <c r="D155" s="127"/>
      <c r="E155" s="128"/>
      <c r="F155" s="128"/>
      <c r="G155" s="128"/>
      <c r="H155" s="128"/>
      <c r="I155" s="198">
        <f>IF(I233="","",SUMPRODUCT(($I$233:$XFD$233&lt;I233)*($I$233:$XFD$233&lt;&gt;""))+SUMPRODUCT(($I$233:I233=I233)*1))</f>
        <v>1</v>
      </c>
      <c r="J155" s="198" t="str">
        <f>IF(J233="","",SUMPRODUCT(($I$233:$XFD$233&lt;J233)*($I$233:$XFD$233&lt;&gt;""))+SUMPRODUCT(($I$233:J233=J233)*1))</f>
        <v/>
      </c>
      <c r="K155" s="198" t="str">
        <f>IF(K233="","",SUMPRODUCT(($I$233:$XFD$233&lt;K233)*($I$233:$XFD$233&lt;&gt;""))+SUMPRODUCT(($I$233:K233=K233)*1))</f>
        <v/>
      </c>
      <c r="L155" s="198" t="str">
        <f>IF(L233="","",SUMPRODUCT(($I$233:$XFD$233&lt;L233)*($I$233:$XFD$233&lt;&gt;""))+SUMPRODUCT(($I$233:L233=L233)*1))</f>
        <v/>
      </c>
      <c r="M155" s="198" t="str">
        <f>IF(M233="","",SUMPRODUCT(($I$233:$XFD$233&lt;M233)*($I$233:$XFD$233&lt;&gt;""))+SUMPRODUCT(($I$233:M233=M233)*1))</f>
        <v/>
      </c>
      <c r="N155" s="198" t="str">
        <f>IF(N233="","",SUMPRODUCT(($I$233:$XFD$233&lt;N233)*($I$233:$XFD$233&lt;&gt;""))+SUMPRODUCT(($I$233:N233=N233)*1))</f>
        <v/>
      </c>
      <c r="O155" s="198" t="str">
        <f>IF(O233="","",SUMPRODUCT(($I$233:$XFD$233&lt;O233)*($I$233:$XFD$233&lt;&gt;""))+SUMPRODUCT(($I$233:O233=O233)*1))</f>
        <v/>
      </c>
      <c r="P155" s="198" t="str">
        <f>IF(P233="","",SUMPRODUCT(($I$233:$XFD$233&lt;P233)*($I$233:$XFD$233&lt;&gt;""))+SUMPRODUCT(($I$233:P233=P233)*1))</f>
        <v/>
      </c>
      <c r="Q155" s="198" t="str">
        <f>IF(Q233="","",SUMPRODUCT(($I$233:$XFD$233&lt;Q233)*($I$233:$XFD$233&lt;&gt;""))+SUMPRODUCT(($I$233:Q233=Q233)*1))</f>
        <v/>
      </c>
      <c r="R155" s="198" t="str">
        <f>IF(R233="","",SUMPRODUCT(($I$233:$XFD$233&lt;R233)*($I$233:$XFD$233&lt;&gt;""))+SUMPRODUCT(($I$233:R233=R233)*1))</f>
        <v/>
      </c>
      <c r="S155" s="108"/>
      <c r="T155" s="108"/>
    </row>
    <row r="156" spans="1:20" s="174" customFormat="1" ht="16.5" customHeight="1">
      <c r="B156" s="129"/>
      <c r="C156" s="586"/>
      <c r="D156" s="586"/>
      <c r="E156" s="586"/>
      <c r="F156" s="586"/>
      <c r="G156" s="586"/>
      <c r="H156" s="130"/>
      <c r="I156" s="199" t="str">
        <f>I167</f>
        <v>Byggnadstyp 1</v>
      </c>
      <c r="J156" s="199" t="str">
        <f t="shared" ref="J156:R156" si="83">J167</f>
        <v>Byggnadstyp 2</v>
      </c>
      <c r="K156" s="199" t="str">
        <f t="shared" si="83"/>
        <v>Byggnadstyp 3</v>
      </c>
      <c r="L156" s="199" t="str">
        <f t="shared" si="83"/>
        <v>Byggnadstyp 4</v>
      </c>
      <c r="M156" s="199" t="str">
        <f t="shared" si="83"/>
        <v>Byggnadstyp 5</v>
      </c>
      <c r="N156" s="199" t="str">
        <f t="shared" si="83"/>
        <v>Byggnadstyp 6</v>
      </c>
      <c r="O156" s="199" t="str">
        <f t="shared" si="83"/>
        <v>Byggnadstyp 7</v>
      </c>
      <c r="P156" s="199" t="str">
        <f t="shared" si="83"/>
        <v>Byggnadstyp 8</v>
      </c>
      <c r="Q156" s="199" t="str">
        <f t="shared" si="83"/>
        <v>Byggnadstyp 9</v>
      </c>
      <c r="R156" s="199" t="str">
        <f t="shared" si="83"/>
        <v>Byggnadstyp 10</v>
      </c>
      <c r="S156" s="108"/>
      <c r="T156" s="108"/>
    </row>
    <row r="157" spans="1:20" s="174" customFormat="1" ht="20" customHeight="1">
      <c r="B157" s="131" t="s">
        <v>88</v>
      </c>
      <c r="C157" s="132" t="s">
        <v>160</v>
      </c>
      <c r="D157" s="132"/>
      <c r="E157" s="132"/>
      <c r="F157" s="132"/>
      <c r="G157" s="132"/>
      <c r="H157" s="133" t="s">
        <v>90</v>
      </c>
      <c r="I157" s="200">
        <f t="shared" ref="I157:N157" si="84">I180+I199*$I$201+I215*$I$217</f>
        <v>0</v>
      </c>
      <c r="J157" s="200">
        <f t="shared" si="84"/>
        <v>0</v>
      </c>
      <c r="K157" s="200">
        <f t="shared" si="84"/>
        <v>0</v>
      </c>
      <c r="L157" s="200">
        <f t="shared" si="84"/>
        <v>0</v>
      </c>
      <c r="M157" s="200">
        <f t="shared" si="84"/>
        <v>0</v>
      </c>
      <c r="N157" s="200">
        <f t="shared" si="84"/>
        <v>0</v>
      </c>
      <c r="O157" s="200">
        <f t="shared" ref="O157:R157" si="85">O180+O199*$I$201+O215*$I$217</f>
        <v>0</v>
      </c>
      <c r="P157" s="200">
        <f t="shared" si="85"/>
        <v>0</v>
      </c>
      <c r="Q157" s="200">
        <f t="shared" si="85"/>
        <v>0</v>
      </c>
      <c r="R157" s="200">
        <f t="shared" si="85"/>
        <v>0</v>
      </c>
      <c r="S157" s="108"/>
      <c r="T157" s="108"/>
    </row>
    <row r="158" spans="1:20" s="174" customFormat="1" ht="20" customHeight="1">
      <c r="B158" s="131" t="s">
        <v>91</v>
      </c>
      <c r="C158" s="132" t="s">
        <v>92</v>
      </c>
      <c r="D158" s="132"/>
      <c r="E158" s="132"/>
      <c r="F158" s="132"/>
      <c r="G158" s="132"/>
      <c r="H158" s="133" t="s">
        <v>93</v>
      </c>
      <c r="I158" s="200">
        <f>I221</f>
        <v>0</v>
      </c>
      <c r="J158" s="200">
        <f>J221</f>
        <v>0</v>
      </c>
      <c r="K158" s="200">
        <f t="shared" ref="K158:R158" si="86">K221</f>
        <v>0</v>
      </c>
      <c r="L158" s="200">
        <f t="shared" si="86"/>
        <v>0</v>
      </c>
      <c r="M158" s="200">
        <f t="shared" si="86"/>
        <v>0</v>
      </c>
      <c r="N158" s="200">
        <f t="shared" si="86"/>
        <v>0</v>
      </c>
      <c r="O158" s="200">
        <f t="shared" si="86"/>
        <v>0</v>
      </c>
      <c r="P158" s="200">
        <f t="shared" si="86"/>
        <v>0</v>
      </c>
      <c r="Q158" s="200">
        <f t="shared" si="86"/>
        <v>0</v>
      </c>
      <c r="R158" s="200">
        <f t="shared" si="86"/>
        <v>0</v>
      </c>
      <c r="S158" s="108"/>
      <c r="T158" s="108"/>
    </row>
    <row r="159" spans="1:20" s="174" customFormat="1" ht="30" customHeight="1">
      <c r="B159" s="123"/>
      <c r="C159" s="134" t="s">
        <v>94</v>
      </c>
      <c r="D159" s="135"/>
      <c r="E159" s="135"/>
      <c r="F159" s="135"/>
      <c r="G159" s="135"/>
      <c r="H159" s="133"/>
      <c r="I159" s="201"/>
      <c r="J159" s="201"/>
      <c r="K159" s="201"/>
      <c r="L159" s="201"/>
      <c r="M159" s="201"/>
      <c r="N159" s="201"/>
      <c r="O159" s="201"/>
      <c r="P159" s="201"/>
      <c r="Q159" s="201"/>
      <c r="R159" s="201"/>
      <c r="S159" s="108"/>
      <c r="T159" s="108"/>
    </row>
    <row r="160" spans="1:20" s="174" customFormat="1" ht="20" customHeight="1">
      <c r="B160" s="123" t="s">
        <v>95</v>
      </c>
      <c r="C160" s="587" t="s">
        <v>96</v>
      </c>
      <c r="D160" s="587"/>
      <c r="E160" s="587"/>
      <c r="F160" s="587"/>
      <c r="G160" s="587"/>
      <c r="H160" s="133" t="s">
        <v>90</v>
      </c>
      <c r="I160" s="201">
        <f>I181+I202+I218</f>
        <v>0</v>
      </c>
      <c r="J160" s="201"/>
      <c r="K160" s="201"/>
      <c r="L160" s="201"/>
      <c r="M160" s="201"/>
      <c r="N160" s="201"/>
      <c r="O160" s="201"/>
      <c r="P160" s="201"/>
      <c r="Q160" s="201"/>
      <c r="R160" s="201"/>
      <c r="S160" s="108"/>
      <c r="T160" s="108"/>
    </row>
    <row r="161" spans="2:20" s="174" customFormat="1" ht="20" customHeight="1">
      <c r="B161" s="123" t="s">
        <v>97</v>
      </c>
      <c r="C161" s="136" t="s">
        <v>98</v>
      </c>
      <c r="D161" s="135"/>
      <c r="E161" s="135"/>
      <c r="F161" s="135"/>
      <c r="G161" s="135"/>
      <c r="H161" s="133" t="s">
        <v>90</v>
      </c>
      <c r="I161" s="201">
        <f>I200</f>
        <v>0</v>
      </c>
      <c r="J161" s="201"/>
      <c r="K161" s="201"/>
      <c r="L161" s="201"/>
      <c r="M161" s="201"/>
      <c r="N161" s="201"/>
      <c r="O161" s="201"/>
      <c r="P161" s="201"/>
      <c r="Q161" s="201"/>
      <c r="R161" s="201"/>
      <c r="S161" s="108"/>
      <c r="T161" s="108"/>
    </row>
    <row r="162" spans="2:20" s="174" customFormat="1" ht="20" customHeight="1">
      <c r="B162" s="123" t="s">
        <v>99</v>
      </c>
      <c r="C162" s="136" t="s">
        <v>100</v>
      </c>
      <c r="D162" s="135"/>
      <c r="E162" s="135"/>
      <c r="F162" s="135"/>
      <c r="G162" s="135"/>
      <c r="H162" s="133" t="s">
        <v>90</v>
      </c>
      <c r="I162" s="201">
        <f>I202</f>
        <v>0</v>
      </c>
      <c r="J162" s="201"/>
      <c r="K162" s="201"/>
      <c r="L162" s="201"/>
      <c r="M162" s="201"/>
      <c r="N162" s="201"/>
      <c r="O162" s="201"/>
      <c r="P162" s="201"/>
      <c r="Q162" s="201"/>
      <c r="R162" s="201"/>
      <c r="S162" s="108"/>
      <c r="T162" s="108"/>
    </row>
    <row r="163" spans="2:20" s="174" customFormat="1" ht="20" customHeight="1">
      <c r="B163" s="123" t="s">
        <v>101</v>
      </c>
      <c r="C163" s="587" t="s">
        <v>102</v>
      </c>
      <c r="D163" s="587"/>
      <c r="E163" s="587"/>
      <c r="F163" s="587"/>
      <c r="G163" s="587"/>
      <c r="H163" s="133" t="s">
        <v>103</v>
      </c>
      <c r="I163" s="201">
        <f>SUM(I220:XFD220)</f>
        <v>0</v>
      </c>
      <c r="J163" s="201"/>
      <c r="K163" s="201"/>
      <c r="L163" s="201"/>
      <c r="M163" s="201"/>
      <c r="N163" s="201"/>
      <c r="O163" s="201"/>
      <c r="P163" s="201"/>
      <c r="Q163" s="201"/>
      <c r="R163" s="201"/>
      <c r="S163" s="108"/>
      <c r="T163" s="108"/>
    </row>
    <row r="164" spans="2:20" s="174" customFormat="1" ht="20" customHeight="1">
      <c r="B164" s="123"/>
      <c r="C164" s="135"/>
      <c r="D164" s="135"/>
      <c r="E164" s="135"/>
      <c r="F164" s="135"/>
      <c r="G164" s="135"/>
      <c r="H164" s="133"/>
      <c r="I164" s="201"/>
      <c r="J164" s="201"/>
      <c r="K164" s="201"/>
      <c r="L164" s="201"/>
      <c r="M164" s="201"/>
      <c r="N164" s="201"/>
      <c r="O164" s="201"/>
      <c r="P164" s="201"/>
      <c r="Q164" s="201"/>
      <c r="R164" s="201"/>
      <c r="S164" s="108"/>
      <c r="T164" s="108"/>
    </row>
    <row r="165" spans="2:20" s="174" customFormat="1" ht="16.5" customHeight="1">
      <c r="B165" s="129"/>
      <c r="C165" s="586"/>
      <c r="D165" s="586"/>
      <c r="E165" s="586"/>
      <c r="F165" s="586"/>
      <c r="G165" s="586"/>
      <c r="H165" s="130"/>
      <c r="I165" s="202"/>
      <c r="J165" s="181"/>
      <c r="K165" s="181"/>
      <c r="L165" s="181"/>
      <c r="M165" s="181"/>
      <c r="N165" s="181"/>
      <c r="O165" s="181"/>
      <c r="P165" s="181"/>
      <c r="Q165" s="181"/>
      <c r="R165" s="181"/>
      <c r="S165" s="108"/>
      <c r="T165" s="108"/>
    </row>
    <row r="166" spans="2:20" s="182" customFormat="1" ht="26.25" customHeight="1">
      <c r="B166" s="230"/>
      <c r="C166" s="231" t="s">
        <v>42</v>
      </c>
      <c r="D166" s="230"/>
      <c r="E166" s="232"/>
      <c r="F166" s="230"/>
      <c r="G166" s="230"/>
      <c r="H166" s="230"/>
      <c r="I166" s="233"/>
      <c r="J166" s="233"/>
      <c r="K166" s="233"/>
      <c r="L166" s="233"/>
      <c r="M166" s="233"/>
      <c r="N166" s="233"/>
      <c r="O166" s="233"/>
      <c r="P166" s="233"/>
      <c r="Q166" s="233"/>
      <c r="R166" s="233"/>
      <c r="S166" s="230"/>
      <c r="T166" s="230"/>
    </row>
    <row r="167" spans="2:20" s="183" customFormat="1" ht="24" customHeight="1">
      <c r="B167" s="137"/>
      <c r="C167" s="588"/>
      <c r="D167" s="588"/>
      <c r="E167" s="588"/>
      <c r="F167" s="588"/>
      <c r="G167" s="588"/>
      <c r="H167" s="138"/>
      <c r="I167" s="203" t="str">
        <f t="shared" ref="I167:N167" si="87">I25</f>
        <v>Byggnadstyp 1</v>
      </c>
      <c r="J167" s="203" t="str">
        <f t="shared" si="87"/>
        <v>Byggnadstyp 2</v>
      </c>
      <c r="K167" s="203" t="str">
        <f t="shared" si="87"/>
        <v>Byggnadstyp 3</v>
      </c>
      <c r="L167" s="204" t="str">
        <f t="shared" si="87"/>
        <v>Byggnadstyp 4</v>
      </c>
      <c r="M167" s="204" t="str">
        <f t="shared" si="87"/>
        <v>Byggnadstyp 5</v>
      </c>
      <c r="N167" s="204" t="str">
        <f t="shared" si="87"/>
        <v>Byggnadstyp 6</v>
      </c>
      <c r="O167" s="204" t="str">
        <f t="shared" ref="O167:R167" si="88">O25</f>
        <v>Byggnadstyp 7</v>
      </c>
      <c r="P167" s="204" t="str">
        <f t="shared" si="88"/>
        <v>Byggnadstyp 8</v>
      </c>
      <c r="Q167" s="204" t="str">
        <f t="shared" si="88"/>
        <v>Byggnadstyp 9</v>
      </c>
      <c r="R167" s="204" t="str">
        <f t="shared" si="88"/>
        <v>Byggnadstyp 10</v>
      </c>
      <c r="S167" s="108"/>
      <c r="T167" s="108"/>
    </row>
    <row r="168" spans="2:20" ht="14">
      <c r="B168" s="234"/>
      <c r="C168" s="635" t="s">
        <v>104</v>
      </c>
      <c r="D168" s="635"/>
      <c r="E168" s="635"/>
      <c r="F168" s="635"/>
      <c r="G168" s="635"/>
      <c r="H168" s="234"/>
      <c r="I168" s="235"/>
      <c r="J168" s="235"/>
      <c r="K168" s="235"/>
      <c r="L168" s="236"/>
      <c r="M168" s="236"/>
      <c r="N168" s="236"/>
      <c r="O168" s="236"/>
      <c r="P168" s="236"/>
      <c r="Q168" s="236"/>
      <c r="R168" s="236"/>
      <c r="S168" s="237"/>
      <c r="T168" s="237"/>
    </row>
    <row r="169" spans="2:20">
      <c r="B169" s="139"/>
      <c r="C169" s="590" t="s">
        <v>105</v>
      </c>
      <c r="D169" s="590"/>
      <c r="E169" s="590"/>
      <c r="F169" s="590"/>
      <c r="G169" s="590"/>
      <c r="H169" s="138"/>
      <c r="I169" s="205"/>
      <c r="J169" s="205"/>
      <c r="K169" s="205"/>
      <c r="L169" s="205"/>
      <c r="M169" s="205"/>
      <c r="N169" s="205"/>
      <c r="O169" s="205"/>
      <c r="P169" s="205"/>
      <c r="Q169" s="205"/>
      <c r="R169" s="205"/>
      <c r="S169" s="108"/>
      <c r="T169" s="108"/>
    </row>
    <row r="170" spans="2:20">
      <c r="B170" s="139"/>
      <c r="C170" s="584" t="s">
        <v>106</v>
      </c>
      <c r="D170" s="584"/>
      <c r="E170" s="584"/>
      <c r="F170" s="584"/>
      <c r="G170" s="584"/>
      <c r="H170" s="137" t="s">
        <v>90</v>
      </c>
      <c r="I170" s="206">
        <f>I$28*(I32*(I33+I34))</f>
        <v>0</v>
      </c>
      <c r="J170" s="206">
        <f>J$28*(J32*(J33+J34))</f>
        <v>0</v>
      </c>
      <c r="K170" s="206">
        <f t="shared" ref="K170:R170" si="89">K$28*(K32*(K33+K34))</f>
        <v>0</v>
      </c>
      <c r="L170" s="206">
        <f t="shared" si="89"/>
        <v>0</v>
      </c>
      <c r="M170" s="206">
        <f t="shared" si="89"/>
        <v>0</v>
      </c>
      <c r="N170" s="206">
        <f t="shared" si="89"/>
        <v>0</v>
      </c>
      <c r="O170" s="206">
        <f t="shared" si="89"/>
        <v>0</v>
      </c>
      <c r="P170" s="206">
        <f t="shared" si="89"/>
        <v>0</v>
      </c>
      <c r="Q170" s="206">
        <f t="shared" si="89"/>
        <v>0</v>
      </c>
      <c r="R170" s="206">
        <f t="shared" si="89"/>
        <v>0</v>
      </c>
      <c r="S170" s="108"/>
      <c r="T170" s="108"/>
    </row>
    <row r="171" spans="2:20">
      <c r="B171" s="139"/>
      <c r="C171" s="584" t="s">
        <v>107</v>
      </c>
      <c r="D171" s="584"/>
      <c r="E171" s="584"/>
      <c r="F171" s="584"/>
      <c r="G171" s="584"/>
      <c r="H171" s="137" t="s">
        <v>90</v>
      </c>
      <c r="I171" s="206">
        <f>I$28*(I44*(I45+I46))</f>
        <v>0</v>
      </c>
      <c r="J171" s="206">
        <f>J$28*(J44*(J45+J46))</f>
        <v>0</v>
      </c>
      <c r="K171" s="206">
        <f t="shared" ref="K171:R171" si="90">K$28*(K44*(K45+K46))</f>
        <v>0</v>
      </c>
      <c r="L171" s="206">
        <f t="shared" si="90"/>
        <v>0</v>
      </c>
      <c r="M171" s="206">
        <f t="shared" si="90"/>
        <v>0</v>
      </c>
      <c r="N171" s="206">
        <f t="shared" si="90"/>
        <v>0</v>
      </c>
      <c r="O171" s="206">
        <f t="shared" si="90"/>
        <v>0</v>
      </c>
      <c r="P171" s="206">
        <f t="shared" si="90"/>
        <v>0</v>
      </c>
      <c r="Q171" s="206">
        <f t="shared" si="90"/>
        <v>0</v>
      </c>
      <c r="R171" s="206">
        <f t="shared" si="90"/>
        <v>0</v>
      </c>
      <c r="S171" s="108"/>
      <c r="T171" s="108"/>
    </row>
    <row r="172" spans="2:20">
      <c r="B172" s="139"/>
      <c r="C172" s="584" t="s">
        <v>108</v>
      </c>
      <c r="D172" s="584"/>
      <c r="E172" s="584"/>
      <c r="F172" s="584"/>
      <c r="G172" s="584"/>
      <c r="H172" s="137" t="s">
        <v>90</v>
      </c>
      <c r="I172" s="206">
        <f>I$28*(I56*(I57+I58))</f>
        <v>0</v>
      </c>
      <c r="J172" s="206">
        <f>J$28*(J56*(J57+J58))</f>
        <v>0</v>
      </c>
      <c r="K172" s="206">
        <f t="shared" ref="K172:R172" si="91">K$28*(K56*(K57+K58))</f>
        <v>0</v>
      </c>
      <c r="L172" s="206">
        <f t="shared" si="91"/>
        <v>0</v>
      </c>
      <c r="M172" s="206">
        <f t="shared" si="91"/>
        <v>0</v>
      </c>
      <c r="N172" s="206">
        <f t="shared" si="91"/>
        <v>0</v>
      </c>
      <c r="O172" s="206">
        <f t="shared" si="91"/>
        <v>0</v>
      </c>
      <c r="P172" s="206">
        <f t="shared" si="91"/>
        <v>0</v>
      </c>
      <c r="Q172" s="206">
        <f t="shared" si="91"/>
        <v>0</v>
      </c>
      <c r="R172" s="206">
        <f t="shared" si="91"/>
        <v>0</v>
      </c>
      <c r="S172" s="108"/>
      <c r="T172" s="108"/>
    </row>
    <row r="173" spans="2:20">
      <c r="B173" s="139"/>
      <c r="C173" s="584" t="s">
        <v>109</v>
      </c>
      <c r="D173" s="584"/>
      <c r="E173" s="584"/>
      <c r="F173" s="584"/>
      <c r="G173" s="584"/>
      <c r="H173" s="137" t="s">
        <v>90</v>
      </c>
      <c r="I173" s="206">
        <f>I$28*(I68*(I69+I70))</f>
        <v>0</v>
      </c>
      <c r="J173" s="206">
        <f>J$28*(J68*(J69+J70))</f>
        <v>0</v>
      </c>
      <c r="K173" s="206">
        <f t="shared" ref="K173:R173" si="92">K$28*(K68*(K69+K70))</f>
        <v>0</v>
      </c>
      <c r="L173" s="206">
        <f t="shared" si="92"/>
        <v>0</v>
      </c>
      <c r="M173" s="206">
        <f t="shared" si="92"/>
        <v>0</v>
      </c>
      <c r="N173" s="206">
        <f t="shared" si="92"/>
        <v>0</v>
      </c>
      <c r="O173" s="206">
        <f t="shared" si="92"/>
        <v>0</v>
      </c>
      <c r="P173" s="206">
        <f t="shared" si="92"/>
        <v>0</v>
      </c>
      <c r="Q173" s="206">
        <f t="shared" si="92"/>
        <v>0</v>
      </c>
      <c r="R173" s="206">
        <f t="shared" si="92"/>
        <v>0</v>
      </c>
      <c r="S173" s="108"/>
      <c r="T173" s="108"/>
    </row>
    <row r="174" spans="2:20">
      <c r="B174" s="139"/>
      <c r="C174" s="584" t="s">
        <v>110</v>
      </c>
      <c r="D174" s="584"/>
      <c r="E174" s="584"/>
      <c r="F174" s="584"/>
      <c r="G174" s="584"/>
      <c r="H174" s="137" t="s">
        <v>90</v>
      </c>
      <c r="I174" s="206">
        <f>I$28*(I80*(I81+I82))</f>
        <v>0</v>
      </c>
      <c r="J174" s="206">
        <f>J$28*(J80*(J81+J82))</f>
        <v>0</v>
      </c>
      <c r="K174" s="206">
        <f t="shared" ref="K174:R174" si="93">K$28*(K80*(K81+K82))</f>
        <v>0</v>
      </c>
      <c r="L174" s="206">
        <f t="shared" si="93"/>
        <v>0</v>
      </c>
      <c r="M174" s="206">
        <f t="shared" si="93"/>
        <v>0</v>
      </c>
      <c r="N174" s="206">
        <f t="shared" si="93"/>
        <v>0</v>
      </c>
      <c r="O174" s="206">
        <f t="shared" si="93"/>
        <v>0</v>
      </c>
      <c r="P174" s="206">
        <f t="shared" si="93"/>
        <v>0</v>
      </c>
      <c r="Q174" s="206">
        <f t="shared" si="93"/>
        <v>0</v>
      </c>
      <c r="R174" s="206">
        <f t="shared" si="93"/>
        <v>0</v>
      </c>
      <c r="S174" s="108"/>
      <c r="T174" s="108"/>
    </row>
    <row r="175" spans="2:20">
      <c r="B175" s="139"/>
      <c r="C175" s="584" t="s">
        <v>111</v>
      </c>
      <c r="D175" s="584"/>
      <c r="E175" s="584"/>
      <c r="F175" s="584"/>
      <c r="G175" s="584"/>
      <c r="H175" s="137" t="s">
        <v>90</v>
      </c>
      <c r="I175" s="206">
        <f>I$28*(I92*(I93+I94))</f>
        <v>0</v>
      </c>
      <c r="J175" s="206">
        <f>J$28*(J92*(J93+J94))</f>
        <v>0</v>
      </c>
      <c r="K175" s="206">
        <f t="shared" ref="K175:R175" si="94">K$28*(K92*(K93+K94))</f>
        <v>0</v>
      </c>
      <c r="L175" s="206">
        <f t="shared" si="94"/>
        <v>0</v>
      </c>
      <c r="M175" s="206">
        <f t="shared" si="94"/>
        <v>0</v>
      </c>
      <c r="N175" s="206">
        <f t="shared" si="94"/>
        <v>0</v>
      </c>
      <c r="O175" s="206">
        <f t="shared" si="94"/>
        <v>0</v>
      </c>
      <c r="P175" s="206">
        <f t="shared" si="94"/>
        <v>0</v>
      </c>
      <c r="Q175" s="206">
        <f t="shared" si="94"/>
        <v>0</v>
      </c>
      <c r="R175" s="206">
        <f t="shared" si="94"/>
        <v>0</v>
      </c>
      <c r="S175" s="108"/>
      <c r="T175" s="108"/>
    </row>
    <row r="176" spans="2:20">
      <c r="B176" s="139"/>
      <c r="C176" s="584" t="s">
        <v>112</v>
      </c>
      <c r="D176" s="584"/>
      <c r="E176" s="584"/>
      <c r="F176" s="584"/>
      <c r="G176" s="584"/>
      <c r="H176" s="137" t="s">
        <v>90</v>
      </c>
      <c r="I176" s="206">
        <f>I$28*(I104*(I105+I106))</f>
        <v>0</v>
      </c>
      <c r="J176" s="206">
        <f>J$28*(J104*(J105+J106))</f>
        <v>0</v>
      </c>
      <c r="K176" s="206">
        <f t="shared" ref="K176:R176" si="95">K$28*(K104*(K105+K106))</f>
        <v>0</v>
      </c>
      <c r="L176" s="206">
        <f t="shared" si="95"/>
        <v>0</v>
      </c>
      <c r="M176" s="206">
        <f t="shared" si="95"/>
        <v>0</v>
      </c>
      <c r="N176" s="206">
        <f t="shared" si="95"/>
        <v>0</v>
      </c>
      <c r="O176" s="206">
        <f t="shared" si="95"/>
        <v>0</v>
      </c>
      <c r="P176" s="206">
        <f t="shared" si="95"/>
        <v>0</v>
      </c>
      <c r="Q176" s="206">
        <f t="shared" si="95"/>
        <v>0</v>
      </c>
      <c r="R176" s="206">
        <f t="shared" si="95"/>
        <v>0</v>
      </c>
      <c r="S176" s="108"/>
      <c r="T176" s="108"/>
    </row>
    <row r="177" spans="2:20">
      <c r="B177" s="139"/>
      <c r="C177" s="584" t="s">
        <v>113</v>
      </c>
      <c r="D177" s="584"/>
      <c r="E177" s="584"/>
      <c r="F177" s="584"/>
      <c r="G177" s="584"/>
      <c r="H177" s="137" t="s">
        <v>90</v>
      </c>
      <c r="I177" s="206">
        <f>I$28*(I116*(I117+I118))</f>
        <v>0</v>
      </c>
      <c r="J177" s="206">
        <f>J$28*(J116*(J117+J118))</f>
        <v>0</v>
      </c>
      <c r="K177" s="206">
        <f t="shared" ref="K177:R177" si="96">K$28*(K116*(K117+K118))</f>
        <v>0</v>
      </c>
      <c r="L177" s="206">
        <f t="shared" si="96"/>
        <v>0</v>
      </c>
      <c r="M177" s="206">
        <f t="shared" si="96"/>
        <v>0</v>
      </c>
      <c r="N177" s="206">
        <f t="shared" si="96"/>
        <v>0</v>
      </c>
      <c r="O177" s="206">
        <f t="shared" si="96"/>
        <v>0</v>
      </c>
      <c r="P177" s="206">
        <f t="shared" si="96"/>
        <v>0</v>
      </c>
      <c r="Q177" s="206">
        <f t="shared" si="96"/>
        <v>0</v>
      </c>
      <c r="R177" s="206">
        <f t="shared" si="96"/>
        <v>0</v>
      </c>
      <c r="S177" s="108"/>
      <c r="T177" s="108"/>
    </row>
    <row r="178" spans="2:20">
      <c r="B178" s="139"/>
      <c r="C178" s="584" t="s">
        <v>114</v>
      </c>
      <c r="D178" s="584"/>
      <c r="E178" s="584"/>
      <c r="F178" s="584"/>
      <c r="G178" s="584"/>
      <c r="H178" s="137" t="s">
        <v>90</v>
      </c>
      <c r="I178" s="206">
        <f>I$28*(I128*(I129+I130))</f>
        <v>0</v>
      </c>
      <c r="J178" s="206">
        <f>J$28*(J128*(J129+J130))</f>
        <v>0</v>
      </c>
      <c r="K178" s="206">
        <f t="shared" ref="K178:R178" si="97">K$28*(K128*(K129+K130))</f>
        <v>0</v>
      </c>
      <c r="L178" s="206">
        <f t="shared" si="97"/>
        <v>0</v>
      </c>
      <c r="M178" s="206">
        <f t="shared" si="97"/>
        <v>0</v>
      </c>
      <c r="N178" s="206">
        <f t="shared" si="97"/>
        <v>0</v>
      </c>
      <c r="O178" s="206">
        <f t="shared" si="97"/>
        <v>0</v>
      </c>
      <c r="P178" s="206">
        <f t="shared" si="97"/>
        <v>0</v>
      </c>
      <c r="Q178" s="206">
        <f t="shared" si="97"/>
        <v>0</v>
      </c>
      <c r="R178" s="206">
        <f t="shared" si="97"/>
        <v>0</v>
      </c>
      <c r="S178" s="108"/>
      <c r="T178" s="108"/>
    </row>
    <row r="179" spans="2:20">
      <c r="B179" s="139"/>
      <c r="C179" s="584" t="s">
        <v>115</v>
      </c>
      <c r="D179" s="584"/>
      <c r="E179" s="584"/>
      <c r="F179" s="584"/>
      <c r="G179" s="584"/>
      <c r="H179" s="137" t="s">
        <v>90</v>
      </c>
      <c r="I179" s="206">
        <f>I$28*(I140*(I141+I142))</f>
        <v>0</v>
      </c>
      <c r="J179" s="206">
        <f>J$28*(J140*(J141+J142))</f>
        <v>0</v>
      </c>
      <c r="K179" s="206">
        <f t="shared" ref="K179:R179" si="98">K$28*(K140*(K141+K142))</f>
        <v>0</v>
      </c>
      <c r="L179" s="206">
        <f t="shared" si="98"/>
        <v>0</v>
      </c>
      <c r="M179" s="206">
        <f t="shared" si="98"/>
        <v>0</v>
      </c>
      <c r="N179" s="206">
        <f t="shared" si="98"/>
        <v>0</v>
      </c>
      <c r="O179" s="206">
        <f t="shared" si="98"/>
        <v>0</v>
      </c>
      <c r="P179" s="206">
        <f t="shared" si="98"/>
        <v>0</v>
      </c>
      <c r="Q179" s="206">
        <f t="shared" si="98"/>
        <v>0</v>
      </c>
      <c r="R179" s="206">
        <f t="shared" si="98"/>
        <v>0</v>
      </c>
      <c r="S179" s="108"/>
      <c r="T179" s="108"/>
    </row>
    <row r="180" spans="2:20">
      <c r="B180" s="139"/>
      <c r="C180" s="141" t="s">
        <v>116</v>
      </c>
      <c r="D180" s="142"/>
      <c r="E180" s="142"/>
      <c r="F180" s="142"/>
      <c r="G180" s="142"/>
      <c r="H180" s="143" t="s">
        <v>90</v>
      </c>
      <c r="I180" s="207">
        <f>SUM(I170:I179)</f>
        <v>0</v>
      </c>
      <c r="J180" s="207">
        <f>SUM(J170:J179)</f>
        <v>0</v>
      </c>
      <c r="K180" s="207">
        <f t="shared" ref="K180:R180" si="99">SUM(K170:K179)</f>
        <v>0</v>
      </c>
      <c r="L180" s="207">
        <f t="shared" si="99"/>
        <v>0</v>
      </c>
      <c r="M180" s="207">
        <f t="shared" si="99"/>
        <v>0</v>
      </c>
      <c r="N180" s="207">
        <f t="shared" si="99"/>
        <v>0</v>
      </c>
      <c r="O180" s="207">
        <f t="shared" si="99"/>
        <v>0</v>
      </c>
      <c r="P180" s="207">
        <f t="shared" si="99"/>
        <v>0</v>
      </c>
      <c r="Q180" s="207">
        <f t="shared" si="99"/>
        <v>0</v>
      </c>
      <c r="R180" s="207">
        <f t="shared" si="99"/>
        <v>0</v>
      </c>
      <c r="S180" s="108"/>
      <c r="T180" s="108"/>
    </row>
    <row r="181" spans="2:20" ht="14">
      <c r="B181" s="238"/>
      <c r="C181" s="636" t="s">
        <v>117</v>
      </c>
      <c r="D181" s="636"/>
      <c r="E181" s="636"/>
      <c r="F181" s="636"/>
      <c r="G181" s="636"/>
      <c r="H181" s="238" t="s">
        <v>90</v>
      </c>
      <c r="I181" s="239">
        <f>SUM(I180:XFD180)</f>
        <v>0</v>
      </c>
      <c r="J181" s="239"/>
      <c r="K181" s="239"/>
      <c r="L181" s="239"/>
      <c r="M181" s="239"/>
      <c r="N181" s="239"/>
      <c r="O181" s="239"/>
      <c r="P181" s="239"/>
      <c r="Q181" s="239"/>
      <c r="R181" s="239"/>
      <c r="S181" s="240"/>
      <c r="T181" s="240"/>
    </row>
    <row r="182" spans="2:20" ht="14">
      <c r="B182" s="144"/>
      <c r="C182" s="594"/>
      <c r="D182" s="594"/>
      <c r="E182" s="594"/>
      <c r="F182" s="594"/>
      <c r="G182" s="594"/>
      <c r="H182" s="139"/>
      <c r="I182" s="208"/>
      <c r="J182" s="209"/>
      <c r="K182" s="209"/>
      <c r="L182" s="210"/>
      <c r="M182" s="210"/>
      <c r="N182" s="210"/>
      <c r="O182" s="210"/>
      <c r="P182" s="210"/>
      <c r="Q182" s="210"/>
      <c r="R182" s="210"/>
      <c r="S182" s="184"/>
      <c r="T182" s="184"/>
    </row>
    <row r="183" spans="2:20" ht="14">
      <c r="B183" s="238"/>
      <c r="C183" s="636" t="s">
        <v>118</v>
      </c>
      <c r="D183" s="636"/>
      <c r="E183" s="636"/>
      <c r="F183" s="636"/>
      <c r="G183" s="636"/>
      <c r="H183" s="238"/>
      <c r="I183" s="241"/>
      <c r="J183" s="242"/>
      <c r="K183" s="242"/>
      <c r="L183" s="242"/>
      <c r="M183" s="242"/>
      <c r="N183" s="242"/>
      <c r="O183" s="242"/>
      <c r="P183" s="242"/>
      <c r="Q183" s="242"/>
      <c r="R183" s="242"/>
      <c r="S183" s="238"/>
      <c r="T183" s="238"/>
    </row>
    <row r="184" spans="2:20">
      <c r="B184" s="144"/>
      <c r="C184" s="145" t="s">
        <v>119</v>
      </c>
      <c r="D184" s="141"/>
      <c r="E184" s="141"/>
      <c r="F184" s="141"/>
      <c r="G184" s="141"/>
      <c r="H184" s="139"/>
      <c r="I184" s="206"/>
      <c r="J184" s="211"/>
      <c r="K184" s="211"/>
      <c r="L184" s="211"/>
      <c r="M184" s="211"/>
      <c r="N184" s="211"/>
      <c r="O184" s="211"/>
      <c r="P184" s="211"/>
      <c r="Q184" s="211"/>
      <c r="R184" s="211"/>
      <c r="S184" s="108"/>
      <c r="T184" s="108"/>
    </row>
    <row r="185" spans="2:20">
      <c r="B185" s="144"/>
      <c r="C185" s="595" t="s">
        <v>120</v>
      </c>
      <c r="D185" s="596"/>
      <c r="E185" s="596"/>
      <c r="F185" s="596"/>
      <c r="G185" s="596"/>
      <c r="H185" s="138"/>
      <c r="I185" s="212"/>
      <c r="J185" s="205"/>
      <c r="K185" s="205"/>
      <c r="L185" s="205"/>
      <c r="M185" s="205"/>
      <c r="N185" s="205"/>
      <c r="O185" s="205"/>
      <c r="P185" s="205"/>
      <c r="Q185" s="205"/>
      <c r="R185" s="205"/>
      <c r="S185" s="108"/>
      <c r="T185" s="108"/>
    </row>
    <row r="186" spans="2:20">
      <c r="B186" s="144"/>
      <c r="C186" s="591" t="s">
        <v>106</v>
      </c>
      <c r="D186" s="592"/>
      <c r="E186" s="592"/>
      <c r="F186" s="592"/>
      <c r="G186" s="592"/>
      <c r="H186" s="144" t="s">
        <v>121</v>
      </c>
      <c r="I186" s="213">
        <f>(I$28*I32*I35*I40*$H$20)/1000</f>
        <v>0</v>
      </c>
      <c r="J186" s="213">
        <f>(J$28*J32*J35*J40*$H$20)/1000</f>
        <v>0</v>
      </c>
      <c r="K186" s="213">
        <f t="shared" ref="K186:R186" si="100">(K$28*K32*K35*K40*$H$20)/1000</f>
        <v>0</v>
      </c>
      <c r="L186" s="213">
        <f t="shared" si="100"/>
        <v>0</v>
      </c>
      <c r="M186" s="213">
        <f t="shared" si="100"/>
        <v>0</v>
      </c>
      <c r="N186" s="213">
        <f t="shared" si="100"/>
        <v>0</v>
      </c>
      <c r="O186" s="213">
        <f t="shared" si="100"/>
        <v>0</v>
      </c>
      <c r="P186" s="213">
        <f t="shared" si="100"/>
        <v>0</v>
      </c>
      <c r="Q186" s="213">
        <f t="shared" si="100"/>
        <v>0</v>
      </c>
      <c r="R186" s="213">
        <f t="shared" si="100"/>
        <v>0</v>
      </c>
      <c r="S186" s="108"/>
      <c r="T186" s="108"/>
    </row>
    <row r="187" spans="2:20">
      <c r="B187" s="144"/>
      <c r="C187" s="637" t="s">
        <v>107</v>
      </c>
      <c r="D187" s="592"/>
      <c r="E187" s="592"/>
      <c r="F187" s="592"/>
      <c r="G187" s="592"/>
      <c r="H187" s="149" t="s">
        <v>121</v>
      </c>
      <c r="I187" s="213">
        <f>(I$28*I44*I47*I52*$H$20)/1000</f>
        <v>0</v>
      </c>
      <c r="J187" s="213">
        <f>(J$28*J44*J47*J52*$H$20)/1000</f>
        <v>0</v>
      </c>
      <c r="K187" s="213">
        <f t="shared" ref="K187:R187" si="101">(K$28*K44*K47*K52*$H$20)/1000</f>
        <v>0</v>
      </c>
      <c r="L187" s="213">
        <f t="shared" si="101"/>
        <v>0</v>
      </c>
      <c r="M187" s="213">
        <f t="shared" si="101"/>
        <v>0</v>
      </c>
      <c r="N187" s="213">
        <f t="shared" si="101"/>
        <v>0</v>
      </c>
      <c r="O187" s="213">
        <f t="shared" si="101"/>
        <v>0</v>
      </c>
      <c r="P187" s="213">
        <f t="shared" si="101"/>
        <v>0</v>
      </c>
      <c r="Q187" s="213">
        <f t="shared" si="101"/>
        <v>0</v>
      </c>
      <c r="R187" s="213">
        <f t="shared" si="101"/>
        <v>0</v>
      </c>
      <c r="S187" s="108"/>
      <c r="T187" s="108"/>
    </row>
    <row r="188" spans="2:20">
      <c r="B188" s="144"/>
      <c r="C188" s="637" t="s">
        <v>108</v>
      </c>
      <c r="D188" s="592"/>
      <c r="E188" s="592"/>
      <c r="F188" s="592"/>
      <c r="G188" s="592"/>
      <c r="H188" s="149" t="s">
        <v>121</v>
      </c>
      <c r="I188" s="213">
        <f>(I$28*I56*I59*I64*$H$20)/1000</f>
        <v>0</v>
      </c>
      <c r="J188" s="213">
        <f>(J$28*J56*J59*J64*$H$20)/1000</f>
        <v>0</v>
      </c>
      <c r="K188" s="213">
        <f t="shared" ref="K188:R188" si="102">(K$28*K56*K59*K64*$H$20)/1000</f>
        <v>0</v>
      </c>
      <c r="L188" s="213">
        <f t="shared" si="102"/>
        <v>0</v>
      </c>
      <c r="M188" s="213">
        <f t="shared" si="102"/>
        <v>0</v>
      </c>
      <c r="N188" s="213">
        <f t="shared" si="102"/>
        <v>0</v>
      </c>
      <c r="O188" s="213">
        <f t="shared" si="102"/>
        <v>0</v>
      </c>
      <c r="P188" s="213">
        <f t="shared" si="102"/>
        <v>0</v>
      </c>
      <c r="Q188" s="213">
        <f t="shared" si="102"/>
        <v>0</v>
      </c>
      <c r="R188" s="213">
        <f t="shared" si="102"/>
        <v>0</v>
      </c>
      <c r="S188" s="108"/>
      <c r="T188" s="108"/>
    </row>
    <row r="189" spans="2:20">
      <c r="B189" s="144"/>
      <c r="C189" s="637" t="s">
        <v>109</v>
      </c>
      <c r="D189" s="592"/>
      <c r="E189" s="592"/>
      <c r="F189" s="592"/>
      <c r="G189" s="592"/>
      <c r="H189" s="149" t="s">
        <v>121</v>
      </c>
      <c r="I189" s="213">
        <f>(I$28*I68*I71*I76*$H$20)/1000</f>
        <v>0</v>
      </c>
      <c r="J189" s="213">
        <f>(J$28*J68*J71*J76*$H$20)/1000</f>
        <v>0</v>
      </c>
      <c r="K189" s="213">
        <f t="shared" ref="K189:R189" si="103">(K$28*K68*K71*K76*$H$20)/1000</f>
        <v>0</v>
      </c>
      <c r="L189" s="213">
        <f t="shared" si="103"/>
        <v>0</v>
      </c>
      <c r="M189" s="213">
        <f t="shared" si="103"/>
        <v>0</v>
      </c>
      <c r="N189" s="213">
        <f t="shared" si="103"/>
        <v>0</v>
      </c>
      <c r="O189" s="213">
        <f t="shared" si="103"/>
        <v>0</v>
      </c>
      <c r="P189" s="213">
        <f t="shared" si="103"/>
        <v>0</v>
      </c>
      <c r="Q189" s="213">
        <f t="shared" si="103"/>
        <v>0</v>
      </c>
      <c r="R189" s="213">
        <f t="shared" si="103"/>
        <v>0</v>
      </c>
      <c r="S189" s="108"/>
      <c r="T189" s="108"/>
    </row>
    <row r="190" spans="2:20">
      <c r="B190" s="144"/>
      <c r="C190" s="637" t="s">
        <v>110</v>
      </c>
      <c r="D190" s="592"/>
      <c r="E190" s="592"/>
      <c r="F190" s="592"/>
      <c r="G190" s="592"/>
      <c r="H190" s="149" t="s">
        <v>121</v>
      </c>
      <c r="I190" s="213">
        <f>(I$28*I80*I83*I88*$H$20)/1000</f>
        <v>0</v>
      </c>
      <c r="J190" s="213">
        <f>(J$28*J80*J83*J88*$H$20)/1000</f>
        <v>0</v>
      </c>
      <c r="K190" s="213">
        <f t="shared" ref="K190:R190" si="104">(K$28*K80*K83*K88*$H$20)/1000</f>
        <v>0</v>
      </c>
      <c r="L190" s="213">
        <f t="shared" si="104"/>
        <v>0</v>
      </c>
      <c r="M190" s="213">
        <f t="shared" si="104"/>
        <v>0</v>
      </c>
      <c r="N190" s="213">
        <f t="shared" si="104"/>
        <v>0</v>
      </c>
      <c r="O190" s="213">
        <f t="shared" si="104"/>
        <v>0</v>
      </c>
      <c r="P190" s="213">
        <f t="shared" si="104"/>
        <v>0</v>
      </c>
      <c r="Q190" s="213">
        <f t="shared" si="104"/>
        <v>0</v>
      </c>
      <c r="R190" s="213">
        <f t="shared" si="104"/>
        <v>0</v>
      </c>
      <c r="S190" s="108"/>
      <c r="T190" s="108"/>
    </row>
    <row r="191" spans="2:20">
      <c r="B191" s="144"/>
      <c r="C191" s="637" t="s">
        <v>111</v>
      </c>
      <c r="D191" s="592"/>
      <c r="E191" s="592"/>
      <c r="F191" s="592"/>
      <c r="G191" s="592"/>
      <c r="H191" s="149" t="s">
        <v>121</v>
      </c>
      <c r="I191" s="213">
        <f>(I$28*I92*I95*I100*$H$20)/1000</f>
        <v>0</v>
      </c>
      <c r="J191" s="213">
        <f>(J$28*J92*J95*J100*$H$20)/1000</f>
        <v>0</v>
      </c>
      <c r="K191" s="213">
        <f t="shared" ref="K191:R191" si="105">(K$28*K92*K95*K100*$H$20)/1000</f>
        <v>0</v>
      </c>
      <c r="L191" s="213">
        <f t="shared" si="105"/>
        <v>0</v>
      </c>
      <c r="M191" s="213">
        <f t="shared" si="105"/>
        <v>0</v>
      </c>
      <c r="N191" s="213">
        <f t="shared" si="105"/>
        <v>0</v>
      </c>
      <c r="O191" s="213">
        <f t="shared" si="105"/>
        <v>0</v>
      </c>
      <c r="P191" s="213">
        <f t="shared" si="105"/>
        <v>0</v>
      </c>
      <c r="Q191" s="213">
        <f t="shared" si="105"/>
        <v>0</v>
      </c>
      <c r="R191" s="213">
        <f t="shared" si="105"/>
        <v>0</v>
      </c>
      <c r="S191" s="108"/>
      <c r="T191" s="108"/>
    </row>
    <row r="192" spans="2:20">
      <c r="B192" s="144"/>
      <c r="C192" s="637" t="s">
        <v>112</v>
      </c>
      <c r="D192" s="592"/>
      <c r="E192" s="592"/>
      <c r="F192" s="592"/>
      <c r="G192" s="592"/>
      <c r="H192" s="149" t="s">
        <v>121</v>
      </c>
      <c r="I192" s="213">
        <f>(I$28*I104*I107*I112*$H$20)/1000</f>
        <v>0</v>
      </c>
      <c r="J192" s="213">
        <f>(J$28*J104*J107*J112*$H$20)/1000</f>
        <v>0</v>
      </c>
      <c r="K192" s="213">
        <f t="shared" ref="K192:R192" si="106">(K$28*K104*K107*K112*$H$20)/1000</f>
        <v>0</v>
      </c>
      <c r="L192" s="213">
        <f t="shared" si="106"/>
        <v>0</v>
      </c>
      <c r="M192" s="213">
        <f t="shared" si="106"/>
        <v>0</v>
      </c>
      <c r="N192" s="213">
        <f t="shared" si="106"/>
        <v>0</v>
      </c>
      <c r="O192" s="213">
        <f t="shared" si="106"/>
        <v>0</v>
      </c>
      <c r="P192" s="213">
        <f t="shared" si="106"/>
        <v>0</v>
      </c>
      <c r="Q192" s="213">
        <f t="shared" si="106"/>
        <v>0</v>
      </c>
      <c r="R192" s="213">
        <f t="shared" si="106"/>
        <v>0</v>
      </c>
      <c r="S192" s="108"/>
      <c r="T192" s="108"/>
    </row>
    <row r="193" spans="2:20">
      <c r="B193" s="144"/>
      <c r="C193" s="637" t="s">
        <v>113</v>
      </c>
      <c r="D193" s="592"/>
      <c r="E193" s="592"/>
      <c r="F193" s="592"/>
      <c r="G193" s="592"/>
      <c r="H193" s="149" t="s">
        <v>121</v>
      </c>
      <c r="I193" s="213">
        <f>(I$28*I116*I119*I124*$H$20)/1000</f>
        <v>0</v>
      </c>
      <c r="J193" s="213">
        <f>(J$28*J116*J119*J124*$H$20)/1000</f>
        <v>0</v>
      </c>
      <c r="K193" s="213">
        <f t="shared" ref="K193:R193" si="107">(K$28*K116*K119*K124*$H$20)/1000</f>
        <v>0</v>
      </c>
      <c r="L193" s="213">
        <f t="shared" si="107"/>
        <v>0</v>
      </c>
      <c r="M193" s="213">
        <f t="shared" si="107"/>
        <v>0</v>
      </c>
      <c r="N193" s="213">
        <f t="shared" si="107"/>
        <v>0</v>
      </c>
      <c r="O193" s="213">
        <f t="shared" si="107"/>
        <v>0</v>
      </c>
      <c r="P193" s="213">
        <f t="shared" si="107"/>
        <v>0</v>
      </c>
      <c r="Q193" s="213">
        <f t="shared" si="107"/>
        <v>0</v>
      </c>
      <c r="R193" s="213">
        <f t="shared" si="107"/>
        <v>0</v>
      </c>
      <c r="S193" s="108"/>
      <c r="T193" s="108"/>
    </row>
    <row r="194" spans="2:20">
      <c r="B194" s="144"/>
      <c r="C194" s="637" t="s">
        <v>114</v>
      </c>
      <c r="D194" s="592"/>
      <c r="E194" s="592"/>
      <c r="F194" s="592"/>
      <c r="G194" s="592"/>
      <c r="H194" s="149" t="s">
        <v>121</v>
      </c>
      <c r="I194" s="213">
        <f>(I$28*I28*I131*I136*$H$20)/1000</f>
        <v>0</v>
      </c>
      <c r="J194" s="213">
        <f>(J$28*J28*J131*J136*$H$20)/1000</f>
        <v>0</v>
      </c>
      <c r="K194" s="213">
        <f t="shared" ref="K194:R194" si="108">(K$28*K28*K131*K136*$H$20)/1000</f>
        <v>0</v>
      </c>
      <c r="L194" s="213">
        <f t="shared" si="108"/>
        <v>0</v>
      </c>
      <c r="M194" s="213">
        <f t="shared" si="108"/>
        <v>0</v>
      </c>
      <c r="N194" s="213">
        <f t="shared" si="108"/>
        <v>0</v>
      </c>
      <c r="O194" s="213">
        <f t="shared" si="108"/>
        <v>0</v>
      </c>
      <c r="P194" s="213">
        <f t="shared" si="108"/>
        <v>0</v>
      </c>
      <c r="Q194" s="213">
        <f t="shared" si="108"/>
        <v>0</v>
      </c>
      <c r="R194" s="213">
        <f t="shared" si="108"/>
        <v>0</v>
      </c>
      <c r="S194" s="108"/>
      <c r="T194" s="108"/>
    </row>
    <row r="195" spans="2:20">
      <c r="B195" s="144"/>
      <c r="C195" s="637" t="s">
        <v>115</v>
      </c>
      <c r="D195" s="592"/>
      <c r="E195" s="592"/>
      <c r="F195" s="592"/>
      <c r="G195" s="592"/>
      <c r="H195" s="149" t="s">
        <v>121</v>
      </c>
      <c r="I195" s="213">
        <f>(I$28*I140*I143*I148*$H$20)/1000</f>
        <v>0</v>
      </c>
      <c r="J195" s="213">
        <f>(J$28*J140*J143*J148*$H$20)/1000</f>
        <v>0</v>
      </c>
      <c r="K195" s="213">
        <f t="shared" ref="K195:R195" si="109">(K$28*K140*K143*K148*$H$20)/1000</f>
        <v>0</v>
      </c>
      <c r="L195" s="213">
        <f t="shared" si="109"/>
        <v>0</v>
      </c>
      <c r="M195" s="213">
        <f t="shared" si="109"/>
        <v>0</v>
      </c>
      <c r="N195" s="213">
        <f t="shared" si="109"/>
        <v>0</v>
      </c>
      <c r="O195" s="213">
        <f t="shared" si="109"/>
        <v>0</v>
      </c>
      <c r="P195" s="213">
        <f t="shared" si="109"/>
        <v>0</v>
      </c>
      <c r="Q195" s="213">
        <f t="shared" si="109"/>
        <v>0</v>
      </c>
      <c r="R195" s="213">
        <f t="shared" si="109"/>
        <v>0</v>
      </c>
      <c r="S195" s="108"/>
      <c r="T195" s="108"/>
    </row>
    <row r="196" spans="2:20" s="185" customFormat="1">
      <c r="B196" s="150"/>
      <c r="C196" s="151" t="s">
        <v>122</v>
      </c>
      <c r="D196" s="152"/>
      <c r="E196" s="152"/>
      <c r="F196" s="152"/>
      <c r="G196" s="152"/>
      <c r="H196" s="153" t="s">
        <v>123</v>
      </c>
      <c r="I196" s="214">
        <f>SUM(I186:I195)</f>
        <v>0</v>
      </c>
      <c r="J196" s="214">
        <f>SUM(J186:J195)</f>
        <v>0</v>
      </c>
      <c r="K196" s="214">
        <f t="shared" ref="K196:R196" si="110">SUM(K186:K195)</f>
        <v>0</v>
      </c>
      <c r="L196" s="214">
        <f t="shared" si="110"/>
        <v>0</v>
      </c>
      <c r="M196" s="214">
        <f t="shared" si="110"/>
        <v>0</v>
      </c>
      <c r="N196" s="214">
        <f t="shared" si="110"/>
        <v>0</v>
      </c>
      <c r="O196" s="214">
        <f t="shared" si="110"/>
        <v>0</v>
      </c>
      <c r="P196" s="214">
        <f t="shared" si="110"/>
        <v>0</v>
      </c>
      <c r="Q196" s="214">
        <f t="shared" si="110"/>
        <v>0</v>
      </c>
      <c r="R196" s="214">
        <f t="shared" si="110"/>
        <v>0</v>
      </c>
      <c r="S196" s="108"/>
      <c r="T196" s="108"/>
    </row>
    <row r="197" spans="2:20" s="186" customFormat="1">
      <c r="B197" s="154"/>
      <c r="C197" s="145" t="s">
        <v>124</v>
      </c>
      <c r="D197" s="141"/>
      <c r="E197" s="141"/>
      <c r="F197" s="141"/>
      <c r="G197" s="141"/>
      <c r="H197" s="139" t="s">
        <v>123</v>
      </c>
      <c r="I197" s="206">
        <f>SUM(I196:XFD196)</f>
        <v>0</v>
      </c>
      <c r="J197" s="206"/>
      <c r="K197" s="206"/>
      <c r="L197" s="206"/>
      <c r="M197" s="206"/>
      <c r="N197" s="206"/>
      <c r="O197" s="206"/>
      <c r="P197" s="206"/>
      <c r="Q197" s="206"/>
      <c r="R197" s="206"/>
      <c r="S197" s="108"/>
      <c r="T197" s="108"/>
    </row>
    <row r="198" spans="2:20">
      <c r="B198" s="144"/>
      <c r="C198" s="155"/>
      <c r="D198" s="156"/>
      <c r="E198" s="156"/>
      <c r="F198" s="156"/>
      <c r="G198" s="156"/>
      <c r="H198" s="154"/>
      <c r="I198" s="215"/>
      <c r="J198" s="215"/>
      <c r="K198" s="215"/>
      <c r="L198" s="215"/>
      <c r="M198" s="215"/>
      <c r="N198" s="215"/>
      <c r="O198" s="215"/>
      <c r="P198" s="215"/>
      <c r="Q198" s="215"/>
      <c r="R198" s="215"/>
      <c r="S198" s="108"/>
      <c r="T198" s="108"/>
    </row>
    <row r="199" spans="2:20">
      <c r="B199" s="144"/>
      <c r="C199" s="157" t="s">
        <v>125</v>
      </c>
      <c r="D199" s="158"/>
      <c r="E199" s="158"/>
      <c r="F199" s="158"/>
      <c r="G199" s="158"/>
      <c r="H199" s="159" t="s">
        <v>81</v>
      </c>
      <c r="I199" s="216">
        <f>$H$17*I196</f>
        <v>0</v>
      </c>
      <c r="J199" s="216">
        <f>$H$17*J196</f>
        <v>0</v>
      </c>
      <c r="K199" s="216">
        <f t="shared" ref="K199:R199" si="111">$H$17*K196</f>
        <v>0</v>
      </c>
      <c r="L199" s="216">
        <f t="shared" si="111"/>
        <v>0</v>
      </c>
      <c r="M199" s="216">
        <f t="shared" si="111"/>
        <v>0</v>
      </c>
      <c r="N199" s="216">
        <f t="shared" si="111"/>
        <v>0</v>
      </c>
      <c r="O199" s="216">
        <f t="shared" si="111"/>
        <v>0</v>
      </c>
      <c r="P199" s="216">
        <f t="shared" si="111"/>
        <v>0</v>
      </c>
      <c r="Q199" s="216">
        <f t="shared" si="111"/>
        <v>0</v>
      </c>
      <c r="R199" s="216">
        <f t="shared" si="111"/>
        <v>0</v>
      </c>
      <c r="S199" s="108"/>
      <c r="T199" s="108"/>
    </row>
    <row r="200" spans="2:20">
      <c r="B200" s="144"/>
      <c r="C200" s="155" t="s">
        <v>126</v>
      </c>
      <c r="D200" s="156"/>
      <c r="E200" s="156"/>
      <c r="F200" s="156"/>
      <c r="G200" s="156"/>
      <c r="H200" s="154" t="s">
        <v>81</v>
      </c>
      <c r="I200" s="215">
        <f>$H$17*I197</f>
        <v>0</v>
      </c>
      <c r="J200" s="215"/>
      <c r="K200" s="215"/>
      <c r="L200" s="215"/>
      <c r="M200" s="215"/>
      <c r="N200" s="215"/>
      <c r="O200" s="215"/>
      <c r="P200" s="215"/>
      <c r="Q200" s="215"/>
      <c r="R200" s="215"/>
      <c r="S200" s="108"/>
      <c r="T200" s="108"/>
    </row>
    <row r="201" spans="2:20">
      <c r="B201" s="144"/>
      <c r="C201" s="157" t="s">
        <v>127</v>
      </c>
      <c r="D201" s="158"/>
      <c r="E201" s="158"/>
      <c r="F201" s="158"/>
      <c r="G201" s="158"/>
      <c r="H201" s="159"/>
      <c r="I201" s="217">
        <f>IF($H$16=$H$18,$H$15,(1/($H$16-$H$18))*(1-((1+$H$18)/(1+$H$16))^$H$15))</f>
        <v>0</v>
      </c>
      <c r="J201" s="215"/>
      <c r="K201" s="215"/>
      <c r="L201" s="215"/>
      <c r="M201" s="215"/>
      <c r="N201" s="215"/>
      <c r="O201" s="215"/>
      <c r="P201" s="215"/>
      <c r="Q201" s="215"/>
      <c r="R201" s="215"/>
      <c r="S201" s="108"/>
      <c r="T201" s="108"/>
    </row>
    <row r="202" spans="2:20">
      <c r="B202" s="144"/>
      <c r="C202" s="155" t="s">
        <v>100</v>
      </c>
      <c r="D202" s="156"/>
      <c r="E202" s="156"/>
      <c r="F202" s="156"/>
      <c r="G202" s="156"/>
      <c r="H202" s="154" t="s">
        <v>90</v>
      </c>
      <c r="I202" s="215">
        <f>I200*I201</f>
        <v>0</v>
      </c>
      <c r="J202" s="215"/>
      <c r="K202" s="215"/>
      <c r="L202" s="215"/>
      <c r="M202" s="215"/>
      <c r="N202" s="215"/>
      <c r="O202" s="215"/>
      <c r="P202" s="215"/>
      <c r="Q202" s="215"/>
      <c r="R202" s="215"/>
      <c r="S202" s="108"/>
      <c r="T202" s="108"/>
    </row>
    <row r="203" spans="2:20">
      <c r="B203" s="144"/>
      <c r="C203" s="156"/>
      <c r="D203" s="156"/>
      <c r="E203" s="156"/>
      <c r="F203" s="156"/>
      <c r="G203" s="156"/>
      <c r="H203" s="154"/>
      <c r="I203" s="215"/>
      <c r="J203" s="215"/>
      <c r="K203" s="215"/>
      <c r="L203" s="215"/>
      <c r="M203" s="215"/>
      <c r="N203" s="215"/>
      <c r="O203" s="215"/>
      <c r="P203" s="215"/>
      <c r="Q203" s="215"/>
      <c r="R203" s="215"/>
      <c r="S203" s="108"/>
      <c r="T203" s="108"/>
    </row>
    <row r="204" spans="2:20">
      <c r="B204" s="144"/>
      <c r="C204" s="157" t="s">
        <v>128</v>
      </c>
      <c r="D204" s="158"/>
      <c r="E204" s="158"/>
      <c r="F204" s="158"/>
      <c r="G204" s="158"/>
      <c r="H204" s="159"/>
      <c r="I204" s="216"/>
      <c r="J204" s="216"/>
      <c r="K204" s="216"/>
      <c r="L204" s="216"/>
      <c r="M204" s="216"/>
      <c r="N204" s="216"/>
      <c r="O204" s="216"/>
      <c r="P204" s="216"/>
      <c r="Q204" s="216"/>
      <c r="R204" s="216"/>
      <c r="S204" s="108"/>
      <c r="T204" s="108"/>
    </row>
    <row r="205" spans="2:20">
      <c r="B205" s="144"/>
      <c r="C205" s="148" t="s">
        <v>129</v>
      </c>
      <c r="D205" s="147"/>
      <c r="E205" s="147"/>
      <c r="F205" s="147"/>
      <c r="G205" s="147"/>
      <c r="H205" s="144" t="s">
        <v>81</v>
      </c>
      <c r="I205" s="213">
        <f>I41</f>
        <v>0</v>
      </c>
      <c r="J205" s="213">
        <f>J41</f>
        <v>0</v>
      </c>
      <c r="K205" s="213">
        <f t="shared" ref="K205:R205" si="112">K41</f>
        <v>0</v>
      </c>
      <c r="L205" s="213">
        <f t="shared" si="112"/>
        <v>0</v>
      </c>
      <c r="M205" s="213">
        <f t="shared" si="112"/>
        <v>0</v>
      </c>
      <c r="N205" s="213">
        <f t="shared" si="112"/>
        <v>0</v>
      </c>
      <c r="O205" s="213">
        <f t="shared" si="112"/>
        <v>0</v>
      </c>
      <c r="P205" s="213">
        <f t="shared" si="112"/>
        <v>0</v>
      </c>
      <c r="Q205" s="213">
        <f t="shared" si="112"/>
        <v>0</v>
      </c>
      <c r="R205" s="213">
        <f t="shared" si="112"/>
        <v>0</v>
      </c>
      <c r="S205" s="108"/>
      <c r="T205" s="108"/>
    </row>
    <row r="206" spans="2:20">
      <c r="B206" s="144"/>
      <c r="C206" s="597" t="s">
        <v>130</v>
      </c>
      <c r="D206" s="584"/>
      <c r="E206" s="584"/>
      <c r="F206" s="584"/>
      <c r="G206" s="584"/>
      <c r="H206" s="137" t="s">
        <v>81</v>
      </c>
      <c r="I206" s="206">
        <f>I53</f>
        <v>0</v>
      </c>
      <c r="J206" s="206">
        <f>J53</f>
        <v>0</v>
      </c>
      <c r="K206" s="206">
        <f t="shared" ref="K206:R206" si="113">K53</f>
        <v>0</v>
      </c>
      <c r="L206" s="206">
        <f t="shared" si="113"/>
        <v>0</v>
      </c>
      <c r="M206" s="206">
        <f t="shared" si="113"/>
        <v>0</v>
      </c>
      <c r="N206" s="206">
        <f t="shared" si="113"/>
        <v>0</v>
      </c>
      <c r="O206" s="206">
        <f t="shared" si="113"/>
        <v>0</v>
      </c>
      <c r="P206" s="206">
        <f t="shared" si="113"/>
        <v>0</v>
      </c>
      <c r="Q206" s="206">
        <f t="shared" si="113"/>
        <v>0</v>
      </c>
      <c r="R206" s="206">
        <f t="shared" si="113"/>
        <v>0</v>
      </c>
      <c r="S206" s="108"/>
      <c r="T206" s="108"/>
    </row>
    <row r="207" spans="2:20">
      <c r="B207" s="144"/>
      <c r="C207" s="148" t="s">
        <v>131</v>
      </c>
      <c r="D207" s="147"/>
      <c r="E207" s="147"/>
      <c r="F207" s="147"/>
      <c r="G207" s="147"/>
      <c r="H207" s="144" t="s">
        <v>81</v>
      </c>
      <c r="I207" s="206">
        <f>I65</f>
        <v>0</v>
      </c>
      <c r="J207" s="206">
        <f>J65</f>
        <v>0</v>
      </c>
      <c r="K207" s="206">
        <f t="shared" ref="K207:R207" si="114">K65</f>
        <v>0</v>
      </c>
      <c r="L207" s="206">
        <f t="shared" si="114"/>
        <v>0</v>
      </c>
      <c r="M207" s="206">
        <f t="shared" si="114"/>
        <v>0</v>
      </c>
      <c r="N207" s="206">
        <f t="shared" si="114"/>
        <v>0</v>
      </c>
      <c r="O207" s="206">
        <f t="shared" si="114"/>
        <v>0</v>
      </c>
      <c r="P207" s="206">
        <f t="shared" si="114"/>
        <v>0</v>
      </c>
      <c r="Q207" s="206">
        <f t="shared" si="114"/>
        <v>0</v>
      </c>
      <c r="R207" s="206">
        <f t="shared" si="114"/>
        <v>0</v>
      </c>
      <c r="S207" s="108"/>
      <c r="T207" s="108"/>
    </row>
    <row r="208" spans="2:20">
      <c r="B208" s="144"/>
      <c r="C208" s="597" t="s">
        <v>132</v>
      </c>
      <c r="D208" s="584"/>
      <c r="E208" s="584"/>
      <c r="F208" s="584"/>
      <c r="G208" s="584"/>
      <c r="H208" s="137" t="s">
        <v>81</v>
      </c>
      <c r="I208" s="206">
        <f>I77</f>
        <v>0</v>
      </c>
      <c r="J208" s="206">
        <f>J77</f>
        <v>0</v>
      </c>
      <c r="K208" s="206">
        <f t="shared" ref="K208:R208" si="115">K77</f>
        <v>0</v>
      </c>
      <c r="L208" s="206">
        <f t="shared" si="115"/>
        <v>0</v>
      </c>
      <c r="M208" s="206">
        <f t="shared" si="115"/>
        <v>0</v>
      </c>
      <c r="N208" s="206">
        <f t="shared" si="115"/>
        <v>0</v>
      </c>
      <c r="O208" s="206">
        <f t="shared" si="115"/>
        <v>0</v>
      </c>
      <c r="P208" s="206">
        <f t="shared" si="115"/>
        <v>0</v>
      </c>
      <c r="Q208" s="206">
        <f t="shared" si="115"/>
        <v>0</v>
      </c>
      <c r="R208" s="206">
        <f t="shared" si="115"/>
        <v>0</v>
      </c>
      <c r="S208" s="108"/>
      <c r="T208" s="108"/>
    </row>
    <row r="209" spans="2:20">
      <c r="B209" s="144"/>
      <c r="C209" s="148" t="s">
        <v>133</v>
      </c>
      <c r="D209" s="147"/>
      <c r="E209" s="147"/>
      <c r="F209" s="147"/>
      <c r="G209" s="147"/>
      <c r="H209" s="144" t="s">
        <v>81</v>
      </c>
      <c r="I209" s="206">
        <f>I89</f>
        <v>0</v>
      </c>
      <c r="J209" s="206">
        <f>J89</f>
        <v>0</v>
      </c>
      <c r="K209" s="206">
        <f t="shared" ref="K209:R209" si="116">K89</f>
        <v>0</v>
      </c>
      <c r="L209" s="206">
        <f t="shared" si="116"/>
        <v>0</v>
      </c>
      <c r="M209" s="206">
        <f t="shared" si="116"/>
        <v>0</v>
      </c>
      <c r="N209" s="206">
        <f t="shared" si="116"/>
        <v>0</v>
      </c>
      <c r="O209" s="206">
        <f t="shared" si="116"/>
        <v>0</v>
      </c>
      <c r="P209" s="206">
        <f t="shared" si="116"/>
        <v>0</v>
      </c>
      <c r="Q209" s="206">
        <f t="shared" si="116"/>
        <v>0</v>
      </c>
      <c r="R209" s="206">
        <f t="shared" si="116"/>
        <v>0</v>
      </c>
      <c r="S209" s="108"/>
      <c r="T209" s="108"/>
    </row>
    <row r="210" spans="2:20">
      <c r="B210" s="144"/>
      <c r="C210" s="597" t="s">
        <v>134</v>
      </c>
      <c r="D210" s="584"/>
      <c r="E210" s="584"/>
      <c r="F210" s="584"/>
      <c r="G210" s="584"/>
      <c r="H210" s="137" t="s">
        <v>81</v>
      </c>
      <c r="I210" s="206">
        <f>I101</f>
        <v>0</v>
      </c>
      <c r="J210" s="206">
        <f>J101</f>
        <v>0</v>
      </c>
      <c r="K210" s="206">
        <f t="shared" ref="K210:R210" si="117">K101</f>
        <v>0</v>
      </c>
      <c r="L210" s="206">
        <f t="shared" si="117"/>
        <v>0</v>
      </c>
      <c r="M210" s="206">
        <f t="shared" si="117"/>
        <v>0</v>
      </c>
      <c r="N210" s="206">
        <f t="shared" si="117"/>
        <v>0</v>
      </c>
      <c r="O210" s="206">
        <f t="shared" si="117"/>
        <v>0</v>
      </c>
      <c r="P210" s="206">
        <f t="shared" si="117"/>
        <v>0</v>
      </c>
      <c r="Q210" s="206">
        <f t="shared" si="117"/>
        <v>0</v>
      </c>
      <c r="R210" s="206">
        <f t="shared" si="117"/>
        <v>0</v>
      </c>
      <c r="S210" s="108"/>
      <c r="T210" s="108"/>
    </row>
    <row r="211" spans="2:20">
      <c r="B211" s="144"/>
      <c r="C211" s="148" t="s">
        <v>135</v>
      </c>
      <c r="D211" s="147"/>
      <c r="E211" s="147"/>
      <c r="F211" s="147"/>
      <c r="G211" s="147"/>
      <c r="H211" s="144" t="s">
        <v>81</v>
      </c>
      <c r="I211" s="206">
        <f>I113</f>
        <v>0</v>
      </c>
      <c r="J211" s="206">
        <f>J113</f>
        <v>0</v>
      </c>
      <c r="K211" s="206">
        <f t="shared" ref="K211:R211" si="118">K113</f>
        <v>0</v>
      </c>
      <c r="L211" s="206">
        <f t="shared" si="118"/>
        <v>0</v>
      </c>
      <c r="M211" s="206">
        <f t="shared" si="118"/>
        <v>0</v>
      </c>
      <c r="N211" s="206">
        <f t="shared" si="118"/>
        <v>0</v>
      </c>
      <c r="O211" s="206">
        <f t="shared" si="118"/>
        <v>0</v>
      </c>
      <c r="P211" s="206">
        <f t="shared" si="118"/>
        <v>0</v>
      </c>
      <c r="Q211" s="206">
        <f t="shared" si="118"/>
        <v>0</v>
      </c>
      <c r="R211" s="206">
        <f t="shared" si="118"/>
        <v>0</v>
      </c>
      <c r="S211" s="108"/>
      <c r="T211" s="108"/>
    </row>
    <row r="212" spans="2:20">
      <c r="B212" s="144"/>
      <c r="C212" s="597" t="s">
        <v>136</v>
      </c>
      <c r="D212" s="584"/>
      <c r="E212" s="584"/>
      <c r="F212" s="584"/>
      <c r="G212" s="584"/>
      <c r="H212" s="137" t="s">
        <v>81</v>
      </c>
      <c r="I212" s="206">
        <f>I125</f>
        <v>0</v>
      </c>
      <c r="J212" s="206">
        <f>J125</f>
        <v>0</v>
      </c>
      <c r="K212" s="206">
        <f t="shared" ref="K212:R212" si="119">K125</f>
        <v>0</v>
      </c>
      <c r="L212" s="206">
        <f t="shared" si="119"/>
        <v>0</v>
      </c>
      <c r="M212" s="206">
        <f t="shared" si="119"/>
        <v>0</v>
      </c>
      <c r="N212" s="206">
        <f t="shared" si="119"/>
        <v>0</v>
      </c>
      <c r="O212" s="206">
        <f t="shared" si="119"/>
        <v>0</v>
      </c>
      <c r="P212" s="206">
        <f t="shared" si="119"/>
        <v>0</v>
      </c>
      <c r="Q212" s="206">
        <f t="shared" si="119"/>
        <v>0</v>
      </c>
      <c r="R212" s="206">
        <f t="shared" si="119"/>
        <v>0</v>
      </c>
      <c r="S212" s="108"/>
      <c r="T212" s="108"/>
    </row>
    <row r="213" spans="2:20">
      <c r="B213" s="144"/>
      <c r="C213" s="148" t="s">
        <v>137</v>
      </c>
      <c r="D213" s="147"/>
      <c r="E213" s="147"/>
      <c r="F213" s="147"/>
      <c r="G213" s="147"/>
      <c r="H213" s="144" t="s">
        <v>81</v>
      </c>
      <c r="I213" s="206">
        <f>I137</f>
        <v>0</v>
      </c>
      <c r="J213" s="206">
        <f>J137</f>
        <v>0</v>
      </c>
      <c r="K213" s="206">
        <f t="shared" ref="K213:R213" si="120">K137</f>
        <v>0</v>
      </c>
      <c r="L213" s="206">
        <f t="shared" si="120"/>
        <v>0</v>
      </c>
      <c r="M213" s="206">
        <f t="shared" si="120"/>
        <v>0</v>
      </c>
      <c r="N213" s="206">
        <f t="shared" si="120"/>
        <v>0</v>
      </c>
      <c r="O213" s="206">
        <f t="shared" si="120"/>
        <v>0</v>
      </c>
      <c r="P213" s="206">
        <f t="shared" si="120"/>
        <v>0</v>
      </c>
      <c r="Q213" s="206">
        <f t="shared" si="120"/>
        <v>0</v>
      </c>
      <c r="R213" s="206">
        <f t="shared" si="120"/>
        <v>0</v>
      </c>
      <c r="S213" s="108"/>
      <c r="T213" s="108"/>
    </row>
    <row r="214" spans="2:20">
      <c r="B214" s="144"/>
      <c r="C214" s="597" t="s">
        <v>138</v>
      </c>
      <c r="D214" s="584"/>
      <c r="E214" s="584"/>
      <c r="F214" s="584"/>
      <c r="G214" s="584"/>
      <c r="H214" s="137" t="s">
        <v>81</v>
      </c>
      <c r="I214" s="206">
        <f>I149</f>
        <v>0</v>
      </c>
      <c r="J214" s="206">
        <f>J149</f>
        <v>0</v>
      </c>
      <c r="K214" s="206">
        <f t="shared" ref="K214:R214" si="121">K149</f>
        <v>0</v>
      </c>
      <c r="L214" s="206">
        <f t="shared" si="121"/>
        <v>0</v>
      </c>
      <c r="M214" s="206">
        <f t="shared" si="121"/>
        <v>0</v>
      </c>
      <c r="N214" s="206">
        <f t="shared" si="121"/>
        <v>0</v>
      </c>
      <c r="O214" s="206">
        <f t="shared" si="121"/>
        <v>0</v>
      </c>
      <c r="P214" s="206">
        <f t="shared" si="121"/>
        <v>0</v>
      </c>
      <c r="Q214" s="206">
        <f t="shared" si="121"/>
        <v>0</v>
      </c>
      <c r="R214" s="206">
        <f t="shared" si="121"/>
        <v>0</v>
      </c>
      <c r="S214" s="108"/>
      <c r="T214" s="108"/>
    </row>
    <row r="215" spans="2:20">
      <c r="B215" s="144"/>
      <c r="C215" s="160" t="s">
        <v>139</v>
      </c>
      <c r="D215" s="152"/>
      <c r="E215" s="152"/>
      <c r="F215" s="152"/>
      <c r="G215" s="152"/>
      <c r="H215" s="153" t="s">
        <v>81</v>
      </c>
      <c r="I215" s="214">
        <f>SUM(I205:I214)</f>
        <v>0</v>
      </c>
      <c r="J215" s="214">
        <f>SUM(J205:J214)</f>
        <v>0</v>
      </c>
      <c r="K215" s="214">
        <f t="shared" ref="K215:R215" si="122">SUM(K205:K214)</f>
        <v>0</v>
      </c>
      <c r="L215" s="214">
        <f t="shared" si="122"/>
        <v>0</v>
      </c>
      <c r="M215" s="214">
        <f t="shared" si="122"/>
        <v>0</v>
      </c>
      <c r="N215" s="214">
        <f t="shared" si="122"/>
        <v>0</v>
      </c>
      <c r="O215" s="214">
        <f t="shared" si="122"/>
        <v>0</v>
      </c>
      <c r="P215" s="214">
        <f t="shared" si="122"/>
        <v>0</v>
      </c>
      <c r="Q215" s="214">
        <f t="shared" si="122"/>
        <v>0</v>
      </c>
      <c r="R215" s="214">
        <f t="shared" si="122"/>
        <v>0</v>
      </c>
      <c r="S215" s="108"/>
      <c r="T215" s="108"/>
    </row>
    <row r="216" spans="2:20">
      <c r="B216" s="144"/>
      <c r="C216" s="145" t="s">
        <v>140</v>
      </c>
      <c r="D216" s="141"/>
      <c r="E216" s="141"/>
      <c r="F216" s="141"/>
      <c r="G216" s="141"/>
      <c r="H216" s="139" t="s">
        <v>81</v>
      </c>
      <c r="I216" s="206">
        <f>SUM(I215:XFD215)</f>
        <v>0</v>
      </c>
      <c r="J216" s="206"/>
      <c r="K216" s="206"/>
      <c r="L216" s="206"/>
      <c r="M216" s="206"/>
      <c r="N216" s="206"/>
      <c r="O216" s="206"/>
      <c r="P216" s="206"/>
      <c r="Q216" s="206"/>
      <c r="R216" s="206"/>
      <c r="S216" s="108"/>
      <c r="T216" s="108"/>
    </row>
    <row r="217" spans="2:20" ht="12.75" customHeight="1">
      <c r="B217" s="144"/>
      <c r="C217" s="146" t="s">
        <v>127</v>
      </c>
      <c r="D217" s="140"/>
      <c r="E217" s="140"/>
      <c r="F217" s="140"/>
      <c r="G217" s="140"/>
      <c r="H217" s="138"/>
      <c r="I217" s="212">
        <f>(1/$H$16)*(1-(1/(1+$H$16))^$H$15)</f>
        <v>0</v>
      </c>
      <c r="J217" s="206"/>
      <c r="K217" s="206"/>
      <c r="L217" s="206"/>
      <c r="M217" s="206"/>
      <c r="N217" s="206"/>
      <c r="O217" s="206"/>
      <c r="P217" s="206"/>
      <c r="Q217" s="206"/>
      <c r="R217" s="206"/>
      <c r="S217" s="108"/>
      <c r="T217" s="108"/>
    </row>
    <row r="218" spans="2:20" ht="12.75" customHeight="1">
      <c r="B218" s="144"/>
      <c r="C218" s="145" t="s">
        <v>141</v>
      </c>
      <c r="D218" s="141"/>
      <c r="E218" s="141"/>
      <c r="F218" s="141"/>
      <c r="G218" s="141"/>
      <c r="H218" s="139" t="s">
        <v>90</v>
      </c>
      <c r="I218" s="206">
        <f>I217*I216</f>
        <v>0</v>
      </c>
      <c r="J218" s="206"/>
      <c r="K218" s="206"/>
      <c r="L218" s="206"/>
      <c r="M218" s="206"/>
      <c r="N218" s="206"/>
      <c r="O218" s="206"/>
      <c r="P218" s="206"/>
      <c r="Q218" s="206"/>
      <c r="R218" s="206"/>
      <c r="S218" s="108"/>
      <c r="T218" s="108"/>
    </row>
    <row r="219" spans="2:20" ht="12.75" customHeight="1">
      <c r="B219" s="144"/>
      <c r="C219" s="156"/>
      <c r="D219" s="156"/>
      <c r="E219" s="156"/>
      <c r="F219" s="156"/>
      <c r="G219" s="156"/>
      <c r="H219" s="154"/>
      <c r="I219" s="215"/>
      <c r="J219" s="215"/>
      <c r="K219" s="215"/>
      <c r="L219" s="215"/>
      <c r="M219" s="215"/>
      <c r="N219" s="215"/>
      <c r="O219" s="215"/>
      <c r="P219" s="215"/>
      <c r="Q219" s="215"/>
      <c r="R219" s="215"/>
      <c r="S219" s="108"/>
      <c r="T219" s="108"/>
    </row>
    <row r="220" spans="2:20" ht="12.75" customHeight="1">
      <c r="B220" s="144"/>
      <c r="C220" s="157" t="s">
        <v>142</v>
      </c>
      <c r="D220" s="158"/>
      <c r="E220" s="158"/>
      <c r="F220" s="158"/>
      <c r="G220" s="158"/>
      <c r="H220" s="159"/>
      <c r="I220" s="216">
        <f>SUM(I186:I195)*$H$19</f>
        <v>0</v>
      </c>
      <c r="J220" s="216">
        <f>SUM(J186:J195)*$H$19</f>
        <v>0</v>
      </c>
      <c r="K220" s="216">
        <f t="shared" ref="K220:R220" si="123">SUM(K186:K195)*$H$19</f>
        <v>0</v>
      </c>
      <c r="L220" s="216">
        <f t="shared" si="123"/>
        <v>0</v>
      </c>
      <c r="M220" s="216">
        <f t="shared" si="123"/>
        <v>0</v>
      </c>
      <c r="N220" s="216">
        <f t="shared" si="123"/>
        <v>0</v>
      </c>
      <c r="O220" s="216">
        <f t="shared" si="123"/>
        <v>0</v>
      </c>
      <c r="P220" s="216">
        <f t="shared" si="123"/>
        <v>0</v>
      </c>
      <c r="Q220" s="216">
        <f t="shared" si="123"/>
        <v>0</v>
      </c>
      <c r="R220" s="216">
        <f t="shared" si="123"/>
        <v>0</v>
      </c>
      <c r="S220" s="108"/>
      <c r="T220" s="108"/>
    </row>
    <row r="221" spans="2:20" ht="12.75" customHeight="1">
      <c r="B221" s="144"/>
      <c r="C221" s="161" t="s">
        <v>92</v>
      </c>
      <c r="D221" s="162"/>
      <c r="E221" s="162"/>
      <c r="F221" s="162"/>
      <c r="G221" s="162"/>
      <c r="H221" s="163" t="s">
        <v>143</v>
      </c>
      <c r="I221" s="218">
        <f>SUM(I222:I231)</f>
        <v>0</v>
      </c>
      <c r="J221" s="218">
        <f>SUM(J222:J231)</f>
        <v>0</v>
      </c>
      <c r="K221" s="218">
        <f t="shared" ref="K221:R221" si="124">SUM(K222:K231)</f>
        <v>0</v>
      </c>
      <c r="L221" s="218">
        <f t="shared" si="124"/>
        <v>0</v>
      </c>
      <c r="M221" s="218">
        <f t="shared" si="124"/>
        <v>0</v>
      </c>
      <c r="N221" s="218">
        <f t="shared" si="124"/>
        <v>0</v>
      </c>
      <c r="O221" s="218">
        <f t="shared" si="124"/>
        <v>0</v>
      </c>
      <c r="P221" s="218">
        <f t="shared" si="124"/>
        <v>0</v>
      </c>
      <c r="Q221" s="218">
        <f t="shared" si="124"/>
        <v>0</v>
      </c>
      <c r="R221" s="218">
        <f t="shared" si="124"/>
        <v>0</v>
      </c>
      <c r="S221" s="108"/>
      <c r="T221" s="108"/>
    </row>
    <row r="222" spans="2:20" ht="12.75" customHeight="1">
      <c r="B222" s="144"/>
      <c r="C222" s="148" t="s">
        <v>144</v>
      </c>
      <c r="D222" s="147"/>
      <c r="E222" s="147"/>
      <c r="F222" s="147"/>
      <c r="G222" s="147"/>
      <c r="H222" s="144" t="s">
        <v>143</v>
      </c>
      <c r="I222" s="213">
        <f>(I32*I35*$H$20*I40/1000)/I29</f>
        <v>0</v>
      </c>
      <c r="J222" s="213">
        <f t="shared" ref="J222:R222" si="125">(J32*J35*$H$20*J40/1000)/J29</f>
        <v>0</v>
      </c>
      <c r="K222" s="213">
        <f>(K32*K35*$H$20*K40/1000)/K29</f>
        <v>0</v>
      </c>
      <c r="L222" s="213">
        <f t="shared" si="125"/>
        <v>0</v>
      </c>
      <c r="M222" s="213">
        <f t="shared" si="125"/>
        <v>0</v>
      </c>
      <c r="N222" s="213">
        <f t="shared" si="125"/>
        <v>0</v>
      </c>
      <c r="O222" s="213">
        <f t="shared" si="125"/>
        <v>0</v>
      </c>
      <c r="P222" s="213">
        <f t="shared" si="125"/>
        <v>0</v>
      </c>
      <c r="Q222" s="213">
        <f t="shared" si="125"/>
        <v>0</v>
      </c>
      <c r="R222" s="213">
        <f t="shared" si="125"/>
        <v>0</v>
      </c>
      <c r="S222" s="108"/>
      <c r="T222" s="108"/>
    </row>
    <row r="223" spans="2:20" ht="12.75" customHeight="1">
      <c r="B223" s="144"/>
      <c r="C223" s="597" t="s">
        <v>145</v>
      </c>
      <c r="D223" s="584"/>
      <c r="E223" s="584"/>
      <c r="F223" s="584"/>
      <c r="G223" s="584"/>
      <c r="H223" s="137" t="s">
        <v>143</v>
      </c>
      <c r="I223" s="206">
        <f>(I44*I47*$H$20*I52/1000)/I29</f>
        <v>0</v>
      </c>
      <c r="J223" s="206">
        <f t="shared" ref="J223:R223" si="126">(J44*J47*$H$20*J52/1000)/J29</f>
        <v>0</v>
      </c>
      <c r="K223" s="206">
        <f t="shared" si="126"/>
        <v>0</v>
      </c>
      <c r="L223" s="206">
        <f t="shared" si="126"/>
        <v>0</v>
      </c>
      <c r="M223" s="206">
        <f t="shared" si="126"/>
        <v>0</v>
      </c>
      <c r="N223" s="206">
        <f t="shared" si="126"/>
        <v>0</v>
      </c>
      <c r="O223" s="206">
        <f t="shared" si="126"/>
        <v>0</v>
      </c>
      <c r="P223" s="206">
        <f t="shared" si="126"/>
        <v>0</v>
      </c>
      <c r="Q223" s="206">
        <f t="shared" si="126"/>
        <v>0</v>
      </c>
      <c r="R223" s="206">
        <f t="shared" si="126"/>
        <v>0</v>
      </c>
      <c r="S223" s="108"/>
      <c r="T223" s="108"/>
    </row>
    <row r="224" spans="2:20" ht="12.75" customHeight="1">
      <c r="B224" s="144"/>
      <c r="C224" s="148" t="s">
        <v>146</v>
      </c>
      <c r="D224" s="147"/>
      <c r="E224" s="147"/>
      <c r="F224" s="147"/>
      <c r="G224" s="147"/>
      <c r="H224" s="144" t="s">
        <v>143</v>
      </c>
      <c r="I224" s="206">
        <f>(I56*I59*$H$20*I64/1000)/I29</f>
        <v>0</v>
      </c>
      <c r="J224" s="206">
        <f t="shared" ref="J224:R224" si="127">(J56*J59*$H$20*J64/1000)/J29</f>
        <v>0</v>
      </c>
      <c r="K224" s="206">
        <f t="shared" si="127"/>
        <v>0</v>
      </c>
      <c r="L224" s="206">
        <f t="shared" si="127"/>
        <v>0</v>
      </c>
      <c r="M224" s="206">
        <f t="shared" si="127"/>
        <v>0</v>
      </c>
      <c r="N224" s="206">
        <f t="shared" si="127"/>
        <v>0</v>
      </c>
      <c r="O224" s="206">
        <f t="shared" si="127"/>
        <v>0</v>
      </c>
      <c r="P224" s="206">
        <f t="shared" si="127"/>
        <v>0</v>
      </c>
      <c r="Q224" s="206">
        <f t="shared" si="127"/>
        <v>0</v>
      </c>
      <c r="R224" s="206">
        <f t="shared" si="127"/>
        <v>0</v>
      </c>
      <c r="S224" s="108"/>
      <c r="T224" s="108"/>
    </row>
    <row r="225" spans="2:20" ht="12.75" customHeight="1">
      <c r="B225" s="144"/>
      <c r="C225" s="597" t="s">
        <v>147</v>
      </c>
      <c r="D225" s="584"/>
      <c r="E225" s="584"/>
      <c r="F225" s="584"/>
      <c r="G225" s="584"/>
      <c r="H225" s="137" t="s">
        <v>143</v>
      </c>
      <c r="I225" s="206">
        <f>(I68*I71*$H$20*I76/1000)/I29</f>
        <v>0</v>
      </c>
      <c r="J225" s="206">
        <f t="shared" ref="J225:R225" si="128">(J68*J71*$H$20*J76/1000)/J29</f>
        <v>0</v>
      </c>
      <c r="K225" s="206">
        <f t="shared" si="128"/>
        <v>0</v>
      </c>
      <c r="L225" s="206">
        <f t="shared" si="128"/>
        <v>0</v>
      </c>
      <c r="M225" s="206">
        <f t="shared" si="128"/>
        <v>0</v>
      </c>
      <c r="N225" s="206">
        <f t="shared" si="128"/>
        <v>0</v>
      </c>
      <c r="O225" s="206">
        <f t="shared" si="128"/>
        <v>0</v>
      </c>
      <c r="P225" s="206">
        <f t="shared" si="128"/>
        <v>0</v>
      </c>
      <c r="Q225" s="206">
        <f t="shared" si="128"/>
        <v>0</v>
      </c>
      <c r="R225" s="206">
        <f t="shared" si="128"/>
        <v>0</v>
      </c>
      <c r="S225" s="108"/>
      <c r="T225" s="108"/>
    </row>
    <row r="226" spans="2:20" ht="12.75" customHeight="1">
      <c r="B226" s="144"/>
      <c r="C226" s="148" t="s">
        <v>148</v>
      </c>
      <c r="D226" s="147"/>
      <c r="E226" s="147"/>
      <c r="F226" s="147"/>
      <c r="G226" s="147"/>
      <c r="H226" s="144" t="s">
        <v>143</v>
      </c>
      <c r="I226" s="206">
        <f>(I80*I83*$H$20*I88/1000)/I29</f>
        <v>0</v>
      </c>
      <c r="J226" s="206">
        <f t="shared" ref="J226:R226" si="129">(J80*J83*$H$20*J88/1000)/J29</f>
        <v>0</v>
      </c>
      <c r="K226" s="206">
        <f t="shared" si="129"/>
        <v>0</v>
      </c>
      <c r="L226" s="206">
        <f t="shared" si="129"/>
        <v>0</v>
      </c>
      <c r="M226" s="206">
        <f t="shared" si="129"/>
        <v>0</v>
      </c>
      <c r="N226" s="206">
        <f t="shared" si="129"/>
        <v>0</v>
      </c>
      <c r="O226" s="206">
        <f t="shared" si="129"/>
        <v>0</v>
      </c>
      <c r="P226" s="206">
        <f t="shared" si="129"/>
        <v>0</v>
      </c>
      <c r="Q226" s="206">
        <f t="shared" si="129"/>
        <v>0</v>
      </c>
      <c r="R226" s="206">
        <f t="shared" si="129"/>
        <v>0</v>
      </c>
      <c r="S226" s="108"/>
      <c r="T226" s="108"/>
    </row>
    <row r="227" spans="2:20" ht="12.75" customHeight="1">
      <c r="B227" s="144"/>
      <c r="C227" s="597" t="s">
        <v>149</v>
      </c>
      <c r="D227" s="584"/>
      <c r="E227" s="584"/>
      <c r="F227" s="584"/>
      <c r="G227" s="584"/>
      <c r="H227" s="137" t="s">
        <v>143</v>
      </c>
      <c r="I227" s="206">
        <f>(I92*I95*$H$20*I100/1000)/I29</f>
        <v>0</v>
      </c>
      <c r="J227" s="206">
        <f t="shared" ref="J227:R227" si="130">(J92*J95*$H$20*J100/1000)/J29</f>
        <v>0</v>
      </c>
      <c r="K227" s="206">
        <f t="shared" si="130"/>
        <v>0</v>
      </c>
      <c r="L227" s="206">
        <f t="shared" si="130"/>
        <v>0</v>
      </c>
      <c r="M227" s="206">
        <f t="shared" si="130"/>
        <v>0</v>
      </c>
      <c r="N227" s="206">
        <f t="shared" si="130"/>
        <v>0</v>
      </c>
      <c r="O227" s="206">
        <f t="shared" si="130"/>
        <v>0</v>
      </c>
      <c r="P227" s="206">
        <f t="shared" si="130"/>
        <v>0</v>
      </c>
      <c r="Q227" s="206">
        <f t="shared" si="130"/>
        <v>0</v>
      </c>
      <c r="R227" s="206">
        <f t="shared" si="130"/>
        <v>0</v>
      </c>
      <c r="S227" s="108"/>
      <c r="T227" s="108"/>
    </row>
    <row r="228" spans="2:20" ht="12.75" customHeight="1">
      <c r="B228" s="144"/>
      <c r="C228" s="148" t="s">
        <v>150</v>
      </c>
      <c r="D228" s="147"/>
      <c r="E228" s="147"/>
      <c r="F228" s="147"/>
      <c r="G228" s="147"/>
      <c r="H228" s="144" t="s">
        <v>143</v>
      </c>
      <c r="I228" s="206">
        <f>(I104*I107*$H$20*I112/1000)/I29</f>
        <v>0</v>
      </c>
      <c r="J228" s="206">
        <f t="shared" ref="J228:R228" si="131">(J104*J107*$H$20*J112/1000)/J29</f>
        <v>0</v>
      </c>
      <c r="K228" s="206">
        <f t="shared" si="131"/>
        <v>0</v>
      </c>
      <c r="L228" s="206">
        <f t="shared" si="131"/>
        <v>0</v>
      </c>
      <c r="M228" s="206">
        <f t="shared" si="131"/>
        <v>0</v>
      </c>
      <c r="N228" s="206">
        <f t="shared" si="131"/>
        <v>0</v>
      </c>
      <c r="O228" s="206">
        <f t="shared" si="131"/>
        <v>0</v>
      </c>
      <c r="P228" s="206">
        <f t="shared" si="131"/>
        <v>0</v>
      </c>
      <c r="Q228" s="206">
        <f t="shared" si="131"/>
        <v>0</v>
      </c>
      <c r="R228" s="206">
        <f t="shared" si="131"/>
        <v>0</v>
      </c>
      <c r="S228" s="108"/>
      <c r="T228" s="108"/>
    </row>
    <row r="229" spans="2:20" ht="12.75" customHeight="1">
      <c r="B229" s="144"/>
      <c r="C229" s="597" t="s">
        <v>151</v>
      </c>
      <c r="D229" s="584"/>
      <c r="E229" s="584"/>
      <c r="F229" s="584"/>
      <c r="G229" s="584"/>
      <c r="H229" s="137" t="s">
        <v>143</v>
      </c>
      <c r="I229" s="206">
        <f>(I116*I119*$H$20*I124/1000)/I29</f>
        <v>0</v>
      </c>
      <c r="J229" s="206">
        <f t="shared" ref="J229:R229" si="132">(J116*J119*$H$20*J124/1000)/J29</f>
        <v>0</v>
      </c>
      <c r="K229" s="206">
        <f t="shared" si="132"/>
        <v>0</v>
      </c>
      <c r="L229" s="206">
        <f t="shared" si="132"/>
        <v>0</v>
      </c>
      <c r="M229" s="206">
        <f t="shared" si="132"/>
        <v>0</v>
      </c>
      <c r="N229" s="206">
        <f t="shared" si="132"/>
        <v>0</v>
      </c>
      <c r="O229" s="206">
        <f t="shared" si="132"/>
        <v>0</v>
      </c>
      <c r="P229" s="206">
        <f t="shared" si="132"/>
        <v>0</v>
      </c>
      <c r="Q229" s="206">
        <f t="shared" si="132"/>
        <v>0</v>
      </c>
      <c r="R229" s="206">
        <f t="shared" si="132"/>
        <v>0</v>
      </c>
      <c r="S229" s="108"/>
      <c r="T229" s="108"/>
    </row>
    <row r="230" spans="2:20" ht="12.75" customHeight="1">
      <c r="B230" s="144"/>
      <c r="C230" s="148" t="s">
        <v>152</v>
      </c>
      <c r="D230" s="147"/>
      <c r="E230" s="147"/>
      <c r="F230" s="147"/>
      <c r="G230" s="147"/>
      <c r="H230" s="144" t="s">
        <v>143</v>
      </c>
      <c r="I230" s="206">
        <f>(I128*I131*$H$20*I136/1000)/I29</f>
        <v>0</v>
      </c>
      <c r="J230" s="206">
        <f t="shared" ref="J230:R230" si="133">(J128*J131*$H$20*J136/1000)/J29</f>
        <v>0</v>
      </c>
      <c r="K230" s="206">
        <f t="shared" si="133"/>
        <v>0</v>
      </c>
      <c r="L230" s="206">
        <f t="shared" si="133"/>
        <v>0</v>
      </c>
      <c r="M230" s="206">
        <f t="shared" si="133"/>
        <v>0</v>
      </c>
      <c r="N230" s="206">
        <f t="shared" si="133"/>
        <v>0</v>
      </c>
      <c r="O230" s="206">
        <f t="shared" si="133"/>
        <v>0</v>
      </c>
      <c r="P230" s="206">
        <f t="shared" si="133"/>
        <v>0</v>
      </c>
      <c r="Q230" s="206">
        <f t="shared" si="133"/>
        <v>0</v>
      </c>
      <c r="R230" s="206">
        <f t="shared" si="133"/>
        <v>0</v>
      </c>
      <c r="S230" s="108"/>
      <c r="T230" s="108"/>
    </row>
    <row r="231" spans="2:20" ht="12.75" customHeight="1">
      <c r="B231" s="144"/>
      <c r="C231" s="597" t="s">
        <v>153</v>
      </c>
      <c r="D231" s="584"/>
      <c r="E231" s="584"/>
      <c r="F231" s="584"/>
      <c r="G231" s="584"/>
      <c r="H231" s="137" t="s">
        <v>143</v>
      </c>
      <c r="I231" s="206">
        <f>(I140*I143*$H$20*I148/1000)/I29</f>
        <v>0</v>
      </c>
      <c r="J231" s="206">
        <f t="shared" ref="J231:R231" si="134">(J140*J143*$H$20*J148/1000)/J29</f>
        <v>0</v>
      </c>
      <c r="K231" s="206">
        <f t="shared" si="134"/>
        <v>0</v>
      </c>
      <c r="L231" s="206">
        <f t="shared" si="134"/>
        <v>0</v>
      </c>
      <c r="M231" s="206">
        <f t="shared" si="134"/>
        <v>0</v>
      </c>
      <c r="N231" s="206">
        <f t="shared" si="134"/>
        <v>0</v>
      </c>
      <c r="O231" s="206">
        <f t="shared" si="134"/>
        <v>0</v>
      </c>
      <c r="P231" s="206">
        <f t="shared" si="134"/>
        <v>0</v>
      </c>
      <c r="Q231" s="206">
        <f t="shared" si="134"/>
        <v>0</v>
      </c>
      <c r="R231" s="206">
        <f t="shared" si="134"/>
        <v>0</v>
      </c>
      <c r="S231" s="108"/>
      <c r="T231" s="108"/>
    </row>
    <row r="232" spans="2:20" ht="13.25" customHeight="1">
      <c r="B232" s="238"/>
      <c r="C232" s="636" t="s">
        <v>154</v>
      </c>
      <c r="D232" s="636"/>
      <c r="E232" s="636"/>
      <c r="F232" s="636"/>
      <c r="G232" s="636"/>
      <c r="H232" s="238" t="s">
        <v>90</v>
      </c>
      <c r="I232" s="243">
        <f>I218+I202</f>
        <v>0</v>
      </c>
      <c r="J232" s="243"/>
      <c r="K232" s="243"/>
      <c r="L232" s="243"/>
      <c r="M232" s="243"/>
      <c r="N232" s="243"/>
      <c r="O232" s="243"/>
      <c r="P232" s="243"/>
      <c r="Q232" s="243"/>
      <c r="R232" s="243"/>
      <c r="S232" s="240"/>
      <c r="T232" s="240"/>
    </row>
    <row r="233" spans="2:20" ht="29.25" customHeight="1">
      <c r="B233" s="164"/>
      <c r="C233" s="165" t="s">
        <v>155</v>
      </c>
      <c r="D233" s="165"/>
      <c r="E233" s="165"/>
      <c r="F233" s="165"/>
      <c r="G233" s="165"/>
      <c r="H233" s="165" t="s">
        <v>90</v>
      </c>
      <c r="I233" s="187">
        <f>I232+I181</f>
        <v>0</v>
      </c>
      <c r="J233" s="187"/>
      <c r="K233" s="187"/>
      <c r="L233" s="187"/>
      <c r="M233" s="187"/>
      <c r="N233" s="187"/>
      <c r="O233" s="187"/>
      <c r="P233" s="187"/>
      <c r="Q233" s="187"/>
      <c r="R233" s="187"/>
      <c r="S233" s="187"/>
      <c r="T233" s="187"/>
    </row>
    <row r="234" spans="2:20">
      <c r="C234" s="188"/>
      <c r="D234" s="188"/>
      <c r="E234" s="189"/>
      <c r="F234" s="189"/>
      <c r="G234" s="189"/>
      <c r="H234" s="189"/>
      <c r="I234" s="188"/>
      <c r="J234" s="190"/>
      <c r="K234" s="191"/>
    </row>
    <row r="235" spans="2:20">
      <c r="F235" s="193"/>
      <c r="G235" s="193"/>
      <c r="H235" s="193"/>
      <c r="I235" s="194"/>
      <c r="J235" s="190"/>
      <c r="K235" s="191"/>
    </row>
    <row r="236" spans="2:20" hidden="1"/>
    <row r="237" spans="2:20" hidden="1">
      <c r="I237" s="192" t="s">
        <v>70</v>
      </c>
    </row>
    <row r="238" spans="2:20" hidden="1">
      <c r="I238" s="192" t="s">
        <v>156</v>
      </c>
    </row>
    <row r="239" spans="2:20" hidden="1">
      <c r="I239" s="192" t="s">
        <v>82</v>
      </c>
    </row>
    <row r="240" spans="2:20" hidden="1">
      <c r="I240" s="192" t="s">
        <v>157</v>
      </c>
    </row>
    <row r="243" spans="9:13">
      <c r="I243" s="192"/>
      <c r="J243" s="192"/>
      <c r="L243" s="192"/>
      <c r="M243" s="192"/>
    </row>
  </sheetData>
  <sheetProtection algorithmName="SHA-512" hashValue="gEPBE8mJwDXW7o4O61bkEvGAL8YMtUs9g1KwYFeiDaFDCp+2H8bpP7PGpG4ptncSVT6rzt6qtEi6xYEF/HyK/A==" saltValue="C5X63BqS/Bv3pD9yXnR/ug==" spinCount="100000" sheet="1" objects="1" scenarios="1"/>
  <mergeCells count="63">
    <mergeCell ref="C231:G231"/>
    <mergeCell ref="C232:G232"/>
    <mergeCell ref="C212:G212"/>
    <mergeCell ref="C214:G214"/>
    <mergeCell ref="C223:G223"/>
    <mergeCell ref="C225:G225"/>
    <mergeCell ref="C227:G227"/>
    <mergeCell ref="C229:G229"/>
    <mergeCell ref="C210:G210"/>
    <mergeCell ref="C187:G187"/>
    <mergeCell ref="C188:G188"/>
    <mergeCell ref="C189:G189"/>
    <mergeCell ref="C190:G190"/>
    <mergeCell ref="C191:G191"/>
    <mergeCell ref="C192:G192"/>
    <mergeCell ref="C193:G193"/>
    <mergeCell ref="C194:G194"/>
    <mergeCell ref="C195:G195"/>
    <mergeCell ref="C206:G206"/>
    <mergeCell ref="C208:G208"/>
    <mergeCell ref="C186:G186"/>
    <mergeCell ref="C173:G173"/>
    <mergeCell ref="C174:G174"/>
    <mergeCell ref="C175:G175"/>
    <mergeCell ref="C176:G176"/>
    <mergeCell ref="C177:G177"/>
    <mergeCell ref="C178:G178"/>
    <mergeCell ref="C179:G179"/>
    <mergeCell ref="C181:G181"/>
    <mergeCell ref="C182:G182"/>
    <mergeCell ref="C183:G183"/>
    <mergeCell ref="C185:G185"/>
    <mergeCell ref="C172:G172"/>
    <mergeCell ref="C24:H24"/>
    <mergeCell ref="C154:D154"/>
    <mergeCell ref="C156:G156"/>
    <mergeCell ref="C160:G160"/>
    <mergeCell ref="C163:G163"/>
    <mergeCell ref="C165:G165"/>
    <mergeCell ref="C167:G167"/>
    <mergeCell ref="C168:G168"/>
    <mergeCell ref="C169:G169"/>
    <mergeCell ref="C170:G170"/>
    <mergeCell ref="C171:G171"/>
    <mergeCell ref="C21:G21"/>
    <mergeCell ref="C12:E12"/>
    <mergeCell ref="F12:I12"/>
    <mergeCell ref="C13:E13"/>
    <mergeCell ref="F13:I13"/>
    <mergeCell ref="C14:H14"/>
    <mergeCell ref="C15:G15"/>
    <mergeCell ref="C16:G16"/>
    <mergeCell ref="C17:G17"/>
    <mergeCell ref="C18:G18"/>
    <mergeCell ref="C19:G19"/>
    <mergeCell ref="C20:G20"/>
    <mergeCell ref="C11:E11"/>
    <mergeCell ref="F11:I11"/>
    <mergeCell ref="C6:D6"/>
    <mergeCell ref="E6:G6"/>
    <mergeCell ref="H6:I6"/>
    <mergeCell ref="C9:H9"/>
    <mergeCell ref="C10:H10"/>
  </mergeCells>
  <dataValidations count="3">
    <dataValidation allowBlank="1" showInputMessage="1" showErrorMessage="1" prompt="Markera cell till vänster för att välja pris i dropdown-menyn" sqref="G17" xr:uid="{A8FFF49D-5DA8-4886-A1E1-8A39EBDBC1A2}"/>
    <dataValidation type="list" allowBlank="1" showInputMessage="1" showErrorMessage="1" sqref="I48:R48 I144:R144 I120:R120 I96:R96 I72:R72 I132:R132 I60:R60 I84:R84 I108:R108 I36:R36" xr:uid="{A6514AB4-00C8-466A-A46F-16F080F03726}">
      <formula1>$I$237:$I$240</formula1>
    </dataValidation>
    <dataValidation type="list" allowBlank="1" showInputMessage="1" showErrorMessage="1" sqref="I27:R27" xr:uid="{83E33C34-CADD-4DEE-A16F-A8ABB484D4B3}">
      <formula1>INDIRECT(I$26)</formula1>
    </dataValidation>
  </dataValidations>
  <pageMargins left="0.75" right="0.75" top="1" bottom="1" header="0.5" footer="0.5"/>
  <pageSetup paperSize="9" scale="35" orientation="portrait" horizontalDpi="1200" verticalDpi="1200"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C59824D-1E3E-4957-B8DF-A4109AEC790A}">
          <x14:formula1>
            <xm:f>'4. Reduktionsfaktorer, LENI-tal'!$Q$12:$T$12</xm:f>
          </x14:formula1>
          <xm:sqref>I25:R25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072FD-7E3D-43C6-ACD9-ACAF6AA15130}">
  <sheetPr codeName="Blad8">
    <tabColor rgb="FF6B2879"/>
  </sheetPr>
  <dimension ref="A1:T243"/>
  <sheetViews>
    <sheetView topLeftCell="A120" zoomScale="60" zoomScaleNormal="60" workbookViewId="0">
      <selection activeCell="C148" sqref="C148"/>
    </sheetView>
  </sheetViews>
  <sheetFormatPr baseColWidth="10" defaultColWidth="9.1640625" defaultRowHeight="16"/>
  <cols>
    <col min="1" max="1" width="15.1640625" style="173" customWidth="1"/>
    <col min="2" max="2" width="12.5" style="173" customWidth="1"/>
    <col min="3" max="3" width="10.5" style="173" customWidth="1"/>
    <col min="4" max="4" width="8.5" style="173" customWidth="1"/>
    <col min="5" max="5" width="8.1640625" style="192" customWidth="1"/>
    <col min="6" max="6" width="10" style="192" customWidth="1"/>
    <col min="7" max="7" width="16.5" style="192" customWidth="1"/>
    <col min="8" max="8" width="8.83203125" style="192" customWidth="1"/>
    <col min="9" max="10" width="20.5" style="173" customWidth="1"/>
    <col min="11" max="11" width="20.5" style="195" customWidth="1"/>
    <col min="12" max="18" width="20.5" style="173" customWidth="1"/>
    <col min="19" max="16384" width="9.1640625" style="173"/>
  </cols>
  <sheetData>
    <row r="1" spans="1:20" s="169" customFormat="1" ht="13">
      <c r="A1" s="271" t="s">
        <v>0</v>
      </c>
    </row>
    <row r="2" spans="1:20" s="169" customFormat="1" ht="38">
      <c r="G2" s="1" t="s">
        <v>1</v>
      </c>
    </row>
    <row r="3" spans="1:20" s="169" customFormat="1" ht="14">
      <c r="G3" s="28" t="str">
        <f>'1. Introduktion'!G3</f>
        <v>Version 3.0</v>
      </c>
      <c r="H3" s="13"/>
      <c r="I3" s="13"/>
    </row>
    <row r="4" spans="1:20" s="169" customFormat="1" ht="14">
      <c r="G4" s="28" t="str">
        <f>'1. Introduktion'!G4</f>
        <v>Datum: 2024-12-17</v>
      </c>
      <c r="H4" s="13"/>
      <c r="I4" s="28"/>
      <c r="K4" s="196"/>
    </row>
    <row r="5" spans="1:20" s="169" customFormat="1" ht="13"/>
    <row r="6" spans="1:20" s="3" customFormat="1" ht="41.25" customHeight="1">
      <c r="C6" s="631"/>
      <c r="D6" s="631"/>
      <c r="E6" s="631"/>
      <c r="F6" s="631"/>
      <c r="G6" s="631"/>
      <c r="H6" s="632"/>
      <c r="I6" s="632"/>
      <c r="J6" s="9"/>
      <c r="K6" s="10"/>
      <c r="L6" s="10"/>
      <c r="M6" s="10"/>
      <c r="N6" s="10"/>
      <c r="O6" s="10"/>
      <c r="P6" s="10"/>
      <c r="Q6" s="10"/>
      <c r="R6" s="10"/>
    </row>
    <row r="7" spans="1:20" s="170" customFormat="1" ht="23">
      <c r="C7" s="4"/>
      <c r="D7" s="4"/>
      <c r="E7" s="4"/>
      <c r="F7" s="4"/>
      <c r="G7" s="4"/>
      <c r="H7" s="171"/>
      <c r="I7" s="171"/>
      <c r="J7" s="4"/>
      <c r="K7" s="4"/>
      <c r="L7" s="4"/>
      <c r="M7" s="4"/>
      <c r="N7" s="4"/>
      <c r="O7" s="4"/>
      <c r="P7" s="4"/>
      <c r="Q7" s="4"/>
      <c r="R7" s="4"/>
    </row>
    <row r="8" spans="1:20" s="170" customFormat="1" ht="23">
      <c r="B8" s="244"/>
      <c r="C8" s="90" t="s">
        <v>198</v>
      </c>
      <c r="D8" s="91"/>
      <c r="E8" s="91"/>
      <c r="F8" s="91"/>
      <c r="G8" s="91"/>
      <c r="H8" s="245"/>
      <c r="I8" s="245"/>
      <c r="J8" s="91"/>
      <c r="K8" s="91"/>
      <c r="L8" s="91"/>
      <c r="M8" s="91"/>
      <c r="N8" s="91"/>
      <c r="O8" s="91"/>
      <c r="P8" s="91"/>
      <c r="Q8" s="91"/>
      <c r="R8" s="91"/>
      <c r="S8" s="91"/>
      <c r="T8" s="91"/>
    </row>
    <row r="9" spans="1:20" ht="15.75" customHeight="1">
      <c r="B9" s="129"/>
      <c r="C9" s="578"/>
      <c r="D9" s="578"/>
      <c r="E9" s="578"/>
      <c r="F9" s="578"/>
      <c r="G9" s="578"/>
      <c r="H9" s="578"/>
      <c r="I9" s="172"/>
      <c r="J9" s="129"/>
      <c r="K9" s="129"/>
      <c r="L9" s="129"/>
      <c r="M9" s="129"/>
      <c r="N9" s="129"/>
      <c r="O9" s="129"/>
      <c r="P9" s="129"/>
      <c r="Q9" s="129"/>
      <c r="R9" s="129"/>
      <c r="S9" s="129"/>
      <c r="T9" s="129"/>
    </row>
    <row r="10" spans="1:20" ht="23">
      <c r="B10" s="129"/>
      <c r="C10" s="579" t="s">
        <v>162</v>
      </c>
      <c r="D10" s="579"/>
      <c r="E10" s="579"/>
      <c r="F10" s="579"/>
      <c r="G10" s="579"/>
      <c r="H10" s="579"/>
      <c r="I10" s="166"/>
      <c r="J10" s="129"/>
      <c r="K10" s="129"/>
      <c r="L10" s="129"/>
      <c r="M10" s="129"/>
      <c r="N10" s="129"/>
      <c r="O10" s="129"/>
      <c r="P10" s="129"/>
      <c r="Q10" s="129"/>
      <c r="R10" s="129"/>
      <c r="S10" s="129"/>
      <c r="T10" s="129"/>
    </row>
    <row r="11" spans="1:20" s="174" customFormat="1">
      <c r="B11" s="129"/>
      <c r="C11" s="573" t="s">
        <v>22</v>
      </c>
      <c r="D11" s="573"/>
      <c r="E11" s="573"/>
      <c r="F11" s="630" t="s">
        <v>163</v>
      </c>
      <c r="G11" s="630"/>
      <c r="H11" s="630"/>
      <c r="I11" s="630"/>
      <c r="J11" s="129"/>
      <c r="K11" s="129"/>
      <c r="L11" s="129"/>
      <c r="M11" s="129"/>
      <c r="N11" s="129"/>
      <c r="O11" s="129"/>
      <c r="P11" s="129"/>
      <c r="Q11" s="129"/>
      <c r="R11" s="129"/>
      <c r="S11" s="129"/>
      <c r="T11" s="129"/>
    </row>
    <row r="12" spans="1:20" s="174" customFormat="1">
      <c r="B12" s="129"/>
      <c r="C12" s="573" t="s">
        <v>23</v>
      </c>
      <c r="D12" s="573"/>
      <c r="E12" s="573"/>
      <c r="F12" s="633" t="s">
        <v>164</v>
      </c>
      <c r="G12" s="633"/>
      <c r="H12" s="633"/>
      <c r="I12" s="633"/>
      <c r="J12" s="129"/>
      <c r="K12" s="129"/>
      <c r="L12" s="129"/>
      <c r="M12" s="129"/>
      <c r="N12" s="129"/>
      <c r="O12" s="129"/>
      <c r="P12" s="129"/>
      <c r="Q12" s="129"/>
      <c r="R12" s="129"/>
      <c r="S12" s="129"/>
      <c r="T12" s="129"/>
    </row>
    <row r="13" spans="1:20" s="174" customFormat="1">
      <c r="B13" s="129"/>
      <c r="C13" s="573" t="s">
        <v>24</v>
      </c>
      <c r="D13" s="573"/>
      <c r="E13" s="573"/>
      <c r="F13" s="630" t="s">
        <v>165</v>
      </c>
      <c r="G13" s="630"/>
      <c r="H13" s="630"/>
      <c r="I13" s="630"/>
      <c r="J13" s="129"/>
      <c r="K13" s="129"/>
      <c r="L13" s="129"/>
      <c r="M13" s="129"/>
      <c r="N13" s="129"/>
      <c r="O13" s="129"/>
      <c r="P13" s="129"/>
      <c r="Q13" s="129"/>
      <c r="R13" s="129"/>
      <c r="S13" s="129"/>
      <c r="T13" s="129"/>
    </row>
    <row r="14" spans="1:20" ht="15">
      <c r="B14" s="129"/>
      <c r="C14" s="581"/>
      <c r="D14" s="581"/>
      <c r="E14" s="581"/>
      <c r="F14" s="581"/>
      <c r="G14" s="581"/>
      <c r="H14" s="581"/>
      <c r="I14" s="172"/>
      <c r="J14" s="129"/>
      <c r="K14" s="129"/>
      <c r="L14" s="129"/>
      <c r="M14" s="129"/>
      <c r="N14" s="129"/>
      <c r="O14" s="129"/>
      <c r="P14" s="129"/>
      <c r="Q14" s="129"/>
      <c r="R14" s="129"/>
      <c r="S14" s="129"/>
      <c r="T14" s="129"/>
    </row>
    <row r="15" spans="1:20" s="174" customFormat="1">
      <c r="B15" s="111" t="s">
        <v>25</v>
      </c>
      <c r="C15" s="582" t="s">
        <v>26</v>
      </c>
      <c r="D15" s="582"/>
      <c r="E15" s="582"/>
      <c r="F15" s="582"/>
      <c r="G15" s="582"/>
      <c r="H15" s="7"/>
      <c r="I15" s="175" t="s">
        <v>27</v>
      </c>
      <c r="J15" s="129"/>
      <c r="K15" s="129"/>
      <c r="L15" s="129"/>
      <c r="M15" s="129"/>
      <c r="N15" s="129"/>
      <c r="O15" s="129"/>
      <c r="P15" s="129"/>
      <c r="Q15" s="129"/>
      <c r="R15" s="129"/>
      <c r="S15" s="129"/>
      <c r="T15" s="129"/>
    </row>
    <row r="16" spans="1:20" s="174" customFormat="1">
      <c r="B16" s="111" t="s">
        <v>28</v>
      </c>
      <c r="C16" s="582" t="s">
        <v>29</v>
      </c>
      <c r="D16" s="582"/>
      <c r="E16" s="582"/>
      <c r="F16" s="582"/>
      <c r="G16" s="582"/>
      <c r="H16" s="60">
        <v>0.05</v>
      </c>
      <c r="I16" s="176"/>
      <c r="J16" s="129"/>
      <c r="K16" s="129"/>
      <c r="L16" s="129"/>
      <c r="M16" s="129"/>
      <c r="N16" s="129"/>
      <c r="O16" s="129"/>
      <c r="P16" s="129"/>
      <c r="Q16" s="129"/>
      <c r="R16" s="129"/>
      <c r="S16" s="129"/>
      <c r="T16" s="129"/>
    </row>
    <row r="17" spans="2:20" s="174" customFormat="1">
      <c r="B17" s="111" t="s">
        <v>31</v>
      </c>
      <c r="C17" s="582" t="s">
        <v>32</v>
      </c>
      <c r="D17" s="582"/>
      <c r="E17" s="582"/>
      <c r="F17" s="582"/>
      <c r="G17" s="582"/>
      <c r="H17" s="11"/>
      <c r="I17" s="175" t="s">
        <v>33</v>
      </c>
      <c r="J17" s="129"/>
      <c r="K17" s="129"/>
      <c r="L17" s="129"/>
      <c r="M17" s="129"/>
      <c r="N17" s="129"/>
      <c r="O17" s="129"/>
      <c r="P17" s="129"/>
      <c r="Q17" s="129"/>
      <c r="R17" s="129"/>
      <c r="S17" s="129"/>
      <c r="T17" s="129"/>
    </row>
    <row r="18" spans="2:20" s="174" customFormat="1">
      <c r="B18" s="111" t="s">
        <v>34</v>
      </c>
      <c r="C18" s="582" t="s">
        <v>35</v>
      </c>
      <c r="D18" s="582"/>
      <c r="E18" s="582"/>
      <c r="F18" s="582"/>
      <c r="G18" s="582"/>
      <c r="H18" s="8"/>
      <c r="I18" s="176"/>
      <c r="J18" s="129"/>
      <c r="K18" s="129"/>
      <c r="L18" s="129"/>
      <c r="M18" s="129"/>
      <c r="N18" s="129"/>
      <c r="O18" s="129"/>
      <c r="P18" s="129"/>
      <c r="Q18" s="129"/>
      <c r="R18" s="129"/>
      <c r="S18" s="129"/>
      <c r="T18" s="129"/>
    </row>
    <row r="19" spans="2:20" s="174" customFormat="1">
      <c r="B19" s="111" t="s">
        <v>36</v>
      </c>
      <c r="C19" s="582" t="s">
        <v>37</v>
      </c>
      <c r="D19" s="582"/>
      <c r="E19" s="582"/>
      <c r="F19" s="582"/>
      <c r="G19" s="582"/>
      <c r="H19" s="11"/>
      <c r="I19" s="177" t="s">
        <v>38</v>
      </c>
      <c r="J19" s="129"/>
      <c r="K19" s="129"/>
      <c r="L19" s="129"/>
      <c r="M19" s="129"/>
      <c r="N19" s="129"/>
      <c r="O19" s="129"/>
      <c r="P19" s="129"/>
      <c r="Q19" s="129"/>
      <c r="R19" s="129"/>
      <c r="S19" s="129"/>
      <c r="T19" s="129"/>
    </row>
    <row r="20" spans="2:20" s="174" customFormat="1">
      <c r="B20" s="111" t="s">
        <v>39</v>
      </c>
      <c r="C20" s="582" t="s">
        <v>40</v>
      </c>
      <c r="D20" s="582"/>
      <c r="E20" s="582"/>
      <c r="F20" s="582"/>
      <c r="G20" s="582"/>
      <c r="H20" s="12"/>
      <c r="I20" s="177" t="s">
        <v>41</v>
      </c>
      <c r="J20" s="129"/>
      <c r="K20" s="129"/>
      <c r="L20" s="129"/>
      <c r="M20" s="129"/>
      <c r="N20" s="129"/>
      <c r="O20" s="129"/>
      <c r="P20" s="129"/>
      <c r="Q20" s="129"/>
      <c r="R20" s="129"/>
      <c r="S20" s="129"/>
      <c r="T20" s="129"/>
    </row>
    <row r="21" spans="2:20" s="174" customFormat="1" ht="15.75" customHeight="1">
      <c r="B21" s="129"/>
      <c r="C21" s="580"/>
      <c r="D21" s="580"/>
      <c r="E21" s="580"/>
      <c r="F21" s="580"/>
      <c r="G21" s="580"/>
      <c r="H21" s="139"/>
      <c r="I21" s="178"/>
      <c r="J21" s="129"/>
      <c r="K21" s="129"/>
      <c r="L21" s="129"/>
      <c r="M21" s="129"/>
      <c r="N21" s="129"/>
      <c r="O21" s="129"/>
      <c r="P21" s="129"/>
      <c r="Q21" s="129"/>
      <c r="R21" s="129"/>
      <c r="S21" s="129"/>
      <c r="T21" s="129"/>
    </row>
    <row r="22" spans="2:20" s="174" customFormat="1" ht="28.5" customHeight="1">
      <c r="B22" s="246"/>
      <c r="C22" s="247" t="s">
        <v>44</v>
      </c>
      <c r="D22" s="248"/>
      <c r="E22" s="248"/>
      <c r="F22" s="248"/>
      <c r="G22" s="246"/>
      <c r="H22" s="246"/>
      <c r="I22" s="246"/>
      <c r="J22" s="246"/>
      <c r="K22" s="246"/>
      <c r="L22" s="246"/>
      <c r="M22" s="246"/>
      <c r="N22" s="246"/>
      <c r="O22" s="246"/>
      <c r="P22" s="246"/>
      <c r="Q22" s="246"/>
      <c r="R22" s="246"/>
      <c r="S22" s="246"/>
      <c r="T22" s="246"/>
    </row>
    <row r="23" spans="2:20" s="174" customFormat="1" ht="16.5" customHeight="1">
      <c r="B23" s="108"/>
      <c r="C23" s="109"/>
      <c r="D23" s="108"/>
      <c r="E23" s="108"/>
      <c r="F23" s="108"/>
      <c r="G23" s="108"/>
      <c r="H23" s="108"/>
      <c r="I23" s="108"/>
      <c r="J23" s="108"/>
      <c r="K23" s="108"/>
      <c r="L23" s="108"/>
      <c r="M23" s="108"/>
      <c r="N23" s="108"/>
      <c r="O23" s="108"/>
      <c r="P23" s="108"/>
      <c r="Q23" s="108"/>
      <c r="R23" s="108"/>
      <c r="S23" s="108"/>
      <c r="T23" s="108"/>
    </row>
    <row r="24" spans="2:20" s="174" customFormat="1" ht="16.5" customHeight="1">
      <c r="B24" s="108"/>
      <c r="C24" s="623" t="s">
        <v>166</v>
      </c>
      <c r="D24" s="623"/>
      <c r="E24" s="623"/>
      <c r="F24" s="623"/>
      <c r="G24" s="623"/>
      <c r="H24" s="623"/>
      <c r="I24" s="108"/>
      <c r="J24" s="108"/>
      <c r="K24" s="108"/>
      <c r="L24" s="108"/>
      <c r="M24" s="108"/>
      <c r="N24" s="108"/>
      <c r="O24" s="108"/>
      <c r="P24" s="108"/>
      <c r="Q24" s="108"/>
      <c r="R24" s="108"/>
      <c r="S24" s="108"/>
      <c r="T24" s="108"/>
    </row>
    <row r="25" spans="2:20" s="174" customFormat="1" ht="44" customHeight="1">
      <c r="B25" s="111"/>
      <c r="C25" s="112" t="s">
        <v>46</v>
      </c>
      <c r="D25" s="113"/>
      <c r="E25" s="113"/>
      <c r="F25" s="113"/>
      <c r="G25" s="114"/>
      <c r="H25" s="114"/>
      <c r="I25" s="197" t="s">
        <v>167</v>
      </c>
      <c r="J25" s="197" t="s">
        <v>168</v>
      </c>
      <c r="K25" s="197" t="s">
        <v>169</v>
      </c>
      <c r="L25" s="197" t="s">
        <v>170</v>
      </c>
      <c r="M25" s="197" t="s">
        <v>171</v>
      </c>
      <c r="N25" s="197" t="s">
        <v>172</v>
      </c>
      <c r="O25" s="197" t="s">
        <v>173</v>
      </c>
      <c r="P25" s="197" t="s">
        <v>174</v>
      </c>
      <c r="Q25" s="197" t="s">
        <v>175</v>
      </c>
      <c r="R25" s="197" t="s">
        <v>176</v>
      </c>
      <c r="S25" s="108"/>
      <c r="T25" s="108"/>
    </row>
    <row r="26" spans="2:20" s="174" customFormat="1" ht="16.5" hidden="1" customHeight="1">
      <c r="B26" s="111"/>
      <c r="C26" s="112" t="s">
        <v>49</v>
      </c>
      <c r="D26" s="113"/>
      <c r="E26" s="113"/>
      <c r="F26" s="113"/>
      <c r="G26" s="114"/>
      <c r="H26" s="114"/>
      <c r="I26" s="70" t="str">
        <f>SUBSTITUTE(I25," ","_")</f>
        <v>Byggnadstyp_1</v>
      </c>
      <c r="J26" s="70" t="str">
        <f t="shared" ref="J26:R26" si="0">SUBSTITUTE(J25," ","_")</f>
        <v>Byggnadstyp_2</v>
      </c>
      <c r="K26" s="70" t="str">
        <f t="shared" si="0"/>
        <v>Byggnadstyp_3</v>
      </c>
      <c r="L26" s="70" t="str">
        <f t="shared" si="0"/>
        <v>Byggnadstyp_4</v>
      </c>
      <c r="M26" s="70" t="str">
        <f t="shared" si="0"/>
        <v>Byggnadstyp_5</v>
      </c>
      <c r="N26" s="70" t="str">
        <f t="shared" si="0"/>
        <v>Byggnadstyp_6</v>
      </c>
      <c r="O26" s="70" t="str">
        <f t="shared" si="0"/>
        <v>Byggnadstyp_7</v>
      </c>
      <c r="P26" s="70" t="str">
        <f t="shared" si="0"/>
        <v>Byggnadstyp_8</v>
      </c>
      <c r="Q26" s="70" t="str">
        <f t="shared" si="0"/>
        <v>Byggnadstyp_9</v>
      </c>
      <c r="R26" s="70" t="str">
        <f t="shared" si="0"/>
        <v>Byggnadstyp_10</v>
      </c>
      <c r="S26" s="108"/>
      <c r="T26" s="108"/>
    </row>
    <row r="27" spans="2:20" s="174" customFormat="1" ht="44" customHeight="1">
      <c r="B27" s="111"/>
      <c r="C27" s="112" t="s">
        <v>50</v>
      </c>
      <c r="D27" s="113"/>
      <c r="E27" s="113"/>
      <c r="F27" s="113"/>
      <c r="G27" s="114"/>
      <c r="H27" s="114"/>
      <c r="I27" s="197" t="s">
        <v>177</v>
      </c>
      <c r="J27" s="197" t="s">
        <v>178</v>
      </c>
      <c r="K27" s="197" t="s">
        <v>179</v>
      </c>
      <c r="L27" s="197" t="s">
        <v>180</v>
      </c>
      <c r="M27" s="197" t="s">
        <v>181</v>
      </c>
      <c r="N27" s="197" t="s">
        <v>182</v>
      </c>
      <c r="O27" s="197" t="s">
        <v>183</v>
      </c>
      <c r="P27" s="197" t="s">
        <v>184</v>
      </c>
      <c r="Q27" s="197" t="s">
        <v>185</v>
      </c>
      <c r="R27" s="197" t="s">
        <v>186</v>
      </c>
      <c r="S27" s="108"/>
      <c r="T27" s="108"/>
    </row>
    <row r="28" spans="2:20" s="174" customFormat="1" ht="16.5" customHeight="1">
      <c r="B28" s="111"/>
      <c r="C28" s="115" t="s">
        <v>53</v>
      </c>
      <c r="D28" s="116"/>
      <c r="E28" s="116"/>
      <c r="F28" s="116"/>
      <c r="G28" s="117"/>
      <c r="H28" s="117" t="s">
        <v>54</v>
      </c>
      <c r="I28" s="167">
        <v>1</v>
      </c>
      <c r="J28" s="167">
        <v>1</v>
      </c>
      <c r="K28" s="167">
        <v>1</v>
      </c>
      <c r="L28" s="167">
        <v>1</v>
      </c>
      <c r="M28" s="167">
        <v>1</v>
      </c>
      <c r="N28" s="167">
        <v>1</v>
      </c>
      <c r="O28" s="167">
        <v>1</v>
      </c>
      <c r="P28" s="167">
        <v>1</v>
      </c>
      <c r="Q28" s="167">
        <v>1</v>
      </c>
      <c r="R28" s="167">
        <v>1</v>
      </c>
      <c r="S28" s="108"/>
      <c r="T28" s="108"/>
    </row>
    <row r="29" spans="2:20" s="174" customFormat="1" ht="16.5" customHeight="1">
      <c r="B29" s="111"/>
      <c r="C29" s="115" t="s">
        <v>55</v>
      </c>
      <c r="D29" s="116"/>
      <c r="E29" s="116"/>
      <c r="F29" s="116"/>
      <c r="G29" s="117"/>
      <c r="H29" s="117" t="s">
        <v>56</v>
      </c>
      <c r="I29" s="167">
        <v>1</v>
      </c>
      <c r="J29" s="167">
        <v>1</v>
      </c>
      <c r="K29" s="167">
        <v>1</v>
      </c>
      <c r="L29" s="167">
        <v>1</v>
      </c>
      <c r="M29" s="167">
        <v>1</v>
      </c>
      <c r="N29" s="167">
        <v>1</v>
      </c>
      <c r="O29" s="167">
        <v>1</v>
      </c>
      <c r="P29" s="167">
        <v>1</v>
      </c>
      <c r="Q29" s="167">
        <v>1</v>
      </c>
      <c r="R29" s="167">
        <v>1</v>
      </c>
      <c r="S29" s="108"/>
      <c r="T29" s="108"/>
    </row>
    <row r="30" spans="2:20" s="174" customFormat="1" ht="16.5" customHeight="1">
      <c r="B30" s="111"/>
      <c r="C30" s="110" t="s">
        <v>187</v>
      </c>
      <c r="D30" s="118"/>
      <c r="E30" s="118"/>
      <c r="F30" s="118"/>
      <c r="G30" s="118"/>
      <c r="H30" s="118"/>
      <c r="I30" s="179"/>
      <c r="J30" s="179"/>
      <c r="K30" s="179"/>
      <c r="L30" s="179"/>
      <c r="M30" s="179"/>
      <c r="N30" s="179"/>
      <c r="O30" s="179"/>
      <c r="P30" s="179"/>
      <c r="Q30" s="179"/>
      <c r="R30" s="179"/>
      <c r="S30" s="108"/>
      <c r="T30" s="108"/>
    </row>
    <row r="31" spans="2:20" s="174" customFormat="1" ht="16.5" customHeight="1">
      <c r="B31" s="111"/>
      <c r="C31" s="110" t="s">
        <v>188</v>
      </c>
      <c r="D31" s="118"/>
      <c r="E31" s="118"/>
      <c r="F31" s="118"/>
      <c r="G31" s="118"/>
      <c r="H31" s="118"/>
      <c r="I31" s="179"/>
      <c r="J31" s="179"/>
      <c r="K31" s="179"/>
      <c r="L31" s="179"/>
      <c r="M31" s="179"/>
      <c r="N31" s="179"/>
      <c r="O31" s="179"/>
      <c r="P31" s="179"/>
      <c r="Q31" s="179"/>
      <c r="R31" s="179"/>
      <c r="S31" s="108"/>
      <c r="T31" s="108"/>
    </row>
    <row r="32" spans="2:20" s="174" customFormat="1" ht="16.5" customHeight="1">
      <c r="B32" s="111" t="s">
        <v>58</v>
      </c>
      <c r="C32" s="115" t="s">
        <v>59</v>
      </c>
      <c r="D32" s="116"/>
      <c r="E32" s="116"/>
      <c r="F32" s="116"/>
      <c r="G32" s="117"/>
      <c r="H32" s="117" t="s">
        <v>54</v>
      </c>
      <c r="I32" s="71"/>
      <c r="J32" s="71"/>
      <c r="K32" s="71"/>
      <c r="L32" s="71"/>
      <c r="M32" s="71"/>
      <c r="N32" s="71"/>
      <c r="O32" s="71"/>
      <c r="P32" s="71"/>
      <c r="Q32" s="71"/>
      <c r="R32" s="71"/>
      <c r="S32" s="108"/>
      <c r="T32" s="108"/>
    </row>
    <row r="33" spans="2:20" s="174" customFormat="1" ht="16.5" customHeight="1">
      <c r="B33" s="111" t="s">
        <v>60</v>
      </c>
      <c r="C33" s="115" t="s">
        <v>61</v>
      </c>
      <c r="D33" s="116"/>
      <c r="E33" s="116"/>
      <c r="F33" s="116"/>
      <c r="G33" s="117"/>
      <c r="H33" s="117" t="s">
        <v>62</v>
      </c>
      <c r="I33" s="71"/>
      <c r="J33" s="71"/>
      <c r="K33" s="71"/>
      <c r="L33" s="71"/>
      <c r="M33" s="71"/>
      <c r="N33" s="71"/>
      <c r="O33" s="71"/>
      <c r="P33" s="71"/>
      <c r="Q33" s="71"/>
      <c r="R33" s="71"/>
      <c r="S33" s="108"/>
      <c r="T33" s="108"/>
    </row>
    <row r="34" spans="2:20" s="174" customFormat="1" ht="16.5" customHeight="1">
      <c r="B34" s="111" t="s">
        <v>63</v>
      </c>
      <c r="C34" s="115" t="s">
        <v>64</v>
      </c>
      <c r="D34" s="116"/>
      <c r="E34" s="116"/>
      <c r="F34" s="116"/>
      <c r="G34" s="117"/>
      <c r="H34" s="117" t="s">
        <v>62</v>
      </c>
      <c r="I34" s="71"/>
      <c r="J34" s="71"/>
      <c r="K34" s="71"/>
      <c r="L34" s="71"/>
      <c r="M34" s="71"/>
      <c r="N34" s="71"/>
      <c r="O34" s="71"/>
      <c r="P34" s="71"/>
      <c r="Q34" s="71"/>
      <c r="R34" s="71"/>
      <c r="S34" s="108"/>
      <c r="T34" s="108"/>
    </row>
    <row r="35" spans="2:20" s="174" customFormat="1" ht="16.5" customHeight="1">
      <c r="B35" s="111" t="s">
        <v>65</v>
      </c>
      <c r="C35" s="115" t="s">
        <v>66</v>
      </c>
      <c r="D35" s="116"/>
      <c r="E35" s="116"/>
      <c r="F35" s="116"/>
      <c r="G35" s="117"/>
      <c r="H35" s="117" t="s">
        <v>67</v>
      </c>
      <c r="I35" s="71"/>
      <c r="J35" s="71"/>
      <c r="K35" s="71"/>
      <c r="L35" s="71"/>
      <c r="M35" s="71"/>
      <c r="N35" s="71"/>
      <c r="O35" s="71"/>
      <c r="P35" s="71"/>
      <c r="Q35" s="71"/>
      <c r="R35" s="71"/>
      <c r="S35" s="108"/>
      <c r="T35" s="108"/>
    </row>
    <row r="36" spans="2:20" s="174" customFormat="1" ht="30" customHeight="1">
      <c r="B36" s="111" t="s">
        <v>68</v>
      </c>
      <c r="C36" s="115" t="s">
        <v>69</v>
      </c>
      <c r="D36" s="116"/>
      <c r="E36" s="116"/>
      <c r="F36" s="116"/>
      <c r="G36" s="117"/>
      <c r="H36" s="117"/>
      <c r="I36" s="71" t="s">
        <v>70</v>
      </c>
      <c r="J36" s="71" t="s">
        <v>70</v>
      </c>
      <c r="K36" s="71" t="s">
        <v>70</v>
      </c>
      <c r="L36" s="71" t="s">
        <v>70</v>
      </c>
      <c r="M36" s="71" t="s">
        <v>70</v>
      </c>
      <c r="N36" s="71" t="s">
        <v>70</v>
      </c>
      <c r="O36" s="71" t="s">
        <v>70</v>
      </c>
      <c r="P36" s="71" t="s">
        <v>70</v>
      </c>
      <c r="Q36" s="71" t="s">
        <v>70</v>
      </c>
      <c r="R36" s="71" t="s">
        <v>70</v>
      </c>
      <c r="S36" s="108"/>
      <c r="T36" s="108"/>
    </row>
    <row r="37" spans="2:20" s="174" customFormat="1" ht="28.5" customHeight="1">
      <c r="B37" s="111" t="s">
        <v>71</v>
      </c>
      <c r="C37" s="115" t="s">
        <v>72</v>
      </c>
      <c r="D37" s="116"/>
      <c r="E37" s="116"/>
      <c r="F37" s="116"/>
      <c r="G37" s="117"/>
      <c r="H37" s="117"/>
      <c r="I37" s="71" t="str" cm="1">
        <f t="array" aca="1" ref="I37" ca="1">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f>
        <v>Fyll i byggnads- och rumstyp ovan</v>
      </c>
      <c r="J37" s="71" t="str" cm="1">
        <f t="array" aca="1" ref="J37" ca="1">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f>
        <v>Fyll i byggnads- och rumstyp ovan</v>
      </c>
      <c r="K37" s="71" t="str" cm="1">
        <f t="array" aca="1" ref="K37" ca="1">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f>
        <v>Fyll i byggnads- och rumstyp ovan</v>
      </c>
      <c r="L37" s="71" t="str" cm="1">
        <f t="array" aca="1" ref="L37" ca="1">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f>
        <v>Fyll i byggnads- och rumstyp ovan</v>
      </c>
      <c r="M37" s="71" t="str" cm="1">
        <f t="array" aca="1" ref="M37" ca="1">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f>
        <v>Fyll i byggnads- och rumstyp ovan</v>
      </c>
      <c r="N37" s="71" t="str" cm="1">
        <f t="array" aca="1" ref="N37" ca="1">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f>
        <v>Fyll i byggnads- och rumstyp ovan</v>
      </c>
      <c r="O37" s="71" t="str" cm="1">
        <f t="array" aca="1" ref="O37" ca="1">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f>
        <v>Fyll i byggnads- och rumstyp ovan</v>
      </c>
      <c r="P37" s="71" t="str" cm="1">
        <f t="array" aca="1" ref="P37" ca="1">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f>
        <v>Fyll i byggnads- och rumstyp ovan</v>
      </c>
      <c r="Q37" s="71" t="str" cm="1">
        <f t="array" aca="1" ref="Q37" ca="1">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f>
        <v>Fyll i byggnads- och rumstyp ovan</v>
      </c>
      <c r="R37" s="71" t="str" cm="1">
        <f t="array" aca="1" ref="R37" ca="1">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f>
        <v>Fyll i byggnads- och rumstyp ovan</v>
      </c>
      <c r="S37" s="108"/>
      <c r="T37" s="108"/>
    </row>
    <row r="38" spans="2:20" s="174" customFormat="1" ht="28.5" customHeight="1">
      <c r="B38" s="111" t="s">
        <v>73</v>
      </c>
      <c r="C38" s="115" t="s">
        <v>74</v>
      </c>
      <c r="D38" s="116"/>
      <c r="E38" s="116"/>
      <c r="F38" s="116"/>
      <c r="G38" s="117"/>
      <c r="H38" s="117"/>
      <c r="I38" s="71" t="str" cm="1">
        <f t="array" aca="1" ref="I38" ca="1">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f>
        <v>Fyll i byggnads- och rumstyp ovan</v>
      </c>
      <c r="J38" s="71" t="str" cm="1">
        <f t="array" aca="1" ref="J38" ca="1">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f>
        <v>Fyll i byggnads- och rumstyp ovan</v>
      </c>
      <c r="K38" s="71" t="str" cm="1">
        <f t="array" aca="1" ref="K38" ca="1">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f>
        <v>Fyll i byggnads- och rumstyp ovan</v>
      </c>
      <c r="L38" s="71" t="str" cm="1">
        <f t="array" aca="1" ref="L38" ca="1">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f>
        <v>Fyll i byggnads- och rumstyp ovan</v>
      </c>
      <c r="M38" s="71" t="str" cm="1">
        <f t="array" aca="1" ref="M38" ca="1">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f>
        <v>Fyll i byggnads- och rumstyp ovan</v>
      </c>
      <c r="N38" s="71" t="str" cm="1">
        <f t="array" aca="1" ref="N38" ca="1">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f>
        <v>Fyll i byggnads- och rumstyp ovan</v>
      </c>
      <c r="O38" s="71" t="str" cm="1">
        <f t="array" aca="1" ref="O38" ca="1">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f>
        <v>Fyll i byggnads- och rumstyp ovan</v>
      </c>
      <c r="P38" s="71" t="str" cm="1">
        <f t="array" aca="1" ref="P38" ca="1">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f>
        <v>Fyll i byggnads- och rumstyp ovan</v>
      </c>
      <c r="Q38" s="71" t="str" cm="1">
        <f t="array" aca="1" ref="Q38" ca="1">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f>
        <v>Fyll i byggnads- och rumstyp ovan</v>
      </c>
      <c r="R38" s="71" t="str" cm="1">
        <f t="array" aca="1" ref="R38" ca="1">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f>
        <v>Fyll i byggnads- och rumstyp ovan</v>
      </c>
      <c r="S38" s="108"/>
      <c r="T38" s="108"/>
    </row>
    <row r="39" spans="2:20" s="174" customFormat="1" ht="28.5" customHeight="1">
      <c r="B39" s="111" t="s">
        <v>75</v>
      </c>
      <c r="C39" s="115" t="s">
        <v>76</v>
      </c>
      <c r="D39" s="116"/>
      <c r="E39" s="116"/>
      <c r="F39" s="116"/>
      <c r="G39" s="117"/>
      <c r="H39" s="117"/>
      <c r="I39" s="71" t="str" cm="1">
        <f t="array" aca="1" ref="I39" ca="1">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f>
        <v>Fyll i byggnads- och rumstyp ovan</v>
      </c>
      <c r="J39" s="71" t="str" cm="1">
        <f t="array" aca="1" ref="J39" ca="1">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f>
        <v>Fyll i byggnads- och rumstyp ovan</v>
      </c>
      <c r="K39" s="71" t="str" cm="1">
        <f t="array" aca="1" ref="K39" ca="1">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f>
        <v>Fyll i byggnads- och rumstyp ovan</v>
      </c>
      <c r="L39" s="71" t="str" cm="1">
        <f t="array" aca="1" ref="L39" ca="1">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f>
        <v>Fyll i byggnads- och rumstyp ovan</v>
      </c>
      <c r="M39" s="71" t="str" cm="1">
        <f t="array" aca="1" ref="M39" ca="1">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f>
        <v>Fyll i byggnads- och rumstyp ovan</v>
      </c>
      <c r="N39" s="71" t="str" cm="1">
        <f t="array" aca="1" ref="N39" ca="1">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f>
        <v>Fyll i byggnads- och rumstyp ovan</v>
      </c>
      <c r="O39" s="71" t="str" cm="1">
        <f t="array" aca="1" ref="O39" ca="1">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f>
        <v>Fyll i byggnads- och rumstyp ovan</v>
      </c>
      <c r="P39" s="71" t="str" cm="1">
        <f t="array" aca="1" ref="P39" ca="1">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f>
        <v>Fyll i byggnads- och rumstyp ovan</v>
      </c>
      <c r="Q39" s="71" t="str" cm="1">
        <f t="array" aca="1" ref="Q39" ca="1">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f>
        <v>Fyll i byggnads- och rumstyp ovan</v>
      </c>
      <c r="R39" s="71" t="str" cm="1">
        <f t="array" aca="1" ref="R39" ca="1">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f>
        <v>Fyll i byggnads- och rumstyp ovan</v>
      </c>
      <c r="S39" s="108"/>
      <c r="T39" s="108"/>
    </row>
    <row r="40" spans="2:20" s="174" customFormat="1" ht="16.5" customHeight="1">
      <c r="B40" s="111" t="s">
        <v>77</v>
      </c>
      <c r="C40" s="119" t="s">
        <v>78</v>
      </c>
      <c r="D40" s="116"/>
      <c r="E40" s="116"/>
      <c r="F40" s="116"/>
      <c r="G40" s="117"/>
      <c r="H40" s="117"/>
      <c r="I40" s="168">
        <f>IF(IF(I36=$I$238,I37,IF(I36=$I$239,I37*I38,IF(I36=$I$240,I37*I38*I39,1)))=0,"Fyll i 2.6-2.8",IF(I36=$I$238,I37,IF(I36=$I$239,I37*I38,IF(I36=$I$240,I37*I38*I39,1))))</f>
        <v>1</v>
      </c>
      <c r="J40" s="168">
        <f t="shared" ref="J40:R40" si="1">IF(IF(J36=$I$238,J37,IF(J36=$I$239,J37*J38,IF(J36=$I$240,J37*J38*J39,1)))=0,"Fyll i 2.6-2.8",IF(J36=$I$238,J37,IF(J36=$I$239,J37*J38,IF(J36=$I$240,J37*J38*J39,1))))</f>
        <v>1</v>
      </c>
      <c r="K40" s="168">
        <f t="shared" si="1"/>
        <v>1</v>
      </c>
      <c r="L40" s="168">
        <f t="shared" si="1"/>
        <v>1</v>
      </c>
      <c r="M40" s="168">
        <f t="shared" si="1"/>
        <v>1</v>
      </c>
      <c r="N40" s="168">
        <f t="shared" si="1"/>
        <v>1</v>
      </c>
      <c r="O40" s="168">
        <f t="shared" si="1"/>
        <v>1</v>
      </c>
      <c r="P40" s="168">
        <f t="shared" si="1"/>
        <v>1</v>
      </c>
      <c r="Q40" s="168">
        <f t="shared" si="1"/>
        <v>1</v>
      </c>
      <c r="R40" s="168">
        <f t="shared" si="1"/>
        <v>1</v>
      </c>
      <c r="S40" s="108"/>
      <c r="T40" s="108"/>
    </row>
    <row r="41" spans="2:20" s="174" customFormat="1" ht="16.5" customHeight="1">
      <c r="B41" s="111" t="s">
        <v>79</v>
      </c>
      <c r="C41" s="115" t="s">
        <v>80</v>
      </c>
      <c r="D41" s="116"/>
      <c r="E41" s="116"/>
      <c r="F41" s="116"/>
      <c r="G41" s="117"/>
      <c r="H41" s="117" t="s">
        <v>81</v>
      </c>
      <c r="I41" s="71"/>
      <c r="J41" s="71"/>
      <c r="K41" s="71"/>
      <c r="L41" s="71"/>
      <c r="M41" s="71"/>
      <c r="N41" s="71"/>
      <c r="O41" s="71"/>
      <c r="P41" s="71"/>
      <c r="Q41" s="71"/>
      <c r="R41" s="71"/>
      <c r="S41" s="108"/>
      <c r="T41" s="108"/>
    </row>
    <row r="42" spans="2:20" s="174" customFormat="1" ht="16.5" customHeight="1">
      <c r="B42" s="111"/>
      <c r="C42" s="118"/>
      <c r="D42" s="118"/>
      <c r="E42" s="118"/>
      <c r="F42" s="118"/>
      <c r="G42" s="118"/>
      <c r="H42" s="118"/>
      <c r="I42" s="179"/>
      <c r="J42" s="179"/>
      <c r="K42" s="179"/>
      <c r="L42" s="179"/>
      <c r="M42" s="179"/>
      <c r="N42" s="179"/>
      <c r="O42" s="179"/>
      <c r="P42" s="179"/>
      <c r="Q42" s="179"/>
      <c r="R42" s="179"/>
      <c r="S42" s="108"/>
      <c r="T42" s="108"/>
    </row>
    <row r="43" spans="2:20" s="174" customFormat="1" ht="16.5" customHeight="1">
      <c r="B43" s="111"/>
      <c r="C43" s="110" t="s">
        <v>189</v>
      </c>
      <c r="D43" s="118"/>
      <c r="E43" s="118"/>
      <c r="F43" s="118"/>
      <c r="G43" s="118"/>
      <c r="H43" s="118"/>
      <c r="I43" s="179"/>
      <c r="J43" s="179"/>
      <c r="K43" s="179"/>
      <c r="L43" s="179"/>
      <c r="M43" s="179"/>
      <c r="N43" s="179"/>
      <c r="O43" s="179"/>
      <c r="P43" s="179"/>
      <c r="Q43" s="179"/>
      <c r="R43" s="179"/>
      <c r="S43" s="108"/>
      <c r="T43" s="108"/>
    </row>
    <row r="44" spans="2:20" s="174" customFormat="1" ht="16.5" customHeight="1">
      <c r="B44" s="111" t="s">
        <v>58</v>
      </c>
      <c r="C44" s="115" t="s">
        <v>59</v>
      </c>
      <c r="D44" s="116"/>
      <c r="E44" s="116"/>
      <c r="F44" s="116"/>
      <c r="G44" s="117"/>
      <c r="H44" s="117" t="s">
        <v>54</v>
      </c>
      <c r="I44" s="71"/>
      <c r="J44" s="71"/>
      <c r="K44" s="71"/>
      <c r="L44" s="71"/>
      <c r="M44" s="71"/>
      <c r="N44" s="71"/>
      <c r="O44" s="71"/>
      <c r="P44" s="71"/>
      <c r="Q44" s="71"/>
      <c r="R44" s="71"/>
      <c r="S44" s="108"/>
      <c r="T44" s="108"/>
    </row>
    <row r="45" spans="2:20" s="174" customFormat="1" ht="16.5" customHeight="1">
      <c r="B45" s="111" t="s">
        <v>60</v>
      </c>
      <c r="C45" s="115" t="s">
        <v>61</v>
      </c>
      <c r="D45" s="116"/>
      <c r="E45" s="116"/>
      <c r="F45" s="116"/>
      <c r="G45" s="117"/>
      <c r="H45" s="117" t="s">
        <v>62</v>
      </c>
      <c r="I45" s="71"/>
      <c r="J45" s="71"/>
      <c r="K45" s="71"/>
      <c r="L45" s="71"/>
      <c r="M45" s="71"/>
      <c r="N45" s="71"/>
      <c r="O45" s="71"/>
      <c r="P45" s="71"/>
      <c r="Q45" s="71"/>
      <c r="R45" s="71"/>
      <c r="S45" s="108"/>
      <c r="T45" s="108"/>
    </row>
    <row r="46" spans="2:20" s="174" customFormat="1" ht="16.5" customHeight="1">
      <c r="B46" s="111" t="s">
        <v>63</v>
      </c>
      <c r="C46" s="115" t="s">
        <v>64</v>
      </c>
      <c r="D46" s="116"/>
      <c r="E46" s="116"/>
      <c r="F46" s="116"/>
      <c r="G46" s="117"/>
      <c r="H46" s="117" t="s">
        <v>62</v>
      </c>
      <c r="I46" s="71"/>
      <c r="J46" s="71"/>
      <c r="K46" s="71"/>
      <c r="L46" s="71"/>
      <c r="M46" s="71"/>
      <c r="N46" s="71"/>
      <c r="O46" s="71"/>
      <c r="P46" s="71"/>
      <c r="Q46" s="71"/>
      <c r="R46" s="71"/>
      <c r="S46" s="108"/>
      <c r="T46" s="108"/>
    </row>
    <row r="47" spans="2:20" s="174" customFormat="1" ht="16.5" customHeight="1">
      <c r="B47" s="111" t="s">
        <v>65</v>
      </c>
      <c r="C47" s="115" t="s">
        <v>66</v>
      </c>
      <c r="D47" s="116"/>
      <c r="E47" s="116"/>
      <c r="F47" s="116"/>
      <c r="G47" s="117"/>
      <c r="H47" s="117" t="s">
        <v>67</v>
      </c>
      <c r="I47" s="71"/>
      <c r="J47" s="71"/>
      <c r="K47" s="71"/>
      <c r="L47" s="71"/>
      <c r="M47" s="71"/>
      <c r="N47" s="71"/>
      <c r="O47" s="71"/>
      <c r="P47" s="71"/>
      <c r="Q47" s="71"/>
      <c r="R47" s="71"/>
      <c r="S47" s="108"/>
      <c r="T47" s="108"/>
    </row>
    <row r="48" spans="2:20" s="174" customFormat="1" ht="30" customHeight="1">
      <c r="B48" s="111" t="s">
        <v>68</v>
      </c>
      <c r="C48" s="115" t="s">
        <v>69</v>
      </c>
      <c r="D48" s="116"/>
      <c r="E48" s="116"/>
      <c r="F48" s="116"/>
      <c r="G48" s="117"/>
      <c r="H48" s="117"/>
      <c r="I48" s="71" t="s">
        <v>70</v>
      </c>
      <c r="J48" s="71" t="s">
        <v>70</v>
      </c>
      <c r="K48" s="71" t="s">
        <v>70</v>
      </c>
      <c r="L48" s="71" t="s">
        <v>70</v>
      </c>
      <c r="M48" s="71" t="s">
        <v>70</v>
      </c>
      <c r="N48" s="71" t="s">
        <v>70</v>
      </c>
      <c r="O48" s="71" t="s">
        <v>70</v>
      </c>
      <c r="P48" s="71" t="s">
        <v>70</v>
      </c>
      <c r="Q48" s="71" t="s">
        <v>70</v>
      </c>
      <c r="R48" s="71" t="s">
        <v>70</v>
      </c>
      <c r="S48" s="108"/>
      <c r="T48" s="108"/>
    </row>
    <row r="49" spans="2:20" s="174" customFormat="1" ht="16.5" customHeight="1">
      <c r="B49" s="111" t="s">
        <v>71</v>
      </c>
      <c r="C49" s="115" t="s">
        <v>72</v>
      </c>
      <c r="D49" s="116"/>
      <c r="E49" s="116"/>
      <c r="F49" s="116"/>
      <c r="G49" s="117"/>
      <c r="H49" s="117"/>
      <c r="I49" s="71"/>
      <c r="J49" s="71"/>
      <c r="K49" s="71"/>
      <c r="L49" s="71"/>
      <c r="M49" s="71"/>
      <c r="N49" s="71"/>
      <c r="O49" s="71"/>
      <c r="P49" s="71"/>
      <c r="Q49" s="71"/>
      <c r="R49" s="71"/>
      <c r="S49" s="108"/>
      <c r="T49" s="108"/>
    </row>
    <row r="50" spans="2:20" s="174" customFormat="1" ht="16.5" customHeight="1">
      <c r="B50" s="111" t="s">
        <v>73</v>
      </c>
      <c r="C50" s="115" t="s">
        <v>74</v>
      </c>
      <c r="D50" s="116"/>
      <c r="E50" s="116"/>
      <c r="F50" s="116"/>
      <c r="G50" s="117"/>
      <c r="H50" s="117"/>
      <c r="I50" s="71"/>
      <c r="J50" s="71"/>
      <c r="K50" s="71"/>
      <c r="L50" s="71"/>
      <c r="M50" s="71"/>
      <c r="N50" s="71"/>
      <c r="O50" s="71"/>
      <c r="P50" s="71"/>
      <c r="Q50" s="71"/>
      <c r="R50" s="71"/>
      <c r="S50" s="108"/>
      <c r="T50" s="108"/>
    </row>
    <row r="51" spans="2:20" s="174" customFormat="1" ht="16.5" customHeight="1">
      <c r="B51" s="111" t="s">
        <v>75</v>
      </c>
      <c r="C51" s="115" t="s">
        <v>76</v>
      </c>
      <c r="D51" s="116"/>
      <c r="E51" s="116"/>
      <c r="F51" s="116"/>
      <c r="G51" s="117"/>
      <c r="H51" s="117"/>
      <c r="I51" s="71"/>
      <c r="J51" s="71"/>
      <c r="K51" s="71"/>
      <c r="L51" s="71"/>
      <c r="M51" s="71"/>
      <c r="N51" s="71"/>
      <c r="O51" s="71"/>
      <c r="P51" s="71"/>
      <c r="Q51" s="71"/>
      <c r="R51" s="71"/>
      <c r="S51" s="108"/>
      <c r="T51" s="108"/>
    </row>
    <row r="52" spans="2:20" s="174" customFormat="1" ht="16.5" customHeight="1">
      <c r="B52" s="111" t="s">
        <v>77</v>
      </c>
      <c r="C52" s="119" t="s">
        <v>78</v>
      </c>
      <c r="D52" s="116"/>
      <c r="E52" s="116"/>
      <c r="F52" s="116"/>
      <c r="G52" s="117"/>
      <c r="H52" s="117"/>
      <c r="I52" s="168">
        <f>IF(IF(I48=$I$238,I49,IF(I48=$I$239,I49*I50,IF(I48=$I$240,I49*I50*I51,1)))=0,"Fyll i 2.6-2.8",IF(I48=$I$238,I49,IF(I48=$I$239,I49*I50,IF(I48=$I$240,I49*I50*I51,1))))</f>
        <v>1</v>
      </c>
      <c r="J52" s="168">
        <f t="shared" ref="J52" si="2">IF(IF(J48=$I$238,J49,IF(J48=$I$239,J49*J50,IF(J48=$I$240,J49*J50*J51,1)))=0,"Fyll i 2.6-2.8",IF(J48=$I$238,J49,IF(J48=$I$239,J49*J50,IF(J48=$I$240,J49*J50*J51,1))))</f>
        <v>1</v>
      </c>
      <c r="K52" s="168">
        <f t="shared" ref="K52" si="3">IF(IF(K48=$I$238,K49,IF(K48=$I$239,K49*K50,IF(K48=$I$240,K49*K50*K51,1)))=0,"Fyll i 2.6-2.8",IF(K48=$I$238,K49,IF(K48=$I$239,K49*K50,IF(K48=$I$240,K49*K50*K51,1))))</f>
        <v>1</v>
      </c>
      <c r="L52" s="168">
        <f t="shared" ref="L52" si="4">IF(IF(L48=$I$238,L49,IF(L48=$I$239,L49*L50,IF(L48=$I$240,L49*L50*L51,1)))=0,"Fyll i 2.6-2.8",IF(L48=$I$238,L49,IF(L48=$I$239,L49*L50,IF(L48=$I$240,L49*L50*L51,1))))</f>
        <v>1</v>
      </c>
      <c r="M52" s="168">
        <f t="shared" ref="M52" si="5">IF(IF(M48=$I$238,M49,IF(M48=$I$239,M49*M50,IF(M48=$I$240,M49*M50*M51,1)))=0,"Fyll i 2.6-2.8",IF(M48=$I$238,M49,IF(M48=$I$239,M49*M50,IF(M48=$I$240,M49*M50*M51,1))))</f>
        <v>1</v>
      </c>
      <c r="N52" s="168">
        <f t="shared" ref="N52" si="6">IF(IF(N48=$I$238,N49,IF(N48=$I$239,N49*N50,IF(N48=$I$240,N49*N50*N51,1)))=0,"Fyll i 2.6-2.8",IF(N48=$I$238,N49,IF(N48=$I$239,N49*N50,IF(N48=$I$240,N49*N50*N51,1))))</f>
        <v>1</v>
      </c>
      <c r="O52" s="168">
        <f t="shared" ref="O52" si="7">IF(IF(O48=$I$238,O49,IF(O48=$I$239,O49*O50,IF(O48=$I$240,O49*O50*O51,1)))=0,"Fyll i 2.6-2.8",IF(O48=$I$238,O49,IF(O48=$I$239,O49*O50,IF(O48=$I$240,O49*O50*O51,1))))</f>
        <v>1</v>
      </c>
      <c r="P52" s="168">
        <f t="shared" ref="P52" si="8">IF(IF(P48=$I$238,P49,IF(P48=$I$239,P49*P50,IF(P48=$I$240,P49*P50*P51,1)))=0,"Fyll i 2.6-2.8",IF(P48=$I$238,P49,IF(P48=$I$239,P49*P50,IF(P48=$I$240,P49*P50*P51,1))))</f>
        <v>1</v>
      </c>
      <c r="Q52" s="168">
        <f t="shared" ref="Q52" si="9">IF(IF(Q48=$I$238,Q49,IF(Q48=$I$239,Q49*Q50,IF(Q48=$I$240,Q49*Q50*Q51,1)))=0,"Fyll i 2.6-2.8",IF(Q48=$I$238,Q49,IF(Q48=$I$239,Q49*Q50,IF(Q48=$I$240,Q49*Q50*Q51,1))))</f>
        <v>1</v>
      </c>
      <c r="R52" s="168">
        <f t="shared" ref="R52" si="10">IF(IF(R48=$I$238,R49,IF(R48=$I$239,R49*R50,IF(R48=$I$240,R49*R50*R51,1)))=0,"Fyll i 2.6-2.8",IF(R48=$I$238,R49,IF(R48=$I$239,R49*R50,IF(R48=$I$240,R49*R50*R51,1))))</f>
        <v>1</v>
      </c>
      <c r="S52" s="108"/>
      <c r="T52" s="108"/>
    </row>
    <row r="53" spans="2:20" s="174" customFormat="1" ht="16.5" customHeight="1">
      <c r="B53" s="111" t="s">
        <v>79</v>
      </c>
      <c r="C53" s="115" t="s">
        <v>80</v>
      </c>
      <c r="D53" s="116"/>
      <c r="E53" s="116"/>
      <c r="F53" s="116"/>
      <c r="G53" s="117"/>
      <c r="H53" s="117" t="s">
        <v>81</v>
      </c>
      <c r="I53" s="71"/>
      <c r="J53" s="71"/>
      <c r="K53" s="71"/>
      <c r="L53" s="71"/>
      <c r="M53" s="71"/>
      <c r="N53" s="71"/>
      <c r="O53" s="71"/>
      <c r="P53" s="71"/>
      <c r="Q53" s="71"/>
      <c r="R53" s="71"/>
      <c r="S53" s="108"/>
      <c r="T53" s="108"/>
    </row>
    <row r="54" spans="2:20" s="174" customFormat="1" ht="16.5" customHeight="1">
      <c r="B54" s="111"/>
      <c r="C54" s="118"/>
      <c r="D54" s="118"/>
      <c r="E54" s="118"/>
      <c r="F54" s="118"/>
      <c r="G54" s="118"/>
      <c r="H54" s="118"/>
      <c r="I54" s="179"/>
      <c r="J54" s="179"/>
      <c r="K54" s="179"/>
      <c r="L54" s="179"/>
      <c r="M54" s="179"/>
      <c r="N54" s="179"/>
      <c r="O54" s="179"/>
      <c r="P54" s="179"/>
      <c r="Q54" s="179"/>
      <c r="R54" s="179"/>
      <c r="S54" s="108"/>
      <c r="T54" s="108"/>
    </row>
    <row r="55" spans="2:20" s="174" customFormat="1" ht="16.5" customHeight="1">
      <c r="B55" s="111"/>
      <c r="C55" s="110" t="s">
        <v>190</v>
      </c>
      <c r="D55" s="118"/>
      <c r="E55" s="118"/>
      <c r="F55" s="118"/>
      <c r="G55" s="118"/>
      <c r="H55" s="118"/>
      <c r="I55" s="179"/>
      <c r="J55" s="179"/>
      <c r="K55" s="179"/>
      <c r="L55" s="179"/>
      <c r="M55" s="179"/>
      <c r="N55" s="179"/>
      <c r="O55" s="179"/>
      <c r="P55" s="179"/>
      <c r="Q55" s="179"/>
      <c r="R55" s="179"/>
      <c r="S55" s="108"/>
      <c r="T55" s="108"/>
    </row>
    <row r="56" spans="2:20" s="174" customFormat="1" ht="16.5" customHeight="1">
      <c r="B56" s="111" t="s">
        <v>58</v>
      </c>
      <c r="C56" s="115" t="s">
        <v>59</v>
      </c>
      <c r="D56" s="116"/>
      <c r="E56" s="116"/>
      <c r="F56" s="116"/>
      <c r="G56" s="117"/>
      <c r="H56" s="117" t="s">
        <v>54</v>
      </c>
      <c r="I56" s="71"/>
      <c r="J56" s="71"/>
      <c r="K56" s="71"/>
      <c r="L56" s="71"/>
      <c r="M56" s="71"/>
      <c r="N56" s="71"/>
      <c r="O56" s="71"/>
      <c r="P56" s="71"/>
      <c r="Q56" s="71"/>
      <c r="R56" s="71"/>
      <c r="S56" s="108"/>
      <c r="T56" s="108"/>
    </row>
    <row r="57" spans="2:20" s="174" customFormat="1" ht="16.5" customHeight="1">
      <c r="B57" s="111" t="s">
        <v>60</v>
      </c>
      <c r="C57" s="115" t="s">
        <v>61</v>
      </c>
      <c r="D57" s="116"/>
      <c r="E57" s="116"/>
      <c r="F57" s="116"/>
      <c r="G57" s="117"/>
      <c r="H57" s="117" t="s">
        <v>62</v>
      </c>
      <c r="I57" s="71"/>
      <c r="J57" s="71"/>
      <c r="K57" s="71"/>
      <c r="L57" s="71"/>
      <c r="M57" s="71"/>
      <c r="N57" s="71"/>
      <c r="O57" s="71"/>
      <c r="P57" s="71"/>
      <c r="Q57" s="71"/>
      <c r="R57" s="71"/>
      <c r="S57" s="108"/>
      <c r="T57" s="108"/>
    </row>
    <row r="58" spans="2:20" s="174" customFormat="1" ht="16.5" customHeight="1">
      <c r="B58" s="111" t="s">
        <v>63</v>
      </c>
      <c r="C58" s="115" t="s">
        <v>64</v>
      </c>
      <c r="D58" s="116"/>
      <c r="E58" s="116"/>
      <c r="F58" s="116"/>
      <c r="G58" s="117"/>
      <c r="H58" s="117" t="s">
        <v>62</v>
      </c>
      <c r="I58" s="71"/>
      <c r="J58" s="71"/>
      <c r="K58" s="71"/>
      <c r="L58" s="71"/>
      <c r="M58" s="71"/>
      <c r="N58" s="71"/>
      <c r="O58" s="71"/>
      <c r="P58" s="71"/>
      <c r="Q58" s="71"/>
      <c r="R58" s="71"/>
      <c r="S58" s="108"/>
      <c r="T58" s="108"/>
    </row>
    <row r="59" spans="2:20" s="174" customFormat="1" ht="16.5" customHeight="1">
      <c r="B59" s="111" t="s">
        <v>65</v>
      </c>
      <c r="C59" s="115" t="s">
        <v>66</v>
      </c>
      <c r="D59" s="116"/>
      <c r="E59" s="116"/>
      <c r="F59" s="116"/>
      <c r="G59" s="117"/>
      <c r="H59" s="117" t="s">
        <v>67</v>
      </c>
      <c r="I59" s="71"/>
      <c r="J59" s="71"/>
      <c r="K59" s="71"/>
      <c r="L59" s="71"/>
      <c r="M59" s="71"/>
      <c r="N59" s="71"/>
      <c r="O59" s="71"/>
      <c r="P59" s="71"/>
      <c r="Q59" s="71"/>
      <c r="R59" s="71"/>
      <c r="S59" s="108"/>
      <c r="T59" s="108"/>
    </row>
    <row r="60" spans="2:20" s="174" customFormat="1" ht="30" customHeight="1">
      <c r="B60" s="111" t="s">
        <v>68</v>
      </c>
      <c r="C60" s="115" t="s">
        <v>69</v>
      </c>
      <c r="D60" s="116"/>
      <c r="E60" s="116"/>
      <c r="F60" s="116"/>
      <c r="G60" s="117"/>
      <c r="H60" s="117"/>
      <c r="I60" s="71" t="s">
        <v>70</v>
      </c>
      <c r="J60" s="71" t="s">
        <v>70</v>
      </c>
      <c r="K60" s="71" t="s">
        <v>70</v>
      </c>
      <c r="L60" s="71" t="s">
        <v>70</v>
      </c>
      <c r="M60" s="71" t="s">
        <v>70</v>
      </c>
      <c r="N60" s="71" t="s">
        <v>70</v>
      </c>
      <c r="O60" s="71" t="s">
        <v>70</v>
      </c>
      <c r="P60" s="71" t="s">
        <v>70</v>
      </c>
      <c r="Q60" s="71" t="s">
        <v>70</v>
      </c>
      <c r="R60" s="71" t="s">
        <v>70</v>
      </c>
      <c r="S60" s="108"/>
      <c r="T60" s="108"/>
    </row>
    <row r="61" spans="2:20" s="174" customFormat="1" ht="16.5" customHeight="1">
      <c r="B61" s="111" t="s">
        <v>71</v>
      </c>
      <c r="C61" s="115" t="s">
        <v>72</v>
      </c>
      <c r="D61" s="116"/>
      <c r="E61" s="116"/>
      <c r="F61" s="116"/>
      <c r="G61" s="117"/>
      <c r="H61" s="117"/>
      <c r="I61" s="71"/>
      <c r="J61" s="71"/>
      <c r="K61" s="71"/>
      <c r="L61" s="71"/>
      <c r="M61" s="71"/>
      <c r="N61" s="71"/>
      <c r="O61" s="71"/>
      <c r="P61" s="71"/>
      <c r="Q61" s="71"/>
      <c r="R61" s="71"/>
      <c r="S61" s="108"/>
      <c r="T61" s="108"/>
    </row>
    <row r="62" spans="2:20" s="174" customFormat="1" ht="16.5" customHeight="1">
      <c r="B62" s="111" t="s">
        <v>73</v>
      </c>
      <c r="C62" s="115" t="s">
        <v>74</v>
      </c>
      <c r="D62" s="116"/>
      <c r="E62" s="116"/>
      <c r="F62" s="116"/>
      <c r="G62" s="117"/>
      <c r="H62" s="117"/>
      <c r="I62" s="71"/>
      <c r="J62" s="71"/>
      <c r="K62" s="71"/>
      <c r="L62" s="71"/>
      <c r="M62" s="71"/>
      <c r="N62" s="71"/>
      <c r="O62" s="71"/>
      <c r="P62" s="71"/>
      <c r="Q62" s="71"/>
      <c r="R62" s="71"/>
      <c r="S62" s="108"/>
      <c r="T62" s="108"/>
    </row>
    <row r="63" spans="2:20" s="174" customFormat="1" ht="16.5" customHeight="1">
      <c r="B63" s="111" t="s">
        <v>75</v>
      </c>
      <c r="C63" s="115" t="s">
        <v>76</v>
      </c>
      <c r="D63" s="116"/>
      <c r="E63" s="116"/>
      <c r="F63" s="116"/>
      <c r="G63" s="117"/>
      <c r="H63" s="117"/>
      <c r="I63" s="71"/>
      <c r="J63" s="71"/>
      <c r="K63" s="71"/>
      <c r="L63" s="71"/>
      <c r="M63" s="71"/>
      <c r="N63" s="71"/>
      <c r="O63" s="71"/>
      <c r="P63" s="71"/>
      <c r="Q63" s="71"/>
      <c r="R63" s="71"/>
      <c r="S63" s="108"/>
      <c r="T63" s="108"/>
    </row>
    <row r="64" spans="2:20" s="174" customFormat="1" ht="16.5" customHeight="1">
      <c r="B64" s="111" t="s">
        <v>77</v>
      </c>
      <c r="C64" s="119" t="s">
        <v>78</v>
      </c>
      <c r="D64" s="116"/>
      <c r="E64" s="116"/>
      <c r="F64" s="116"/>
      <c r="G64" s="117"/>
      <c r="H64" s="117"/>
      <c r="I64" s="168">
        <f>IF(IF(I60=$I$238,I61,IF(I60=$I$239,I61*I62,IF(I60=$I$240,I61*I62*I63,1)))=0,"Fyll i 2.6-2.8",IF(I60=$I$238,I61,IF(I60=$I$239,I61*I62,IF(I60=$I$240,I61*I62*I63,1))))</f>
        <v>1</v>
      </c>
      <c r="J64" s="168">
        <f t="shared" ref="J64" si="11">IF(IF(J60=$I$238,J61,IF(J60=$I$239,J61*J62,IF(J60=$I$240,J61*J62*J63,1)))=0,"Fyll i 2.6-2.8",IF(J60=$I$238,J61,IF(J60=$I$239,J61*J62,IF(J60=$I$240,J61*J62*J63,1))))</f>
        <v>1</v>
      </c>
      <c r="K64" s="168">
        <f t="shared" ref="K64" si="12">IF(IF(K60=$I$238,K61,IF(K60=$I$239,K61*K62,IF(K60=$I$240,K61*K62*K63,1)))=0,"Fyll i 2.6-2.8",IF(K60=$I$238,K61,IF(K60=$I$239,K61*K62,IF(K60=$I$240,K61*K62*K63,1))))</f>
        <v>1</v>
      </c>
      <c r="L64" s="168">
        <f t="shared" ref="L64" si="13">IF(IF(L60=$I$238,L61,IF(L60=$I$239,L61*L62,IF(L60=$I$240,L61*L62*L63,1)))=0,"Fyll i 2.6-2.8",IF(L60=$I$238,L61,IF(L60=$I$239,L61*L62,IF(L60=$I$240,L61*L62*L63,1))))</f>
        <v>1</v>
      </c>
      <c r="M64" s="168">
        <f t="shared" ref="M64" si="14">IF(IF(M60=$I$238,M61,IF(M60=$I$239,M61*M62,IF(M60=$I$240,M61*M62*M63,1)))=0,"Fyll i 2.6-2.8",IF(M60=$I$238,M61,IF(M60=$I$239,M61*M62,IF(M60=$I$240,M61*M62*M63,1))))</f>
        <v>1</v>
      </c>
      <c r="N64" s="168">
        <f t="shared" ref="N64" si="15">IF(IF(N60=$I$238,N61,IF(N60=$I$239,N61*N62,IF(N60=$I$240,N61*N62*N63,1)))=0,"Fyll i 2.6-2.8",IF(N60=$I$238,N61,IF(N60=$I$239,N61*N62,IF(N60=$I$240,N61*N62*N63,1))))</f>
        <v>1</v>
      </c>
      <c r="O64" s="168">
        <f t="shared" ref="O64" si="16">IF(IF(O60=$I$238,O61,IF(O60=$I$239,O61*O62,IF(O60=$I$240,O61*O62*O63,1)))=0,"Fyll i 2.6-2.8",IF(O60=$I$238,O61,IF(O60=$I$239,O61*O62,IF(O60=$I$240,O61*O62*O63,1))))</f>
        <v>1</v>
      </c>
      <c r="P64" s="168">
        <f t="shared" ref="P64" si="17">IF(IF(P60=$I$238,P61,IF(P60=$I$239,P61*P62,IF(P60=$I$240,P61*P62*P63,1)))=0,"Fyll i 2.6-2.8",IF(P60=$I$238,P61,IF(P60=$I$239,P61*P62,IF(P60=$I$240,P61*P62*P63,1))))</f>
        <v>1</v>
      </c>
      <c r="Q64" s="168">
        <f t="shared" ref="Q64" si="18">IF(IF(Q60=$I$238,Q61,IF(Q60=$I$239,Q61*Q62,IF(Q60=$I$240,Q61*Q62*Q63,1)))=0,"Fyll i 2.6-2.8",IF(Q60=$I$238,Q61,IF(Q60=$I$239,Q61*Q62,IF(Q60=$I$240,Q61*Q62*Q63,1))))</f>
        <v>1</v>
      </c>
      <c r="R64" s="168">
        <f t="shared" ref="R64" si="19">IF(IF(R60=$I$238,R61,IF(R60=$I$239,R61*R62,IF(R60=$I$240,R61*R62*R63,1)))=0,"Fyll i 2.6-2.8",IF(R60=$I$238,R61,IF(R60=$I$239,R61*R62,IF(R60=$I$240,R61*R62*R63,1))))</f>
        <v>1</v>
      </c>
      <c r="S64" s="108"/>
      <c r="T64" s="108"/>
    </row>
    <row r="65" spans="2:20" s="174" customFormat="1" ht="16.5" customHeight="1">
      <c r="B65" s="111" t="s">
        <v>79</v>
      </c>
      <c r="C65" s="115" t="s">
        <v>80</v>
      </c>
      <c r="D65" s="116"/>
      <c r="E65" s="116"/>
      <c r="F65" s="116"/>
      <c r="G65" s="117"/>
      <c r="H65" s="117" t="s">
        <v>81</v>
      </c>
      <c r="I65" s="71"/>
      <c r="J65" s="71"/>
      <c r="K65" s="71"/>
      <c r="L65" s="71"/>
      <c r="M65" s="71"/>
      <c r="N65" s="71"/>
      <c r="O65" s="71"/>
      <c r="P65" s="71"/>
      <c r="Q65" s="71"/>
      <c r="R65" s="71"/>
      <c r="S65" s="108"/>
      <c r="T65" s="108"/>
    </row>
    <row r="66" spans="2:20" s="174" customFormat="1" ht="16.5" customHeight="1">
      <c r="B66" s="111"/>
      <c r="C66" s="118"/>
      <c r="D66" s="118"/>
      <c r="E66" s="118"/>
      <c r="F66" s="118"/>
      <c r="G66" s="118"/>
      <c r="H66" s="118"/>
      <c r="I66" s="179"/>
      <c r="J66" s="179"/>
      <c r="K66" s="179"/>
      <c r="L66" s="179"/>
      <c r="M66" s="179"/>
      <c r="N66" s="179"/>
      <c r="O66" s="179"/>
      <c r="P66" s="179"/>
      <c r="Q66" s="179"/>
      <c r="R66" s="179"/>
      <c r="S66" s="108"/>
      <c r="T66" s="108"/>
    </row>
    <row r="67" spans="2:20" s="174" customFormat="1" ht="16.5" customHeight="1">
      <c r="B67" s="111"/>
      <c r="C67" s="110" t="s">
        <v>191</v>
      </c>
      <c r="D67" s="118"/>
      <c r="E67" s="118"/>
      <c r="F67" s="118"/>
      <c r="G67" s="118"/>
      <c r="H67" s="118"/>
      <c r="I67" s="179"/>
      <c r="J67" s="179"/>
      <c r="K67" s="179"/>
      <c r="L67" s="179"/>
      <c r="M67" s="179"/>
      <c r="N67" s="179"/>
      <c r="O67" s="179"/>
      <c r="P67" s="179"/>
      <c r="Q67" s="179"/>
      <c r="R67" s="179"/>
      <c r="S67" s="108"/>
      <c r="T67" s="108"/>
    </row>
    <row r="68" spans="2:20" s="174" customFormat="1" ht="16.5" customHeight="1">
      <c r="B68" s="111" t="s">
        <v>58</v>
      </c>
      <c r="C68" s="115" t="s">
        <v>59</v>
      </c>
      <c r="D68" s="116"/>
      <c r="E68" s="116"/>
      <c r="F68" s="116"/>
      <c r="G68" s="117"/>
      <c r="H68" s="117" t="s">
        <v>54</v>
      </c>
      <c r="I68" s="71"/>
      <c r="J68" s="71"/>
      <c r="K68" s="71"/>
      <c r="L68" s="71"/>
      <c r="M68" s="71"/>
      <c r="N68" s="71"/>
      <c r="O68" s="71"/>
      <c r="P68" s="71"/>
      <c r="Q68" s="71"/>
      <c r="R68" s="71"/>
      <c r="S68" s="108"/>
      <c r="T68" s="108"/>
    </row>
    <row r="69" spans="2:20" s="174" customFormat="1" ht="16.5" customHeight="1">
      <c r="B69" s="111" t="s">
        <v>60</v>
      </c>
      <c r="C69" s="115" t="s">
        <v>61</v>
      </c>
      <c r="D69" s="116"/>
      <c r="E69" s="116"/>
      <c r="F69" s="116"/>
      <c r="G69" s="117"/>
      <c r="H69" s="117" t="s">
        <v>62</v>
      </c>
      <c r="I69" s="71"/>
      <c r="J69" s="71"/>
      <c r="K69" s="71"/>
      <c r="L69" s="71"/>
      <c r="M69" s="71"/>
      <c r="N69" s="71"/>
      <c r="O69" s="71"/>
      <c r="P69" s="71"/>
      <c r="Q69" s="71"/>
      <c r="R69" s="71"/>
      <c r="S69" s="108"/>
      <c r="T69" s="108"/>
    </row>
    <row r="70" spans="2:20" s="174" customFormat="1" ht="16.5" customHeight="1">
      <c r="B70" s="111" t="s">
        <v>63</v>
      </c>
      <c r="C70" s="115" t="s">
        <v>64</v>
      </c>
      <c r="D70" s="116"/>
      <c r="E70" s="116"/>
      <c r="F70" s="116"/>
      <c r="G70" s="117"/>
      <c r="H70" s="117" t="s">
        <v>62</v>
      </c>
      <c r="I70" s="71"/>
      <c r="J70" s="71"/>
      <c r="K70" s="71"/>
      <c r="L70" s="71"/>
      <c r="M70" s="71"/>
      <c r="N70" s="71"/>
      <c r="O70" s="71"/>
      <c r="P70" s="71"/>
      <c r="Q70" s="71"/>
      <c r="R70" s="71"/>
      <c r="S70" s="108"/>
      <c r="T70" s="108"/>
    </row>
    <row r="71" spans="2:20" s="174" customFormat="1" ht="16.5" customHeight="1">
      <c r="B71" s="111" t="s">
        <v>65</v>
      </c>
      <c r="C71" s="115" t="s">
        <v>66</v>
      </c>
      <c r="D71" s="116"/>
      <c r="E71" s="116"/>
      <c r="F71" s="116"/>
      <c r="G71" s="117"/>
      <c r="H71" s="117" t="s">
        <v>67</v>
      </c>
      <c r="I71" s="71"/>
      <c r="J71" s="71"/>
      <c r="K71" s="71"/>
      <c r="L71" s="71"/>
      <c r="M71" s="71"/>
      <c r="N71" s="71"/>
      <c r="O71" s="71"/>
      <c r="P71" s="71"/>
      <c r="Q71" s="71"/>
      <c r="R71" s="71"/>
      <c r="S71" s="108"/>
      <c r="T71" s="108"/>
    </row>
    <row r="72" spans="2:20" s="174" customFormat="1" ht="30" customHeight="1">
      <c r="B72" s="111" t="s">
        <v>68</v>
      </c>
      <c r="C72" s="115" t="s">
        <v>69</v>
      </c>
      <c r="D72" s="116"/>
      <c r="E72" s="116"/>
      <c r="F72" s="116"/>
      <c r="G72" s="117"/>
      <c r="H72" s="117"/>
      <c r="I72" s="71" t="s">
        <v>70</v>
      </c>
      <c r="J72" s="71" t="s">
        <v>70</v>
      </c>
      <c r="K72" s="71" t="s">
        <v>70</v>
      </c>
      <c r="L72" s="71" t="s">
        <v>70</v>
      </c>
      <c r="M72" s="71" t="s">
        <v>70</v>
      </c>
      <c r="N72" s="71" t="s">
        <v>70</v>
      </c>
      <c r="O72" s="71" t="s">
        <v>70</v>
      </c>
      <c r="P72" s="71" t="s">
        <v>70</v>
      </c>
      <c r="Q72" s="71" t="s">
        <v>70</v>
      </c>
      <c r="R72" s="71" t="s">
        <v>70</v>
      </c>
      <c r="S72" s="108"/>
      <c r="T72" s="108"/>
    </row>
    <row r="73" spans="2:20" s="174" customFormat="1" ht="16.5" customHeight="1">
      <c r="B73" s="111" t="s">
        <v>71</v>
      </c>
      <c r="C73" s="115" t="s">
        <v>72</v>
      </c>
      <c r="D73" s="116"/>
      <c r="E73" s="116"/>
      <c r="F73" s="116"/>
      <c r="G73" s="117"/>
      <c r="H73" s="117"/>
      <c r="I73" s="71"/>
      <c r="J73" s="71"/>
      <c r="K73" s="71"/>
      <c r="L73" s="71"/>
      <c r="M73" s="71"/>
      <c r="N73" s="71"/>
      <c r="O73" s="71"/>
      <c r="P73" s="71"/>
      <c r="Q73" s="71"/>
      <c r="R73" s="71"/>
      <c r="S73" s="108"/>
      <c r="T73" s="108"/>
    </row>
    <row r="74" spans="2:20" s="174" customFormat="1" ht="16.5" customHeight="1">
      <c r="B74" s="111" t="s">
        <v>73</v>
      </c>
      <c r="C74" s="115" t="s">
        <v>74</v>
      </c>
      <c r="D74" s="116"/>
      <c r="E74" s="116"/>
      <c r="F74" s="116"/>
      <c r="G74" s="117"/>
      <c r="H74" s="117"/>
      <c r="I74" s="71"/>
      <c r="J74" s="71"/>
      <c r="K74" s="71"/>
      <c r="L74" s="71"/>
      <c r="M74" s="71"/>
      <c r="N74" s="71"/>
      <c r="O74" s="71"/>
      <c r="P74" s="71"/>
      <c r="Q74" s="71"/>
      <c r="R74" s="71"/>
      <c r="S74" s="108"/>
      <c r="T74" s="108"/>
    </row>
    <row r="75" spans="2:20" s="174" customFormat="1" ht="16.5" customHeight="1">
      <c r="B75" s="111" t="s">
        <v>75</v>
      </c>
      <c r="C75" s="115" t="s">
        <v>76</v>
      </c>
      <c r="D75" s="116"/>
      <c r="E75" s="116"/>
      <c r="F75" s="116"/>
      <c r="G75" s="117"/>
      <c r="H75" s="117"/>
      <c r="I75" s="71"/>
      <c r="J75" s="71"/>
      <c r="K75" s="71"/>
      <c r="L75" s="71"/>
      <c r="M75" s="71"/>
      <c r="N75" s="71"/>
      <c r="O75" s="71"/>
      <c r="P75" s="71"/>
      <c r="Q75" s="71"/>
      <c r="R75" s="71"/>
      <c r="S75" s="108"/>
      <c r="T75" s="108"/>
    </row>
    <row r="76" spans="2:20" s="174" customFormat="1" ht="16.5" customHeight="1">
      <c r="B76" s="111" t="s">
        <v>77</v>
      </c>
      <c r="C76" s="119" t="s">
        <v>78</v>
      </c>
      <c r="D76" s="116"/>
      <c r="E76" s="116"/>
      <c r="F76" s="116"/>
      <c r="G76" s="117"/>
      <c r="H76" s="117"/>
      <c r="I76" s="168">
        <f>IF(IF(I72=$I$238,I73,IF(I72=$I$239,I73*I74,IF(I72=$I$240,I73*I74*I75,1)))=0,"Fyll i 2.6-2.8",IF(I72=$I$238,I73,IF(I72=$I$239,I73*I74,IF(I72=$I$240,I73*I74*I75,1))))</f>
        <v>1</v>
      </c>
      <c r="J76" s="168">
        <f t="shared" ref="J76" si="20">IF(IF(J72=$I$238,J73,IF(J72=$I$239,J73*J74,IF(J72=$I$240,J73*J74*J75,1)))=0,"Fyll i 2.6-2.8",IF(J72=$I$238,J73,IF(J72=$I$239,J73*J74,IF(J72=$I$240,J73*J74*J75,1))))</f>
        <v>1</v>
      </c>
      <c r="K76" s="168">
        <f t="shared" ref="K76" si="21">IF(IF(K72=$I$238,K73,IF(K72=$I$239,K73*K74,IF(K72=$I$240,K73*K74*K75,1)))=0,"Fyll i 2.6-2.8",IF(K72=$I$238,K73,IF(K72=$I$239,K73*K74,IF(K72=$I$240,K73*K74*K75,1))))</f>
        <v>1</v>
      </c>
      <c r="L76" s="168">
        <f t="shared" ref="L76" si="22">IF(IF(L72=$I$238,L73,IF(L72=$I$239,L73*L74,IF(L72=$I$240,L73*L74*L75,1)))=0,"Fyll i 2.6-2.8",IF(L72=$I$238,L73,IF(L72=$I$239,L73*L74,IF(L72=$I$240,L73*L74*L75,1))))</f>
        <v>1</v>
      </c>
      <c r="M76" s="168">
        <f t="shared" ref="M76" si="23">IF(IF(M72=$I$238,M73,IF(M72=$I$239,M73*M74,IF(M72=$I$240,M73*M74*M75,1)))=0,"Fyll i 2.6-2.8",IF(M72=$I$238,M73,IF(M72=$I$239,M73*M74,IF(M72=$I$240,M73*M74*M75,1))))</f>
        <v>1</v>
      </c>
      <c r="N76" s="168">
        <f t="shared" ref="N76" si="24">IF(IF(N72=$I$238,N73,IF(N72=$I$239,N73*N74,IF(N72=$I$240,N73*N74*N75,1)))=0,"Fyll i 2.6-2.8",IF(N72=$I$238,N73,IF(N72=$I$239,N73*N74,IF(N72=$I$240,N73*N74*N75,1))))</f>
        <v>1</v>
      </c>
      <c r="O76" s="168">
        <f t="shared" ref="O76" si="25">IF(IF(O72=$I$238,O73,IF(O72=$I$239,O73*O74,IF(O72=$I$240,O73*O74*O75,1)))=0,"Fyll i 2.6-2.8",IF(O72=$I$238,O73,IF(O72=$I$239,O73*O74,IF(O72=$I$240,O73*O74*O75,1))))</f>
        <v>1</v>
      </c>
      <c r="P76" s="168">
        <f t="shared" ref="P76" si="26">IF(IF(P72=$I$238,P73,IF(P72=$I$239,P73*P74,IF(P72=$I$240,P73*P74*P75,1)))=0,"Fyll i 2.6-2.8",IF(P72=$I$238,P73,IF(P72=$I$239,P73*P74,IF(P72=$I$240,P73*P74*P75,1))))</f>
        <v>1</v>
      </c>
      <c r="Q76" s="168">
        <f t="shared" ref="Q76" si="27">IF(IF(Q72=$I$238,Q73,IF(Q72=$I$239,Q73*Q74,IF(Q72=$I$240,Q73*Q74*Q75,1)))=0,"Fyll i 2.6-2.8",IF(Q72=$I$238,Q73,IF(Q72=$I$239,Q73*Q74,IF(Q72=$I$240,Q73*Q74*Q75,1))))</f>
        <v>1</v>
      </c>
      <c r="R76" s="168">
        <f t="shared" ref="R76" si="28">IF(IF(R72=$I$238,R73,IF(R72=$I$239,R73*R74,IF(R72=$I$240,R73*R74*R75,1)))=0,"Fyll i 2.6-2.8",IF(R72=$I$238,R73,IF(R72=$I$239,R73*R74,IF(R72=$I$240,R73*R74*R75,1))))</f>
        <v>1</v>
      </c>
      <c r="S76" s="108"/>
      <c r="T76" s="108"/>
    </row>
    <row r="77" spans="2:20" s="174" customFormat="1" ht="16.5" customHeight="1">
      <c r="B77" s="111" t="s">
        <v>79</v>
      </c>
      <c r="C77" s="115" t="s">
        <v>80</v>
      </c>
      <c r="D77" s="116"/>
      <c r="E77" s="116"/>
      <c r="F77" s="116"/>
      <c r="G77" s="117"/>
      <c r="H77" s="117" t="s">
        <v>81</v>
      </c>
      <c r="I77" s="71"/>
      <c r="J77" s="71"/>
      <c r="K77" s="71"/>
      <c r="L77" s="71"/>
      <c r="M77" s="71"/>
      <c r="N77" s="71"/>
      <c r="O77" s="71"/>
      <c r="P77" s="71"/>
      <c r="Q77" s="71"/>
      <c r="R77" s="71"/>
      <c r="S77" s="108"/>
      <c r="T77" s="108"/>
    </row>
    <row r="78" spans="2:20" s="174" customFormat="1" ht="16.5" customHeight="1">
      <c r="B78" s="111"/>
      <c r="C78" s="118"/>
      <c r="D78" s="118"/>
      <c r="E78" s="118"/>
      <c r="F78" s="118"/>
      <c r="G78" s="118"/>
      <c r="H78" s="118"/>
      <c r="I78" s="179"/>
      <c r="J78" s="179"/>
      <c r="K78" s="179"/>
      <c r="L78" s="179"/>
      <c r="M78" s="179"/>
      <c r="N78" s="179"/>
      <c r="O78" s="179"/>
      <c r="P78" s="179"/>
      <c r="Q78" s="179"/>
      <c r="R78" s="179"/>
      <c r="S78" s="108"/>
      <c r="T78" s="108"/>
    </row>
    <row r="79" spans="2:20" s="174" customFormat="1" ht="16.5" customHeight="1">
      <c r="B79" s="111"/>
      <c r="C79" s="110" t="s">
        <v>192</v>
      </c>
      <c r="D79" s="118"/>
      <c r="E79" s="118"/>
      <c r="F79" s="118"/>
      <c r="G79" s="118"/>
      <c r="H79" s="118"/>
      <c r="I79" s="179"/>
      <c r="J79" s="179"/>
      <c r="K79" s="179"/>
      <c r="L79" s="179"/>
      <c r="M79" s="179"/>
      <c r="N79" s="179"/>
      <c r="O79" s="179"/>
      <c r="P79" s="179"/>
      <c r="Q79" s="179"/>
      <c r="R79" s="179"/>
      <c r="S79" s="108"/>
      <c r="T79" s="108"/>
    </row>
    <row r="80" spans="2:20" s="174" customFormat="1" ht="16.5" customHeight="1">
      <c r="B80" s="111" t="s">
        <v>58</v>
      </c>
      <c r="C80" s="115" t="s">
        <v>59</v>
      </c>
      <c r="D80" s="116"/>
      <c r="E80" s="116"/>
      <c r="F80" s="116"/>
      <c r="G80" s="117"/>
      <c r="H80" s="117" t="s">
        <v>54</v>
      </c>
      <c r="I80" s="71"/>
      <c r="J80" s="71"/>
      <c r="K80" s="71"/>
      <c r="L80" s="71"/>
      <c r="M80" s="71"/>
      <c r="N80" s="71"/>
      <c r="O80" s="71"/>
      <c r="P80" s="71"/>
      <c r="Q80" s="71"/>
      <c r="R80" s="71"/>
      <c r="S80" s="108"/>
      <c r="T80" s="108"/>
    </row>
    <row r="81" spans="2:20" s="174" customFormat="1" ht="16.5" customHeight="1">
      <c r="B81" s="111" t="s">
        <v>60</v>
      </c>
      <c r="C81" s="115" t="s">
        <v>61</v>
      </c>
      <c r="D81" s="116"/>
      <c r="E81" s="116"/>
      <c r="F81" s="116"/>
      <c r="G81" s="117"/>
      <c r="H81" s="117" t="s">
        <v>62</v>
      </c>
      <c r="I81" s="71"/>
      <c r="J81" s="71"/>
      <c r="K81" s="71"/>
      <c r="L81" s="71"/>
      <c r="M81" s="71"/>
      <c r="N81" s="71"/>
      <c r="O81" s="71"/>
      <c r="P81" s="71"/>
      <c r="Q81" s="71"/>
      <c r="R81" s="71"/>
      <c r="S81" s="108"/>
      <c r="T81" s="108"/>
    </row>
    <row r="82" spans="2:20" s="174" customFormat="1" ht="16.5" customHeight="1">
      <c r="B82" s="111" t="s">
        <v>63</v>
      </c>
      <c r="C82" s="115" t="s">
        <v>64</v>
      </c>
      <c r="D82" s="116"/>
      <c r="E82" s="116"/>
      <c r="F82" s="116"/>
      <c r="G82" s="117"/>
      <c r="H82" s="117" t="s">
        <v>62</v>
      </c>
      <c r="I82" s="71"/>
      <c r="J82" s="71"/>
      <c r="K82" s="71"/>
      <c r="L82" s="71"/>
      <c r="M82" s="71"/>
      <c r="N82" s="71"/>
      <c r="O82" s="71"/>
      <c r="P82" s="71"/>
      <c r="Q82" s="71"/>
      <c r="R82" s="71"/>
      <c r="S82" s="108"/>
      <c r="T82" s="108"/>
    </row>
    <row r="83" spans="2:20" s="174" customFormat="1" ht="16.5" customHeight="1">
      <c r="B83" s="111" t="s">
        <v>65</v>
      </c>
      <c r="C83" s="115" t="s">
        <v>66</v>
      </c>
      <c r="D83" s="116"/>
      <c r="E83" s="116"/>
      <c r="F83" s="116"/>
      <c r="G83" s="117"/>
      <c r="H83" s="117" t="s">
        <v>67</v>
      </c>
      <c r="I83" s="71"/>
      <c r="J83" s="71"/>
      <c r="K83" s="71"/>
      <c r="L83" s="71"/>
      <c r="M83" s="71"/>
      <c r="N83" s="71"/>
      <c r="O83" s="71"/>
      <c r="P83" s="71"/>
      <c r="Q83" s="71"/>
      <c r="R83" s="71"/>
      <c r="S83" s="108"/>
      <c r="T83" s="108"/>
    </row>
    <row r="84" spans="2:20" s="180" customFormat="1" ht="30" customHeight="1">
      <c r="B84" s="120" t="s">
        <v>68</v>
      </c>
      <c r="C84" s="115" t="s">
        <v>69</v>
      </c>
      <c r="D84" s="121"/>
      <c r="E84" s="121"/>
      <c r="F84" s="121"/>
      <c r="G84" s="122"/>
      <c r="H84" s="122"/>
      <c r="I84" s="71" t="s">
        <v>70</v>
      </c>
      <c r="J84" s="71" t="s">
        <v>70</v>
      </c>
      <c r="K84" s="71" t="s">
        <v>70</v>
      </c>
      <c r="L84" s="71" t="s">
        <v>70</v>
      </c>
      <c r="M84" s="71" t="s">
        <v>70</v>
      </c>
      <c r="N84" s="71" t="s">
        <v>70</v>
      </c>
      <c r="O84" s="71" t="s">
        <v>70</v>
      </c>
      <c r="P84" s="71" t="s">
        <v>70</v>
      </c>
      <c r="Q84" s="71" t="s">
        <v>70</v>
      </c>
      <c r="R84" s="71" t="s">
        <v>70</v>
      </c>
      <c r="S84" s="108"/>
      <c r="T84" s="108"/>
    </row>
    <row r="85" spans="2:20" s="174" customFormat="1" ht="16.5" customHeight="1">
      <c r="B85" s="111" t="s">
        <v>71</v>
      </c>
      <c r="C85" s="115" t="s">
        <v>72</v>
      </c>
      <c r="D85" s="116"/>
      <c r="E85" s="116"/>
      <c r="F85" s="116"/>
      <c r="G85" s="117"/>
      <c r="H85" s="117"/>
      <c r="I85" s="71"/>
      <c r="J85" s="71"/>
      <c r="K85" s="71"/>
      <c r="L85" s="71"/>
      <c r="M85" s="71"/>
      <c r="N85" s="71"/>
      <c r="O85" s="71"/>
      <c r="P85" s="71"/>
      <c r="Q85" s="71"/>
      <c r="R85" s="71"/>
      <c r="S85" s="108"/>
      <c r="T85" s="108"/>
    </row>
    <row r="86" spans="2:20" s="174" customFormat="1" ht="16.5" customHeight="1">
      <c r="B86" s="111" t="s">
        <v>73</v>
      </c>
      <c r="C86" s="115" t="s">
        <v>74</v>
      </c>
      <c r="D86" s="116"/>
      <c r="E86" s="116"/>
      <c r="F86" s="116"/>
      <c r="G86" s="117"/>
      <c r="H86" s="117"/>
      <c r="I86" s="71"/>
      <c r="J86" s="71"/>
      <c r="K86" s="71"/>
      <c r="L86" s="71"/>
      <c r="M86" s="71"/>
      <c r="N86" s="71"/>
      <c r="O86" s="71"/>
      <c r="P86" s="71"/>
      <c r="Q86" s="71"/>
      <c r="R86" s="71"/>
      <c r="S86" s="108"/>
      <c r="T86" s="108"/>
    </row>
    <row r="87" spans="2:20" s="174" customFormat="1" ht="16.5" customHeight="1">
      <c r="B87" s="111" t="s">
        <v>75</v>
      </c>
      <c r="C87" s="115" t="s">
        <v>76</v>
      </c>
      <c r="D87" s="116"/>
      <c r="E87" s="116"/>
      <c r="F87" s="116"/>
      <c r="G87" s="117"/>
      <c r="H87" s="117"/>
      <c r="I87" s="71"/>
      <c r="J87" s="71"/>
      <c r="K87" s="71"/>
      <c r="L87" s="71"/>
      <c r="M87" s="71"/>
      <c r="N87" s="71"/>
      <c r="O87" s="71"/>
      <c r="P87" s="71"/>
      <c r="Q87" s="71"/>
      <c r="R87" s="71"/>
      <c r="S87" s="108"/>
      <c r="T87" s="108"/>
    </row>
    <row r="88" spans="2:20" s="174" customFormat="1" ht="16.5" customHeight="1">
      <c r="B88" s="111" t="s">
        <v>77</v>
      </c>
      <c r="C88" s="119" t="s">
        <v>78</v>
      </c>
      <c r="D88" s="116"/>
      <c r="E88" s="116"/>
      <c r="F88" s="116"/>
      <c r="G88" s="117"/>
      <c r="H88" s="117"/>
      <c r="I88" s="168">
        <f>IF(IF(I84=$I$238,I85,IF(I84=$I$239,I85*I86,IF(I84=$I$240,I85*I86*I87,1)))=0,"Fyll i 2.6-2.8",IF(I84=$I$238,I85,IF(I84=$I$239,I85*I86,IF(I84=$I$240,I85*I86*I87,1))))</f>
        <v>1</v>
      </c>
      <c r="J88" s="168">
        <f t="shared" ref="J88" si="29">IF(IF(J84=$I$238,J85,IF(J84=$I$239,J85*J86,IF(J84=$I$240,J85*J86*J87,1)))=0,"Fyll i 2.6-2.8",IF(J84=$I$238,J85,IF(J84=$I$239,J85*J86,IF(J84=$I$240,J85*J86*J87,1))))</f>
        <v>1</v>
      </c>
      <c r="K88" s="168">
        <f t="shared" ref="K88" si="30">IF(IF(K84=$I$238,K85,IF(K84=$I$239,K85*K86,IF(K84=$I$240,K85*K86*K87,1)))=0,"Fyll i 2.6-2.8",IF(K84=$I$238,K85,IF(K84=$I$239,K85*K86,IF(K84=$I$240,K85*K86*K87,1))))</f>
        <v>1</v>
      </c>
      <c r="L88" s="168">
        <f t="shared" ref="L88" si="31">IF(IF(L84=$I$238,L85,IF(L84=$I$239,L85*L86,IF(L84=$I$240,L85*L86*L87,1)))=0,"Fyll i 2.6-2.8",IF(L84=$I$238,L85,IF(L84=$I$239,L85*L86,IF(L84=$I$240,L85*L86*L87,1))))</f>
        <v>1</v>
      </c>
      <c r="M88" s="168">
        <f t="shared" ref="M88" si="32">IF(IF(M84=$I$238,M85,IF(M84=$I$239,M85*M86,IF(M84=$I$240,M85*M86*M87,1)))=0,"Fyll i 2.6-2.8",IF(M84=$I$238,M85,IF(M84=$I$239,M85*M86,IF(M84=$I$240,M85*M86*M87,1))))</f>
        <v>1</v>
      </c>
      <c r="N88" s="168">
        <f t="shared" ref="N88" si="33">IF(IF(N84=$I$238,N85,IF(N84=$I$239,N85*N86,IF(N84=$I$240,N85*N86*N87,1)))=0,"Fyll i 2.6-2.8",IF(N84=$I$238,N85,IF(N84=$I$239,N85*N86,IF(N84=$I$240,N85*N86*N87,1))))</f>
        <v>1</v>
      </c>
      <c r="O88" s="168">
        <f t="shared" ref="O88" si="34">IF(IF(O84=$I$238,O85,IF(O84=$I$239,O85*O86,IF(O84=$I$240,O85*O86*O87,1)))=0,"Fyll i 2.6-2.8",IF(O84=$I$238,O85,IF(O84=$I$239,O85*O86,IF(O84=$I$240,O85*O86*O87,1))))</f>
        <v>1</v>
      </c>
      <c r="P88" s="168">
        <f t="shared" ref="P88" si="35">IF(IF(P84=$I$238,P85,IF(P84=$I$239,P85*P86,IF(P84=$I$240,P85*P86*P87,1)))=0,"Fyll i 2.6-2.8",IF(P84=$I$238,P85,IF(P84=$I$239,P85*P86,IF(P84=$I$240,P85*P86*P87,1))))</f>
        <v>1</v>
      </c>
      <c r="Q88" s="168">
        <f t="shared" ref="Q88" si="36">IF(IF(Q84=$I$238,Q85,IF(Q84=$I$239,Q85*Q86,IF(Q84=$I$240,Q85*Q86*Q87,1)))=0,"Fyll i 2.6-2.8",IF(Q84=$I$238,Q85,IF(Q84=$I$239,Q85*Q86,IF(Q84=$I$240,Q85*Q86*Q87,1))))</f>
        <v>1</v>
      </c>
      <c r="R88" s="168">
        <f t="shared" ref="R88" si="37">IF(IF(R84=$I$238,R85,IF(R84=$I$239,R85*R86,IF(R84=$I$240,R85*R86*R87,1)))=0,"Fyll i 2.6-2.8",IF(R84=$I$238,R85,IF(R84=$I$239,R85*R86,IF(R84=$I$240,R85*R86*R87,1))))</f>
        <v>1</v>
      </c>
      <c r="S88" s="108"/>
      <c r="T88" s="108"/>
    </row>
    <row r="89" spans="2:20" s="174" customFormat="1" ht="16.5" customHeight="1">
      <c r="B89" s="111" t="s">
        <v>79</v>
      </c>
      <c r="C89" s="115" t="s">
        <v>80</v>
      </c>
      <c r="D89" s="116"/>
      <c r="E89" s="116"/>
      <c r="F89" s="116"/>
      <c r="G89" s="117"/>
      <c r="H89" s="117" t="s">
        <v>81</v>
      </c>
      <c r="I89" s="71"/>
      <c r="J89" s="71"/>
      <c r="K89" s="71"/>
      <c r="L89" s="71"/>
      <c r="M89" s="71"/>
      <c r="N89" s="71"/>
      <c r="O89" s="71"/>
      <c r="P89" s="71"/>
      <c r="Q89" s="71"/>
      <c r="R89" s="71"/>
      <c r="S89" s="108"/>
      <c r="T89" s="108"/>
    </row>
    <row r="90" spans="2:20" s="174" customFormat="1" ht="16.5" customHeight="1">
      <c r="B90" s="111"/>
      <c r="C90" s="118"/>
      <c r="D90" s="118"/>
      <c r="E90" s="118"/>
      <c r="F90" s="118"/>
      <c r="G90" s="118"/>
      <c r="H90" s="118"/>
      <c r="I90" s="179"/>
      <c r="J90" s="179"/>
      <c r="K90" s="179"/>
      <c r="L90" s="179"/>
      <c r="M90" s="179"/>
      <c r="N90" s="179"/>
      <c r="O90" s="179"/>
      <c r="P90" s="179"/>
      <c r="Q90" s="179"/>
      <c r="R90" s="179"/>
      <c r="S90" s="108"/>
      <c r="T90" s="108"/>
    </row>
    <row r="91" spans="2:20" s="174" customFormat="1" ht="16.5" customHeight="1">
      <c r="B91" s="111"/>
      <c r="C91" s="110" t="s">
        <v>193</v>
      </c>
      <c r="D91" s="118"/>
      <c r="E91" s="118"/>
      <c r="F91" s="118"/>
      <c r="G91" s="118"/>
      <c r="H91" s="118"/>
      <c r="I91" s="179"/>
      <c r="J91" s="179"/>
      <c r="K91" s="179"/>
      <c r="L91" s="179"/>
      <c r="M91" s="179"/>
      <c r="N91" s="179"/>
      <c r="O91" s="179"/>
      <c r="P91" s="179"/>
      <c r="Q91" s="179"/>
      <c r="R91" s="179"/>
      <c r="S91" s="108"/>
      <c r="T91" s="108"/>
    </row>
    <row r="92" spans="2:20" s="174" customFormat="1" ht="16.5" customHeight="1">
      <c r="B92" s="111" t="s">
        <v>58</v>
      </c>
      <c r="C92" s="115" t="s">
        <v>59</v>
      </c>
      <c r="D92" s="116"/>
      <c r="E92" s="116"/>
      <c r="F92" s="116"/>
      <c r="G92" s="117"/>
      <c r="H92" s="117" t="s">
        <v>54</v>
      </c>
      <c r="I92" s="71"/>
      <c r="J92" s="71"/>
      <c r="K92" s="71"/>
      <c r="L92" s="71"/>
      <c r="M92" s="71"/>
      <c r="N92" s="71"/>
      <c r="O92" s="71"/>
      <c r="P92" s="71"/>
      <c r="Q92" s="71"/>
      <c r="R92" s="71"/>
      <c r="S92" s="108"/>
      <c r="T92" s="108"/>
    </row>
    <row r="93" spans="2:20" s="174" customFormat="1" ht="16.5" customHeight="1">
      <c r="B93" s="111" t="s">
        <v>60</v>
      </c>
      <c r="C93" s="115" t="s">
        <v>61</v>
      </c>
      <c r="D93" s="116"/>
      <c r="E93" s="116"/>
      <c r="F93" s="116"/>
      <c r="G93" s="117"/>
      <c r="H93" s="117" t="s">
        <v>62</v>
      </c>
      <c r="I93" s="71"/>
      <c r="J93" s="71"/>
      <c r="K93" s="71"/>
      <c r="L93" s="71"/>
      <c r="M93" s="71"/>
      <c r="N93" s="71"/>
      <c r="O93" s="71"/>
      <c r="P93" s="71"/>
      <c r="Q93" s="71"/>
      <c r="R93" s="71"/>
      <c r="S93" s="108"/>
      <c r="T93" s="108"/>
    </row>
    <row r="94" spans="2:20" s="174" customFormat="1" ht="16.5" customHeight="1">
      <c r="B94" s="111" t="s">
        <v>63</v>
      </c>
      <c r="C94" s="115" t="s">
        <v>64</v>
      </c>
      <c r="D94" s="116"/>
      <c r="E94" s="116"/>
      <c r="F94" s="116"/>
      <c r="G94" s="117"/>
      <c r="H94" s="117" t="s">
        <v>62</v>
      </c>
      <c r="I94" s="71"/>
      <c r="J94" s="71"/>
      <c r="K94" s="71"/>
      <c r="L94" s="71"/>
      <c r="M94" s="71"/>
      <c r="N94" s="71"/>
      <c r="O94" s="71"/>
      <c r="P94" s="71"/>
      <c r="Q94" s="71"/>
      <c r="R94" s="71"/>
      <c r="S94" s="108"/>
      <c r="T94" s="108"/>
    </row>
    <row r="95" spans="2:20" s="174" customFormat="1" ht="16.5" customHeight="1">
      <c r="B95" s="111" t="s">
        <v>65</v>
      </c>
      <c r="C95" s="115" t="s">
        <v>66</v>
      </c>
      <c r="D95" s="116"/>
      <c r="E95" s="116"/>
      <c r="F95" s="116"/>
      <c r="G95" s="117"/>
      <c r="H95" s="117" t="s">
        <v>67</v>
      </c>
      <c r="I95" s="71"/>
      <c r="J95" s="71"/>
      <c r="K95" s="71"/>
      <c r="L95" s="71"/>
      <c r="M95" s="71"/>
      <c r="N95" s="71"/>
      <c r="O95" s="71"/>
      <c r="P95" s="71"/>
      <c r="Q95" s="71"/>
      <c r="R95" s="71"/>
      <c r="S95" s="108"/>
      <c r="T95" s="108"/>
    </row>
    <row r="96" spans="2:20" s="180" customFormat="1" ht="30" customHeight="1">
      <c r="B96" s="120" t="s">
        <v>68</v>
      </c>
      <c r="C96" s="115" t="s">
        <v>69</v>
      </c>
      <c r="D96" s="121"/>
      <c r="E96" s="121"/>
      <c r="F96" s="121"/>
      <c r="G96" s="122"/>
      <c r="H96" s="122"/>
      <c r="I96" s="71" t="s">
        <v>70</v>
      </c>
      <c r="J96" s="71" t="s">
        <v>70</v>
      </c>
      <c r="K96" s="71" t="s">
        <v>70</v>
      </c>
      <c r="L96" s="71" t="s">
        <v>70</v>
      </c>
      <c r="M96" s="71" t="s">
        <v>70</v>
      </c>
      <c r="N96" s="71" t="s">
        <v>70</v>
      </c>
      <c r="O96" s="71" t="s">
        <v>70</v>
      </c>
      <c r="P96" s="71" t="s">
        <v>70</v>
      </c>
      <c r="Q96" s="71" t="s">
        <v>70</v>
      </c>
      <c r="R96" s="71" t="s">
        <v>70</v>
      </c>
      <c r="S96" s="108"/>
      <c r="T96" s="108"/>
    </row>
    <row r="97" spans="2:20" s="174" customFormat="1" ht="16.5" customHeight="1">
      <c r="B97" s="111" t="s">
        <v>71</v>
      </c>
      <c r="C97" s="115" t="s">
        <v>72</v>
      </c>
      <c r="D97" s="116"/>
      <c r="E97" s="116"/>
      <c r="F97" s="116"/>
      <c r="G97" s="117"/>
      <c r="H97" s="117"/>
      <c r="I97" s="71"/>
      <c r="J97" s="71"/>
      <c r="K97" s="71"/>
      <c r="L97" s="71"/>
      <c r="M97" s="71"/>
      <c r="N97" s="71"/>
      <c r="O97" s="71"/>
      <c r="P97" s="71"/>
      <c r="Q97" s="71"/>
      <c r="R97" s="71"/>
      <c r="S97" s="108"/>
      <c r="T97" s="108"/>
    </row>
    <row r="98" spans="2:20" s="174" customFormat="1" ht="16.5" customHeight="1">
      <c r="B98" s="111" t="s">
        <v>73</v>
      </c>
      <c r="C98" s="115" t="s">
        <v>74</v>
      </c>
      <c r="D98" s="116"/>
      <c r="E98" s="116"/>
      <c r="F98" s="116"/>
      <c r="G98" s="117"/>
      <c r="H98" s="117"/>
      <c r="I98" s="71"/>
      <c r="J98" s="71"/>
      <c r="K98" s="71"/>
      <c r="L98" s="71"/>
      <c r="M98" s="71"/>
      <c r="N98" s="71"/>
      <c r="O98" s="71"/>
      <c r="P98" s="71"/>
      <c r="Q98" s="71"/>
      <c r="R98" s="71"/>
      <c r="S98" s="108"/>
      <c r="T98" s="108"/>
    </row>
    <row r="99" spans="2:20" s="174" customFormat="1" ht="16.5" customHeight="1">
      <c r="B99" s="111" t="s">
        <v>75</v>
      </c>
      <c r="C99" s="115" t="s">
        <v>76</v>
      </c>
      <c r="D99" s="116"/>
      <c r="E99" s="116"/>
      <c r="F99" s="116"/>
      <c r="G99" s="117"/>
      <c r="H99" s="117"/>
      <c r="I99" s="71"/>
      <c r="J99" s="71"/>
      <c r="K99" s="71"/>
      <c r="L99" s="71"/>
      <c r="M99" s="71"/>
      <c r="N99" s="71"/>
      <c r="O99" s="71"/>
      <c r="P99" s="71"/>
      <c r="Q99" s="71"/>
      <c r="R99" s="71"/>
      <c r="S99" s="108"/>
      <c r="T99" s="108"/>
    </row>
    <row r="100" spans="2:20" s="174" customFormat="1" ht="16.5" customHeight="1">
      <c r="B100" s="111" t="s">
        <v>77</v>
      </c>
      <c r="C100" s="119" t="s">
        <v>78</v>
      </c>
      <c r="D100" s="116"/>
      <c r="E100" s="116"/>
      <c r="F100" s="116"/>
      <c r="G100" s="117"/>
      <c r="H100" s="117"/>
      <c r="I100" s="168">
        <f>IF(IF(I96=$I$238,I97,IF(I96=$I$239,I97*I98,IF(I96=$I$240,I97*I98*I99,1)))=0,"Fyll i 2.6-2.8",IF(I96=$I$238,I97,IF(I96=$I$239,I97*I98,IF(I96=$I$240,I97*I98*I99,1))))</f>
        <v>1</v>
      </c>
      <c r="J100" s="168">
        <f t="shared" ref="J100" si="38">IF(IF(J96=$I$238,J97,IF(J96=$I$239,J97*J98,IF(J96=$I$240,J97*J98*J99,1)))=0,"Fyll i 2.6-2.8",IF(J96=$I$238,J97,IF(J96=$I$239,J97*J98,IF(J96=$I$240,J97*J98*J99,1))))</f>
        <v>1</v>
      </c>
      <c r="K100" s="168">
        <f t="shared" ref="K100" si="39">IF(IF(K96=$I$238,K97,IF(K96=$I$239,K97*K98,IF(K96=$I$240,K97*K98*K99,1)))=0,"Fyll i 2.6-2.8",IF(K96=$I$238,K97,IF(K96=$I$239,K97*K98,IF(K96=$I$240,K97*K98*K99,1))))</f>
        <v>1</v>
      </c>
      <c r="L100" s="168">
        <f t="shared" ref="L100" si="40">IF(IF(L96=$I$238,L97,IF(L96=$I$239,L97*L98,IF(L96=$I$240,L97*L98*L99,1)))=0,"Fyll i 2.6-2.8",IF(L96=$I$238,L97,IF(L96=$I$239,L97*L98,IF(L96=$I$240,L97*L98*L99,1))))</f>
        <v>1</v>
      </c>
      <c r="M100" s="168">
        <f t="shared" ref="M100" si="41">IF(IF(M96=$I$238,M97,IF(M96=$I$239,M97*M98,IF(M96=$I$240,M97*M98*M99,1)))=0,"Fyll i 2.6-2.8",IF(M96=$I$238,M97,IF(M96=$I$239,M97*M98,IF(M96=$I$240,M97*M98*M99,1))))</f>
        <v>1</v>
      </c>
      <c r="N100" s="168">
        <f t="shared" ref="N100" si="42">IF(IF(N96=$I$238,N97,IF(N96=$I$239,N97*N98,IF(N96=$I$240,N97*N98*N99,1)))=0,"Fyll i 2.6-2.8",IF(N96=$I$238,N97,IF(N96=$I$239,N97*N98,IF(N96=$I$240,N97*N98*N99,1))))</f>
        <v>1</v>
      </c>
      <c r="O100" s="168">
        <f t="shared" ref="O100" si="43">IF(IF(O96=$I$238,O97,IF(O96=$I$239,O97*O98,IF(O96=$I$240,O97*O98*O99,1)))=0,"Fyll i 2.6-2.8",IF(O96=$I$238,O97,IF(O96=$I$239,O97*O98,IF(O96=$I$240,O97*O98*O99,1))))</f>
        <v>1</v>
      </c>
      <c r="P100" s="168">
        <f t="shared" ref="P100" si="44">IF(IF(P96=$I$238,P97,IF(P96=$I$239,P97*P98,IF(P96=$I$240,P97*P98*P99,1)))=0,"Fyll i 2.6-2.8",IF(P96=$I$238,P97,IF(P96=$I$239,P97*P98,IF(P96=$I$240,P97*P98*P99,1))))</f>
        <v>1</v>
      </c>
      <c r="Q100" s="168">
        <f t="shared" ref="Q100" si="45">IF(IF(Q96=$I$238,Q97,IF(Q96=$I$239,Q97*Q98,IF(Q96=$I$240,Q97*Q98*Q99,1)))=0,"Fyll i 2.6-2.8",IF(Q96=$I$238,Q97,IF(Q96=$I$239,Q97*Q98,IF(Q96=$I$240,Q97*Q98*Q99,1))))</f>
        <v>1</v>
      </c>
      <c r="R100" s="168">
        <f t="shared" ref="R100" si="46">IF(IF(R96=$I$238,R97,IF(R96=$I$239,R97*R98,IF(R96=$I$240,R97*R98*R99,1)))=0,"Fyll i 2.6-2.8",IF(R96=$I$238,R97,IF(R96=$I$239,R97*R98,IF(R96=$I$240,R97*R98*R99,1))))</f>
        <v>1</v>
      </c>
      <c r="S100" s="108"/>
      <c r="T100" s="108"/>
    </row>
    <row r="101" spans="2:20" s="174" customFormat="1" ht="16.5" customHeight="1">
      <c r="B101" s="111" t="s">
        <v>79</v>
      </c>
      <c r="C101" s="115" t="s">
        <v>80</v>
      </c>
      <c r="D101" s="116"/>
      <c r="E101" s="116"/>
      <c r="F101" s="116"/>
      <c r="G101" s="117"/>
      <c r="H101" s="117" t="s">
        <v>81</v>
      </c>
      <c r="I101" s="71"/>
      <c r="J101" s="71"/>
      <c r="K101" s="71"/>
      <c r="L101" s="71"/>
      <c r="M101" s="71"/>
      <c r="N101" s="71"/>
      <c r="O101" s="71"/>
      <c r="P101" s="71"/>
      <c r="Q101" s="71"/>
      <c r="R101" s="71"/>
      <c r="S101" s="108"/>
      <c r="T101" s="108"/>
    </row>
    <row r="102" spans="2:20" s="174" customFormat="1" ht="16.5" customHeight="1">
      <c r="B102" s="111"/>
      <c r="C102" s="118"/>
      <c r="D102" s="118"/>
      <c r="E102" s="118"/>
      <c r="F102" s="118"/>
      <c r="G102" s="118"/>
      <c r="H102" s="118"/>
      <c r="I102" s="179"/>
      <c r="J102" s="179"/>
      <c r="K102" s="179"/>
      <c r="L102" s="179"/>
      <c r="M102" s="179"/>
      <c r="N102" s="179"/>
      <c r="O102" s="179"/>
      <c r="P102" s="179"/>
      <c r="Q102" s="179"/>
      <c r="R102" s="179"/>
      <c r="S102" s="108"/>
      <c r="T102" s="108"/>
    </row>
    <row r="103" spans="2:20" s="174" customFormat="1" ht="16.5" customHeight="1">
      <c r="B103" s="111"/>
      <c r="C103" s="110" t="s">
        <v>194</v>
      </c>
      <c r="D103" s="118"/>
      <c r="E103" s="118"/>
      <c r="F103" s="118"/>
      <c r="G103" s="118"/>
      <c r="H103" s="118"/>
      <c r="I103" s="179"/>
      <c r="J103" s="179"/>
      <c r="K103" s="179"/>
      <c r="L103" s="179"/>
      <c r="M103" s="179"/>
      <c r="N103" s="179"/>
      <c r="O103" s="179"/>
      <c r="P103" s="179"/>
      <c r="Q103" s="179"/>
      <c r="R103" s="179"/>
      <c r="S103" s="108"/>
      <c r="T103" s="108"/>
    </row>
    <row r="104" spans="2:20" s="174" customFormat="1" ht="16.5" customHeight="1">
      <c r="B104" s="111" t="s">
        <v>58</v>
      </c>
      <c r="C104" s="115" t="s">
        <v>59</v>
      </c>
      <c r="D104" s="116"/>
      <c r="E104" s="116"/>
      <c r="F104" s="116"/>
      <c r="G104" s="117"/>
      <c r="H104" s="117" t="s">
        <v>54</v>
      </c>
      <c r="I104" s="71"/>
      <c r="J104" s="71"/>
      <c r="K104" s="71"/>
      <c r="L104" s="71"/>
      <c r="M104" s="71"/>
      <c r="N104" s="71"/>
      <c r="O104" s="71"/>
      <c r="P104" s="71"/>
      <c r="Q104" s="71"/>
      <c r="R104" s="71"/>
      <c r="S104" s="108"/>
      <c r="T104" s="108"/>
    </row>
    <row r="105" spans="2:20" s="174" customFormat="1" ht="16.5" customHeight="1">
      <c r="B105" s="111" t="s">
        <v>60</v>
      </c>
      <c r="C105" s="115" t="s">
        <v>61</v>
      </c>
      <c r="D105" s="116"/>
      <c r="E105" s="116"/>
      <c r="F105" s="116"/>
      <c r="G105" s="117"/>
      <c r="H105" s="117" t="s">
        <v>62</v>
      </c>
      <c r="I105" s="71"/>
      <c r="J105" s="71"/>
      <c r="K105" s="71"/>
      <c r="L105" s="71"/>
      <c r="M105" s="71"/>
      <c r="N105" s="71"/>
      <c r="O105" s="71"/>
      <c r="P105" s="71"/>
      <c r="Q105" s="71"/>
      <c r="R105" s="71"/>
      <c r="S105" s="108"/>
      <c r="T105" s="108"/>
    </row>
    <row r="106" spans="2:20" s="174" customFormat="1" ht="16.5" customHeight="1">
      <c r="B106" s="111" t="s">
        <v>63</v>
      </c>
      <c r="C106" s="115" t="s">
        <v>64</v>
      </c>
      <c r="D106" s="116"/>
      <c r="E106" s="116"/>
      <c r="F106" s="116"/>
      <c r="G106" s="117"/>
      <c r="H106" s="117" t="s">
        <v>62</v>
      </c>
      <c r="I106" s="71"/>
      <c r="J106" s="71"/>
      <c r="K106" s="71"/>
      <c r="L106" s="71"/>
      <c r="M106" s="71"/>
      <c r="N106" s="71"/>
      <c r="O106" s="71"/>
      <c r="P106" s="71"/>
      <c r="Q106" s="71"/>
      <c r="R106" s="71"/>
      <c r="S106" s="108"/>
      <c r="T106" s="108"/>
    </row>
    <row r="107" spans="2:20" s="174" customFormat="1" ht="16.5" customHeight="1">
      <c r="B107" s="111" t="s">
        <v>65</v>
      </c>
      <c r="C107" s="115" t="s">
        <v>66</v>
      </c>
      <c r="D107" s="116"/>
      <c r="E107" s="116"/>
      <c r="F107" s="116"/>
      <c r="G107" s="117"/>
      <c r="H107" s="117" t="s">
        <v>67</v>
      </c>
      <c r="I107" s="71"/>
      <c r="J107" s="71"/>
      <c r="K107" s="71"/>
      <c r="L107" s="71"/>
      <c r="M107" s="71"/>
      <c r="N107" s="71"/>
      <c r="O107" s="71"/>
      <c r="P107" s="71"/>
      <c r="Q107" s="71"/>
      <c r="R107" s="71"/>
      <c r="S107" s="108"/>
      <c r="T107" s="108"/>
    </row>
    <row r="108" spans="2:20" s="180" customFormat="1" ht="30" customHeight="1">
      <c r="B108" s="120" t="s">
        <v>68</v>
      </c>
      <c r="C108" s="115" t="s">
        <v>69</v>
      </c>
      <c r="D108" s="121"/>
      <c r="E108" s="121"/>
      <c r="F108" s="121"/>
      <c r="G108" s="122"/>
      <c r="H108" s="122"/>
      <c r="I108" s="71" t="s">
        <v>70</v>
      </c>
      <c r="J108" s="71" t="s">
        <v>70</v>
      </c>
      <c r="K108" s="71" t="s">
        <v>70</v>
      </c>
      <c r="L108" s="71" t="s">
        <v>70</v>
      </c>
      <c r="M108" s="71" t="s">
        <v>70</v>
      </c>
      <c r="N108" s="71" t="s">
        <v>70</v>
      </c>
      <c r="O108" s="71" t="s">
        <v>70</v>
      </c>
      <c r="P108" s="71" t="s">
        <v>70</v>
      </c>
      <c r="Q108" s="71" t="s">
        <v>70</v>
      </c>
      <c r="R108" s="71" t="s">
        <v>70</v>
      </c>
      <c r="S108" s="108"/>
      <c r="T108" s="108"/>
    </row>
    <row r="109" spans="2:20" s="174" customFormat="1" ht="16.5" customHeight="1">
      <c r="B109" s="111" t="s">
        <v>71</v>
      </c>
      <c r="C109" s="115" t="s">
        <v>72</v>
      </c>
      <c r="D109" s="116"/>
      <c r="E109" s="116"/>
      <c r="F109" s="116"/>
      <c r="G109" s="117"/>
      <c r="H109" s="117"/>
      <c r="I109" s="71"/>
      <c r="J109" s="71"/>
      <c r="K109" s="71"/>
      <c r="L109" s="71"/>
      <c r="M109" s="71"/>
      <c r="N109" s="71"/>
      <c r="O109" s="71"/>
      <c r="P109" s="71"/>
      <c r="Q109" s="71"/>
      <c r="R109" s="71"/>
      <c r="S109" s="108"/>
      <c r="T109" s="108"/>
    </row>
    <row r="110" spans="2:20" s="174" customFormat="1" ht="16.5" customHeight="1">
      <c r="B110" s="111" t="s">
        <v>73</v>
      </c>
      <c r="C110" s="115" t="s">
        <v>74</v>
      </c>
      <c r="D110" s="116"/>
      <c r="E110" s="116"/>
      <c r="F110" s="116"/>
      <c r="G110" s="117"/>
      <c r="H110" s="117"/>
      <c r="I110" s="71"/>
      <c r="J110" s="71"/>
      <c r="K110" s="71"/>
      <c r="L110" s="71"/>
      <c r="M110" s="71"/>
      <c r="N110" s="71"/>
      <c r="O110" s="71"/>
      <c r="P110" s="71"/>
      <c r="Q110" s="71"/>
      <c r="R110" s="71"/>
      <c r="S110" s="108"/>
      <c r="T110" s="108"/>
    </row>
    <row r="111" spans="2:20" s="174" customFormat="1" ht="16.5" customHeight="1">
      <c r="B111" s="111" t="s">
        <v>75</v>
      </c>
      <c r="C111" s="115" t="s">
        <v>76</v>
      </c>
      <c r="D111" s="116"/>
      <c r="E111" s="116"/>
      <c r="F111" s="116"/>
      <c r="G111" s="117"/>
      <c r="H111" s="117"/>
      <c r="I111" s="71"/>
      <c r="J111" s="71"/>
      <c r="K111" s="71"/>
      <c r="L111" s="71"/>
      <c r="M111" s="71"/>
      <c r="N111" s="71"/>
      <c r="O111" s="71"/>
      <c r="P111" s="71"/>
      <c r="Q111" s="71"/>
      <c r="R111" s="71"/>
      <c r="S111" s="108"/>
      <c r="T111" s="108"/>
    </row>
    <row r="112" spans="2:20" s="174" customFormat="1" ht="16.5" customHeight="1">
      <c r="B112" s="111" t="s">
        <v>77</v>
      </c>
      <c r="C112" s="119" t="s">
        <v>78</v>
      </c>
      <c r="D112" s="116"/>
      <c r="E112" s="116"/>
      <c r="F112" s="116"/>
      <c r="G112" s="117"/>
      <c r="H112" s="117"/>
      <c r="I112" s="168">
        <f>IF(IF(I108=$I$238,I109,IF(I108=$I$239,I109*I110,IF(I108=$I$240,I109*I110*I111,1)))=0,"Fyll i 2.6-2.8",IF(I108=$I$238,I109,IF(I108=$I$239,I109*I110,IF(I108=$I$240,I109*I110*I111,1))))</f>
        <v>1</v>
      </c>
      <c r="J112" s="168">
        <f t="shared" ref="J112" si="47">IF(IF(J108=$I$238,J109,IF(J108=$I$239,J109*J110,IF(J108=$I$240,J109*J110*J111,1)))=0,"Fyll i 2.6-2.8",IF(J108=$I$238,J109,IF(J108=$I$239,J109*J110,IF(J108=$I$240,J109*J110*J111,1))))</f>
        <v>1</v>
      </c>
      <c r="K112" s="168">
        <f t="shared" ref="K112" si="48">IF(IF(K108=$I$238,K109,IF(K108=$I$239,K109*K110,IF(K108=$I$240,K109*K110*K111,1)))=0,"Fyll i 2.6-2.8",IF(K108=$I$238,K109,IF(K108=$I$239,K109*K110,IF(K108=$I$240,K109*K110*K111,1))))</f>
        <v>1</v>
      </c>
      <c r="L112" s="168">
        <f t="shared" ref="L112" si="49">IF(IF(L108=$I$238,L109,IF(L108=$I$239,L109*L110,IF(L108=$I$240,L109*L110*L111,1)))=0,"Fyll i 2.6-2.8",IF(L108=$I$238,L109,IF(L108=$I$239,L109*L110,IF(L108=$I$240,L109*L110*L111,1))))</f>
        <v>1</v>
      </c>
      <c r="M112" s="168">
        <f t="shared" ref="M112" si="50">IF(IF(M108=$I$238,M109,IF(M108=$I$239,M109*M110,IF(M108=$I$240,M109*M110*M111,1)))=0,"Fyll i 2.6-2.8",IF(M108=$I$238,M109,IF(M108=$I$239,M109*M110,IF(M108=$I$240,M109*M110*M111,1))))</f>
        <v>1</v>
      </c>
      <c r="N112" s="168">
        <f t="shared" ref="N112" si="51">IF(IF(N108=$I$238,N109,IF(N108=$I$239,N109*N110,IF(N108=$I$240,N109*N110*N111,1)))=0,"Fyll i 2.6-2.8",IF(N108=$I$238,N109,IF(N108=$I$239,N109*N110,IF(N108=$I$240,N109*N110*N111,1))))</f>
        <v>1</v>
      </c>
      <c r="O112" s="168">
        <f t="shared" ref="O112" si="52">IF(IF(O108=$I$238,O109,IF(O108=$I$239,O109*O110,IF(O108=$I$240,O109*O110*O111,1)))=0,"Fyll i 2.6-2.8",IF(O108=$I$238,O109,IF(O108=$I$239,O109*O110,IF(O108=$I$240,O109*O110*O111,1))))</f>
        <v>1</v>
      </c>
      <c r="P112" s="168">
        <f t="shared" ref="P112" si="53">IF(IF(P108=$I$238,P109,IF(P108=$I$239,P109*P110,IF(P108=$I$240,P109*P110*P111,1)))=0,"Fyll i 2.6-2.8",IF(P108=$I$238,P109,IF(P108=$I$239,P109*P110,IF(P108=$I$240,P109*P110*P111,1))))</f>
        <v>1</v>
      </c>
      <c r="Q112" s="168">
        <f t="shared" ref="Q112" si="54">IF(IF(Q108=$I$238,Q109,IF(Q108=$I$239,Q109*Q110,IF(Q108=$I$240,Q109*Q110*Q111,1)))=0,"Fyll i 2.6-2.8",IF(Q108=$I$238,Q109,IF(Q108=$I$239,Q109*Q110,IF(Q108=$I$240,Q109*Q110*Q111,1))))</f>
        <v>1</v>
      </c>
      <c r="R112" s="168">
        <f t="shared" ref="R112" si="55">IF(IF(R108=$I$238,R109,IF(R108=$I$239,R109*R110,IF(R108=$I$240,R109*R110*R111,1)))=0,"Fyll i 2.6-2.8",IF(R108=$I$238,R109,IF(R108=$I$239,R109*R110,IF(R108=$I$240,R109*R110*R111,1))))</f>
        <v>1</v>
      </c>
      <c r="S112" s="108"/>
      <c r="T112" s="108"/>
    </row>
    <row r="113" spans="2:20" s="174" customFormat="1" ht="16.5" customHeight="1">
      <c r="B113" s="111" t="s">
        <v>79</v>
      </c>
      <c r="C113" s="115" t="s">
        <v>80</v>
      </c>
      <c r="D113" s="116"/>
      <c r="E113" s="116"/>
      <c r="F113" s="116"/>
      <c r="G113" s="117"/>
      <c r="H113" s="117" t="s">
        <v>81</v>
      </c>
      <c r="I113" s="71"/>
      <c r="J113" s="71"/>
      <c r="K113" s="71"/>
      <c r="L113" s="71"/>
      <c r="M113" s="71"/>
      <c r="N113" s="71"/>
      <c r="O113" s="71"/>
      <c r="P113" s="71"/>
      <c r="Q113" s="71"/>
      <c r="R113" s="71"/>
      <c r="S113" s="108"/>
      <c r="T113" s="108"/>
    </row>
    <row r="114" spans="2:20" s="174" customFormat="1" ht="16.5" customHeight="1">
      <c r="B114" s="111"/>
      <c r="C114" s="118"/>
      <c r="D114" s="118"/>
      <c r="E114" s="118"/>
      <c r="F114" s="118"/>
      <c r="G114" s="118"/>
      <c r="H114" s="118"/>
      <c r="I114" s="179"/>
      <c r="J114" s="179"/>
      <c r="K114" s="179"/>
      <c r="L114" s="179"/>
      <c r="M114" s="179"/>
      <c r="N114" s="179"/>
      <c r="O114" s="179"/>
      <c r="P114" s="179"/>
      <c r="Q114" s="179"/>
      <c r="R114" s="179"/>
      <c r="S114" s="108"/>
      <c r="T114" s="108"/>
    </row>
    <row r="115" spans="2:20" s="174" customFormat="1" ht="16.5" customHeight="1">
      <c r="B115" s="111"/>
      <c r="C115" s="110" t="s">
        <v>195</v>
      </c>
      <c r="D115" s="118"/>
      <c r="E115" s="118"/>
      <c r="F115" s="118"/>
      <c r="G115" s="118"/>
      <c r="H115" s="118"/>
      <c r="I115" s="179"/>
      <c r="J115" s="179"/>
      <c r="K115" s="179"/>
      <c r="L115" s="179"/>
      <c r="M115" s="179"/>
      <c r="N115" s="179"/>
      <c r="O115" s="179"/>
      <c r="P115" s="179"/>
      <c r="Q115" s="179"/>
      <c r="R115" s="179"/>
      <c r="S115" s="108"/>
      <c r="T115" s="108"/>
    </row>
    <row r="116" spans="2:20" s="174" customFormat="1" ht="16.5" customHeight="1">
      <c r="B116" s="111" t="s">
        <v>58</v>
      </c>
      <c r="C116" s="115" t="s">
        <v>59</v>
      </c>
      <c r="D116" s="116"/>
      <c r="E116" s="116"/>
      <c r="F116" s="116"/>
      <c r="G116" s="117"/>
      <c r="H116" s="117" t="s">
        <v>54</v>
      </c>
      <c r="I116" s="71"/>
      <c r="J116" s="71"/>
      <c r="K116" s="71"/>
      <c r="L116" s="71"/>
      <c r="M116" s="71"/>
      <c r="N116" s="71"/>
      <c r="O116" s="71"/>
      <c r="P116" s="71"/>
      <c r="Q116" s="71"/>
      <c r="R116" s="71"/>
      <c r="S116" s="108"/>
      <c r="T116" s="108"/>
    </row>
    <row r="117" spans="2:20" s="174" customFormat="1" ht="16.5" customHeight="1">
      <c r="B117" s="111" t="s">
        <v>60</v>
      </c>
      <c r="C117" s="115" t="s">
        <v>61</v>
      </c>
      <c r="D117" s="116"/>
      <c r="E117" s="116"/>
      <c r="F117" s="116"/>
      <c r="G117" s="117"/>
      <c r="H117" s="117" t="s">
        <v>62</v>
      </c>
      <c r="I117" s="71"/>
      <c r="J117" s="71"/>
      <c r="K117" s="71"/>
      <c r="L117" s="71"/>
      <c r="M117" s="71"/>
      <c r="N117" s="71"/>
      <c r="O117" s="71"/>
      <c r="P117" s="71"/>
      <c r="Q117" s="71"/>
      <c r="R117" s="71"/>
      <c r="S117" s="108"/>
      <c r="T117" s="108"/>
    </row>
    <row r="118" spans="2:20" s="174" customFormat="1" ht="16.5" customHeight="1">
      <c r="B118" s="111" t="s">
        <v>63</v>
      </c>
      <c r="C118" s="115" t="s">
        <v>64</v>
      </c>
      <c r="D118" s="116"/>
      <c r="E118" s="116"/>
      <c r="F118" s="116"/>
      <c r="G118" s="117"/>
      <c r="H118" s="117" t="s">
        <v>62</v>
      </c>
      <c r="I118" s="71"/>
      <c r="J118" s="71"/>
      <c r="K118" s="71"/>
      <c r="L118" s="71"/>
      <c r="M118" s="71"/>
      <c r="N118" s="71"/>
      <c r="O118" s="71"/>
      <c r="P118" s="71"/>
      <c r="Q118" s="71"/>
      <c r="R118" s="71"/>
      <c r="S118" s="108"/>
      <c r="T118" s="108"/>
    </row>
    <row r="119" spans="2:20" s="174" customFormat="1" ht="16.5" customHeight="1">
      <c r="B119" s="111" t="s">
        <v>65</v>
      </c>
      <c r="C119" s="115" t="s">
        <v>66</v>
      </c>
      <c r="D119" s="116"/>
      <c r="E119" s="116"/>
      <c r="F119" s="116"/>
      <c r="G119" s="117"/>
      <c r="H119" s="117" t="s">
        <v>67</v>
      </c>
      <c r="I119" s="71"/>
      <c r="J119" s="71"/>
      <c r="K119" s="71"/>
      <c r="L119" s="71"/>
      <c r="M119" s="71"/>
      <c r="N119" s="71"/>
      <c r="O119" s="71"/>
      <c r="P119" s="71"/>
      <c r="Q119" s="71"/>
      <c r="R119" s="71"/>
      <c r="S119" s="108"/>
      <c r="T119" s="108"/>
    </row>
    <row r="120" spans="2:20" s="180" customFormat="1" ht="30" customHeight="1">
      <c r="B120" s="120" t="s">
        <v>68</v>
      </c>
      <c r="C120" s="115" t="s">
        <v>69</v>
      </c>
      <c r="D120" s="121"/>
      <c r="E120" s="121"/>
      <c r="F120" s="121"/>
      <c r="G120" s="122"/>
      <c r="H120" s="122"/>
      <c r="I120" s="71" t="s">
        <v>70</v>
      </c>
      <c r="J120" s="71" t="s">
        <v>70</v>
      </c>
      <c r="K120" s="71" t="s">
        <v>70</v>
      </c>
      <c r="L120" s="71" t="s">
        <v>70</v>
      </c>
      <c r="M120" s="71" t="s">
        <v>70</v>
      </c>
      <c r="N120" s="71" t="s">
        <v>70</v>
      </c>
      <c r="O120" s="71" t="s">
        <v>70</v>
      </c>
      <c r="P120" s="71" t="s">
        <v>70</v>
      </c>
      <c r="Q120" s="71" t="s">
        <v>70</v>
      </c>
      <c r="R120" s="71" t="s">
        <v>70</v>
      </c>
      <c r="S120" s="108"/>
      <c r="T120" s="108"/>
    </row>
    <row r="121" spans="2:20" s="174" customFormat="1" ht="16.5" customHeight="1">
      <c r="B121" s="111" t="s">
        <v>71</v>
      </c>
      <c r="C121" s="115" t="s">
        <v>72</v>
      </c>
      <c r="D121" s="116"/>
      <c r="E121" s="116"/>
      <c r="F121" s="116"/>
      <c r="G121" s="117"/>
      <c r="H121" s="117"/>
      <c r="I121" s="71"/>
      <c r="J121" s="71"/>
      <c r="K121" s="71"/>
      <c r="L121" s="71"/>
      <c r="M121" s="71"/>
      <c r="N121" s="71"/>
      <c r="O121" s="71"/>
      <c r="P121" s="71"/>
      <c r="Q121" s="71"/>
      <c r="R121" s="71"/>
      <c r="S121" s="108"/>
      <c r="T121" s="108"/>
    </row>
    <row r="122" spans="2:20" s="174" customFormat="1" ht="16.5" customHeight="1">
      <c r="B122" s="111" t="s">
        <v>73</v>
      </c>
      <c r="C122" s="115" t="s">
        <v>74</v>
      </c>
      <c r="D122" s="116"/>
      <c r="E122" s="116"/>
      <c r="F122" s="116"/>
      <c r="G122" s="117"/>
      <c r="H122" s="117"/>
      <c r="I122" s="71"/>
      <c r="J122" s="71"/>
      <c r="K122" s="71"/>
      <c r="L122" s="71"/>
      <c r="M122" s="71"/>
      <c r="N122" s="71"/>
      <c r="O122" s="71"/>
      <c r="P122" s="71"/>
      <c r="Q122" s="71"/>
      <c r="R122" s="71"/>
      <c r="S122" s="108"/>
      <c r="T122" s="108"/>
    </row>
    <row r="123" spans="2:20" s="174" customFormat="1" ht="16.5" customHeight="1">
      <c r="B123" s="111" t="s">
        <v>75</v>
      </c>
      <c r="C123" s="115" t="s">
        <v>76</v>
      </c>
      <c r="D123" s="116"/>
      <c r="E123" s="116"/>
      <c r="F123" s="116"/>
      <c r="G123" s="117"/>
      <c r="H123" s="117"/>
      <c r="I123" s="71"/>
      <c r="J123" s="71"/>
      <c r="K123" s="71"/>
      <c r="L123" s="71"/>
      <c r="M123" s="71"/>
      <c r="N123" s="71"/>
      <c r="O123" s="71"/>
      <c r="P123" s="71"/>
      <c r="Q123" s="71"/>
      <c r="R123" s="71"/>
      <c r="S123" s="108"/>
      <c r="T123" s="108"/>
    </row>
    <row r="124" spans="2:20" s="174" customFormat="1" ht="16.5" customHeight="1">
      <c r="B124" s="111" t="s">
        <v>77</v>
      </c>
      <c r="C124" s="119" t="s">
        <v>78</v>
      </c>
      <c r="D124" s="116"/>
      <c r="E124" s="116"/>
      <c r="F124" s="116"/>
      <c r="G124" s="117"/>
      <c r="H124" s="117"/>
      <c r="I124" s="168">
        <f>IF(IF(I120=$I$238,I121,IF(I120=$I$239,I121*I122,IF(I120=$I$240,I121*I122*I123,1)))=0,"Fyll i 2.6-2.8",IF(I120=$I$238,I121,IF(I120=$I$239,I121*I122,IF(I120=$I$240,I121*I122*I123,1))))</f>
        <v>1</v>
      </c>
      <c r="J124" s="168">
        <f t="shared" ref="J124" si="56">IF(IF(J120=$I$238,J121,IF(J120=$I$239,J121*J122,IF(J120=$I$240,J121*J122*J123,1)))=0,"Fyll i 2.6-2.8",IF(J120=$I$238,J121,IF(J120=$I$239,J121*J122,IF(J120=$I$240,J121*J122*J123,1))))</f>
        <v>1</v>
      </c>
      <c r="K124" s="168">
        <f t="shared" ref="K124" si="57">IF(IF(K120=$I$238,K121,IF(K120=$I$239,K121*K122,IF(K120=$I$240,K121*K122*K123,1)))=0,"Fyll i 2.6-2.8",IF(K120=$I$238,K121,IF(K120=$I$239,K121*K122,IF(K120=$I$240,K121*K122*K123,1))))</f>
        <v>1</v>
      </c>
      <c r="L124" s="168">
        <f t="shared" ref="L124" si="58">IF(IF(L120=$I$238,L121,IF(L120=$I$239,L121*L122,IF(L120=$I$240,L121*L122*L123,1)))=0,"Fyll i 2.6-2.8",IF(L120=$I$238,L121,IF(L120=$I$239,L121*L122,IF(L120=$I$240,L121*L122*L123,1))))</f>
        <v>1</v>
      </c>
      <c r="M124" s="168">
        <f t="shared" ref="M124" si="59">IF(IF(M120=$I$238,M121,IF(M120=$I$239,M121*M122,IF(M120=$I$240,M121*M122*M123,1)))=0,"Fyll i 2.6-2.8",IF(M120=$I$238,M121,IF(M120=$I$239,M121*M122,IF(M120=$I$240,M121*M122*M123,1))))</f>
        <v>1</v>
      </c>
      <c r="N124" s="168">
        <f t="shared" ref="N124" si="60">IF(IF(N120=$I$238,N121,IF(N120=$I$239,N121*N122,IF(N120=$I$240,N121*N122*N123,1)))=0,"Fyll i 2.6-2.8",IF(N120=$I$238,N121,IF(N120=$I$239,N121*N122,IF(N120=$I$240,N121*N122*N123,1))))</f>
        <v>1</v>
      </c>
      <c r="O124" s="168">
        <f t="shared" ref="O124" si="61">IF(IF(O120=$I$238,O121,IF(O120=$I$239,O121*O122,IF(O120=$I$240,O121*O122*O123,1)))=0,"Fyll i 2.6-2.8",IF(O120=$I$238,O121,IF(O120=$I$239,O121*O122,IF(O120=$I$240,O121*O122*O123,1))))</f>
        <v>1</v>
      </c>
      <c r="P124" s="168">
        <f t="shared" ref="P124" si="62">IF(IF(P120=$I$238,P121,IF(P120=$I$239,P121*P122,IF(P120=$I$240,P121*P122*P123,1)))=0,"Fyll i 2.6-2.8",IF(P120=$I$238,P121,IF(P120=$I$239,P121*P122,IF(P120=$I$240,P121*P122*P123,1))))</f>
        <v>1</v>
      </c>
      <c r="Q124" s="168">
        <f t="shared" ref="Q124" si="63">IF(IF(Q120=$I$238,Q121,IF(Q120=$I$239,Q121*Q122,IF(Q120=$I$240,Q121*Q122*Q123,1)))=0,"Fyll i 2.6-2.8",IF(Q120=$I$238,Q121,IF(Q120=$I$239,Q121*Q122,IF(Q120=$I$240,Q121*Q122*Q123,1))))</f>
        <v>1</v>
      </c>
      <c r="R124" s="168">
        <f t="shared" ref="R124" si="64">IF(IF(R120=$I$238,R121,IF(R120=$I$239,R121*R122,IF(R120=$I$240,R121*R122*R123,1)))=0,"Fyll i 2.6-2.8",IF(R120=$I$238,R121,IF(R120=$I$239,R121*R122,IF(R120=$I$240,R121*R122*R123,1))))</f>
        <v>1</v>
      </c>
      <c r="S124" s="108"/>
      <c r="T124" s="108"/>
    </row>
    <row r="125" spans="2:20" s="174" customFormat="1" ht="16.5" customHeight="1">
      <c r="B125" s="111" t="s">
        <v>79</v>
      </c>
      <c r="C125" s="115" t="s">
        <v>80</v>
      </c>
      <c r="D125" s="116"/>
      <c r="E125" s="116"/>
      <c r="F125" s="116"/>
      <c r="G125" s="117"/>
      <c r="H125" s="117" t="s">
        <v>81</v>
      </c>
      <c r="I125" s="71"/>
      <c r="J125" s="71"/>
      <c r="K125" s="71"/>
      <c r="L125" s="71"/>
      <c r="M125" s="71"/>
      <c r="N125" s="71"/>
      <c r="O125" s="71"/>
      <c r="P125" s="71"/>
      <c r="Q125" s="71"/>
      <c r="R125" s="71"/>
      <c r="S125" s="108"/>
      <c r="T125" s="108"/>
    </row>
    <row r="126" spans="2:20" s="174" customFormat="1" ht="16.5" customHeight="1">
      <c r="B126" s="111"/>
      <c r="C126" s="118"/>
      <c r="D126" s="118"/>
      <c r="E126" s="118"/>
      <c r="F126" s="118"/>
      <c r="G126" s="118"/>
      <c r="H126" s="118"/>
      <c r="I126" s="179"/>
      <c r="J126" s="179"/>
      <c r="K126" s="179"/>
      <c r="L126" s="179"/>
      <c r="M126" s="179"/>
      <c r="N126" s="179"/>
      <c r="O126" s="179"/>
      <c r="P126" s="179"/>
      <c r="Q126" s="179"/>
      <c r="R126" s="179"/>
      <c r="S126" s="108"/>
      <c r="T126" s="108"/>
    </row>
    <row r="127" spans="2:20" s="174" customFormat="1" ht="16.5" customHeight="1">
      <c r="B127" s="111"/>
      <c r="C127" s="110" t="s">
        <v>196</v>
      </c>
      <c r="D127" s="118"/>
      <c r="E127" s="118"/>
      <c r="F127" s="118"/>
      <c r="G127" s="118"/>
      <c r="H127" s="118"/>
      <c r="I127" s="179"/>
      <c r="J127" s="179"/>
      <c r="K127" s="179"/>
      <c r="L127" s="179"/>
      <c r="M127" s="179"/>
      <c r="N127" s="179"/>
      <c r="O127" s="179"/>
      <c r="P127" s="179"/>
      <c r="Q127" s="179"/>
      <c r="R127" s="179"/>
      <c r="S127" s="108"/>
      <c r="T127" s="108"/>
    </row>
    <row r="128" spans="2:20" s="174" customFormat="1" ht="16.5" customHeight="1">
      <c r="B128" s="111" t="s">
        <v>58</v>
      </c>
      <c r="C128" s="115" t="s">
        <v>59</v>
      </c>
      <c r="D128" s="116"/>
      <c r="E128" s="116"/>
      <c r="F128" s="116"/>
      <c r="G128" s="117"/>
      <c r="H128" s="117" t="s">
        <v>54</v>
      </c>
      <c r="I128" s="71"/>
      <c r="J128" s="71"/>
      <c r="K128" s="71"/>
      <c r="L128" s="71"/>
      <c r="M128" s="71"/>
      <c r="N128" s="71"/>
      <c r="O128" s="71"/>
      <c r="P128" s="71"/>
      <c r="Q128" s="71"/>
      <c r="R128" s="71"/>
      <c r="S128" s="108"/>
      <c r="T128" s="108"/>
    </row>
    <row r="129" spans="2:20" s="174" customFormat="1" ht="16.5" customHeight="1">
      <c r="B129" s="111" t="s">
        <v>60</v>
      </c>
      <c r="C129" s="115" t="s">
        <v>61</v>
      </c>
      <c r="D129" s="116"/>
      <c r="E129" s="116"/>
      <c r="F129" s="116"/>
      <c r="G129" s="117"/>
      <c r="H129" s="117" t="s">
        <v>62</v>
      </c>
      <c r="I129" s="71"/>
      <c r="J129" s="71"/>
      <c r="K129" s="71"/>
      <c r="L129" s="71"/>
      <c r="M129" s="71"/>
      <c r="N129" s="71"/>
      <c r="O129" s="71"/>
      <c r="P129" s="71"/>
      <c r="Q129" s="71"/>
      <c r="R129" s="71"/>
      <c r="S129" s="108"/>
      <c r="T129" s="108"/>
    </row>
    <row r="130" spans="2:20" s="174" customFormat="1" ht="16.5" customHeight="1">
      <c r="B130" s="111" t="s">
        <v>63</v>
      </c>
      <c r="C130" s="115" t="s">
        <v>64</v>
      </c>
      <c r="D130" s="116"/>
      <c r="E130" s="116"/>
      <c r="F130" s="116"/>
      <c r="G130" s="117"/>
      <c r="H130" s="117" t="s">
        <v>62</v>
      </c>
      <c r="I130" s="71"/>
      <c r="J130" s="71"/>
      <c r="K130" s="71"/>
      <c r="L130" s="71"/>
      <c r="M130" s="71"/>
      <c r="N130" s="71"/>
      <c r="O130" s="71"/>
      <c r="P130" s="71"/>
      <c r="Q130" s="71"/>
      <c r="R130" s="71"/>
      <c r="S130" s="108"/>
      <c r="T130" s="108"/>
    </row>
    <row r="131" spans="2:20" s="174" customFormat="1" ht="16.5" customHeight="1">
      <c r="B131" s="111" t="s">
        <v>65</v>
      </c>
      <c r="C131" s="115" t="s">
        <v>66</v>
      </c>
      <c r="D131" s="116"/>
      <c r="E131" s="116"/>
      <c r="F131" s="116"/>
      <c r="G131" s="117"/>
      <c r="H131" s="117" t="s">
        <v>67</v>
      </c>
      <c r="I131" s="71"/>
      <c r="J131" s="71"/>
      <c r="K131" s="71"/>
      <c r="L131" s="71"/>
      <c r="M131" s="71"/>
      <c r="N131" s="71"/>
      <c r="O131" s="71"/>
      <c r="P131" s="71"/>
      <c r="Q131" s="71"/>
      <c r="R131" s="71"/>
      <c r="S131" s="108"/>
      <c r="T131" s="108"/>
    </row>
    <row r="132" spans="2:20" s="180" customFormat="1" ht="30" customHeight="1">
      <c r="B132" s="120" t="s">
        <v>68</v>
      </c>
      <c r="C132" s="115" t="s">
        <v>69</v>
      </c>
      <c r="D132" s="121"/>
      <c r="E132" s="121"/>
      <c r="F132" s="121"/>
      <c r="G132" s="122"/>
      <c r="H132" s="122"/>
      <c r="I132" s="71" t="s">
        <v>70</v>
      </c>
      <c r="J132" s="71" t="s">
        <v>70</v>
      </c>
      <c r="K132" s="71" t="s">
        <v>70</v>
      </c>
      <c r="L132" s="71" t="s">
        <v>70</v>
      </c>
      <c r="M132" s="71" t="s">
        <v>70</v>
      </c>
      <c r="N132" s="71" t="s">
        <v>70</v>
      </c>
      <c r="O132" s="71" t="s">
        <v>70</v>
      </c>
      <c r="P132" s="71" t="s">
        <v>70</v>
      </c>
      <c r="Q132" s="71" t="s">
        <v>70</v>
      </c>
      <c r="R132" s="71" t="s">
        <v>70</v>
      </c>
      <c r="S132" s="108"/>
      <c r="T132" s="108"/>
    </row>
    <row r="133" spans="2:20" s="174" customFormat="1" ht="16.5" customHeight="1">
      <c r="B133" s="111" t="s">
        <v>71</v>
      </c>
      <c r="C133" s="115" t="s">
        <v>72</v>
      </c>
      <c r="D133" s="116"/>
      <c r="E133" s="116"/>
      <c r="F133" s="116"/>
      <c r="G133" s="117"/>
      <c r="H133" s="117"/>
      <c r="I133" s="71"/>
      <c r="J133" s="71"/>
      <c r="K133" s="71"/>
      <c r="L133" s="71"/>
      <c r="M133" s="71"/>
      <c r="N133" s="71"/>
      <c r="O133" s="71"/>
      <c r="P133" s="71"/>
      <c r="Q133" s="71"/>
      <c r="R133" s="71"/>
      <c r="S133" s="108"/>
      <c r="T133" s="108"/>
    </row>
    <row r="134" spans="2:20" s="174" customFormat="1" ht="16.5" customHeight="1">
      <c r="B134" s="111" t="s">
        <v>73</v>
      </c>
      <c r="C134" s="115" t="s">
        <v>74</v>
      </c>
      <c r="D134" s="116"/>
      <c r="E134" s="116"/>
      <c r="F134" s="116"/>
      <c r="G134" s="117"/>
      <c r="H134" s="117"/>
      <c r="I134" s="71"/>
      <c r="J134" s="71"/>
      <c r="K134" s="71"/>
      <c r="L134" s="71"/>
      <c r="M134" s="71"/>
      <c r="N134" s="71"/>
      <c r="O134" s="71"/>
      <c r="P134" s="71"/>
      <c r="Q134" s="71"/>
      <c r="R134" s="71"/>
      <c r="S134" s="108"/>
      <c r="T134" s="108"/>
    </row>
    <row r="135" spans="2:20" s="174" customFormat="1" ht="16.5" customHeight="1">
      <c r="B135" s="111" t="s">
        <v>75</v>
      </c>
      <c r="C135" s="115" t="s">
        <v>76</v>
      </c>
      <c r="D135" s="116"/>
      <c r="E135" s="116"/>
      <c r="F135" s="116"/>
      <c r="G135" s="117"/>
      <c r="H135" s="117"/>
      <c r="I135" s="71"/>
      <c r="J135" s="71"/>
      <c r="K135" s="71"/>
      <c r="L135" s="71"/>
      <c r="M135" s="71"/>
      <c r="N135" s="71"/>
      <c r="O135" s="71"/>
      <c r="P135" s="71"/>
      <c r="Q135" s="71"/>
      <c r="R135" s="71"/>
      <c r="S135" s="108"/>
      <c r="T135" s="108"/>
    </row>
    <row r="136" spans="2:20" s="174" customFormat="1" ht="16.5" customHeight="1">
      <c r="B136" s="111" t="s">
        <v>77</v>
      </c>
      <c r="C136" s="119" t="s">
        <v>78</v>
      </c>
      <c r="D136" s="116"/>
      <c r="E136" s="116"/>
      <c r="F136" s="116"/>
      <c r="G136" s="117"/>
      <c r="H136" s="117"/>
      <c r="I136" s="168">
        <f>IF(IF(I132=$I$238,I133,IF(I132=$I$239,I133*I134,IF(I132=$I$240,I133*I134*I135,1)))=0,"Fyll i 2.6-2.8",IF(I132=$I$238,I133,IF(I132=$I$239,I133*I134,IF(I132=$I$240,I133*I134*I135,1))))</f>
        <v>1</v>
      </c>
      <c r="J136" s="168">
        <f t="shared" ref="J136" si="65">IF(IF(J132=$I$238,J133,IF(J132=$I$239,J133*J134,IF(J132=$I$240,J133*J134*J135,1)))=0,"Fyll i 2.6-2.8",IF(J132=$I$238,J133,IF(J132=$I$239,J133*J134,IF(J132=$I$240,J133*J134*J135,1))))</f>
        <v>1</v>
      </c>
      <c r="K136" s="168">
        <f t="shared" ref="K136" si="66">IF(IF(K132=$I$238,K133,IF(K132=$I$239,K133*K134,IF(K132=$I$240,K133*K134*K135,1)))=0,"Fyll i 2.6-2.8",IF(K132=$I$238,K133,IF(K132=$I$239,K133*K134,IF(K132=$I$240,K133*K134*K135,1))))</f>
        <v>1</v>
      </c>
      <c r="L136" s="168">
        <f t="shared" ref="L136" si="67">IF(IF(L132=$I$238,L133,IF(L132=$I$239,L133*L134,IF(L132=$I$240,L133*L134*L135,1)))=0,"Fyll i 2.6-2.8",IF(L132=$I$238,L133,IF(L132=$I$239,L133*L134,IF(L132=$I$240,L133*L134*L135,1))))</f>
        <v>1</v>
      </c>
      <c r="M136" s="168">
        <f t="shared" ref="M136" si="68">IF(IF(M132=$I$238,M133,IF(M132=$I$239,M133*M134,IF(M132=$I$240,M133*M134*M135,1)))=0,"Fyll i 2.6-2.8",IF(M132=$I$238,M133,IF(M132=$I$239,M133*M134,IF(M132=$I$240,M133*M134*M135,1))))</f>
        <v>1</v>
      </c>
      <c r="N136" s="168">
        <f t="shared" ref="N136" si="69">IF(IF(N132=$I$238,N133,IF(N132=$I$239,N133*N134,IF(N132=$I$240,N133*N134*N135,1)))=0,"Fyll i 2.6-2.8",IF(N132=$I$238,N133,IF(N132=$I$239,N133*N134,IF(N132=$I$240,N133*N134*N135,1))))</f>
        <v>1</v>
      </c>
      <c r="O136" s="168">
        <f t="shared" ref="O136" si="70">IF(IF(O132=$I$238,O133,IF(O132=$I$239,O133*O134,IF(O132=$I$240,O133*O134*O135,1)))=0,"Fyll i 2.6-2.8",IF(O132=$I$238,O133,IF(O132=$I$239,O133*O134,IF(O132=$I$240,O133*O134*O135,1))))</f>
        <v>1</v>
      </c>
      <c r="P136" s="168">
        <f t="shared" ref="P136" si="71">IF(IF(P132=$I$238,P133,IF(P132=$I$239,P133*P134,IF(P132=$I$240,P133*P134*P135,1)))=0,"Fyll i 2.6-2.8",IF(P132=$I$238,P133,IF(P132=$I$239,P133*P134,IF(P132=$I$240,P133*P134*P135,1))))</f>
        <v>1</v>
      </c>
      <c r="Q136" s="168">
        <f t="shared" ref="Q136" si="72">IF(IF(Q132=$I$238,Q133,IF(Q132=$I$239,Q133*Q134,IF(Q132=$I$240,Q133*Q134*Q135,1)))=0,"Fyll i 2.6-2.8",IF(Q132=$I$238,Q133,IF(Q132=$I$239,Q133*Q134,IF(Q132=$I$240,Q133*Q134*Q135,1))))</f>
        <v>1</v>
      </c>
      <c r="R136" s="168">
        <f t="shared" ref="R136" si="73">IF(IF(R132=$I$238,R133,IF(R132=$I$239,R133*R134,IF(R132=$I$240,R133*R134*R135,1)))=0,"Fyll i 2.6-2.8",IF(R132=$I$238,R133,IF(R132=$I$239,R133*R134,IF(R132=$I$240,R133*R134*R135,1))))</f>
        <v>1</v>
      </c>
      <c r="S136" s="108"/>
      <c r="T136" s="108"/>
    </row>
    <row r="137" spans="2:20" s="174" customFormat="1" ht="16.5" customHeight="1">
      <c r="B137" s="111" t="s">
        <v>79</v>
      </c>
      <c r="C137" s="115" t="s">
        <v>80</v>
      </c>
      <c r="D137" s="116"/>
      <c r="E137" s="116"/>
      <c r="F137" s="116"/>
      <c r="G137" s="117"/>
      <c r="H137" s="117" t="s">
        <v>81</v>
      </c>
      <c r="I137" s="71"/>
      <c r="J137" s="71"/>
      <c r="K137" s="71"/>
      <c r="L137" s="71"/>
      <c r="M137" s="71"/>
      <c r="N137" s="71"/>
      <c r="O137" s="71"/>
      <c r="P137" s="71"/>
      <c r="Q137" s="71"/>
      <c r="R137" s="71"/>
      <c r="S137" s="108"/>
      <c r="T137" s="108"/>
    </row>
    <row r="138" spans="2:20" s="174" customFormat="1" ht="16.5" customHeight="1">
      <c r="B138" s="111"/>
      <c r="C138" s="118"/>
      <c r="D138" s="118"/>
      <c r="E138" s="118"/>
      <c r="F138" s="118"/>
      <c r="G138" s="118"/>
      <c r="H138" s="118"/>
      <c r="I138" s="179"/>
      <c r="J138" s="179"/>
      <c r="K138" s="179"/>
      <c r="L138" s="179"/>
      <c r="M138" s="179"/>
      <c r="N138" s="179"/>
      <c r="O138" s="179"/>
      <c r="P138" s="179"/>
      <c r="Q138" s="179"/>
      <c r="R138" s="179"/>
      <c r="S138" s="108"/>
      <c r="T138" s="108"/>
    </row>
    <row r="139" spans="2:20" s="174" customFormat="1" ht="16.5" customHeight="1">
      <c r="B139" s="111"/>
      <c r="C139" s="110" t="s">
        <v>197</v>
      </c>
      <c r="D139" s="118"/>
      <c r="E139" s="118"/>
      <c r="F139" s="118"/>
      <c r="G139" s="118"/>
      <c r="H139" s="118"/>
      <c r="I139" s="179"/>
      <c r="J139" s="179"/>
      <c r="K139" s="179"/>
      <c r="L139" s="179"/>
      <c r="M139" s="179"/>
      <c r="N139" s="179"/>
      <c r="O139" s="179"/>
      <c r="P139" s="179"/>
      <c r="Q139" s="179"/>
      <c r="R139" s="179"/>
      <c r="S139" s="108"/>
      <c r="T139" s="108"/>
    </row>
    <row r="140" spans="2:20" s="174" customFormat="1" ht="16.5" customHeight="1">
      <c r="B140" s="111" t="s">
        <v>58</v>
      </c>
      <c r="C140" s="115" t="s">
        <v>59</v>
      </c>
      <c r="D140" s="116"/>
      <c r="E140" s="116"/>
      <c r="F140" s="116"/>
      <c r="G140" s="117"/>
      <c r="H140" s="117" t="s">
        <v>54</v>
      </c>
      <c r="I140" s="71"/>
      <c r="J140" s="71"/>
      <c r="K140" s="71"/>
      <c r="L140" s="71"/>
      <c r="M140" s="71"/>
      <c r="N140" s="71"/>
      <c r="O140" s="71"/>
      <c r="P140" s="71"/>
      <c r="Q140" s="71"/>
      <c r="R140" s="71"/>
      <c r="S140" s="108"/>
      <c r="T140" s="108"/>
    </row>
    <row r="141" spans="2:20" s="174" customFormat="1" ht="16.5" customHeight="1">
      <c r="B141" s="111" t="s">
        <v>60</v>
      </c>
      <c r="C141" s="115" t="s">
        <v>61</v>
      </c>
      <c r="D141" s="116"/>
      <c r="E141" s="116"/>
      <c r="F141" s="116"/>
      <c r="G141" s="117"/>
      <c r="H141" s="117" t="s">
        <v>62</v>
      </c>
      <c r="I141" s="71"/>
      <c r="J141" s="71"/>
      <c r="K141" s="71"/>
      <c r="L141" s="71"/>
      <c r="M141" s="71"/>
      <c r="N141" s="71"/>
      <c r="O141" s="71"/>
      <c r="P141" s="71"/>
      <c r="Q141" s="71"/>
      <c r="R141" s="71"/>
      <c r="S141" s="108"/>
      <c r="T141" s="108"/>
    </row>
    <row r="142" spans="2:20" s="174" customFormat="1" ht="16.5" customHeight="1">
      <c r="B142" s="111" t="s">
        <v>63</v>
      </c>
      <c r="C142" s="115" t="s">
        <v>64</v>
      </c>
      <c r="D142" s="116"/>
      <c r="E142" s="116"/>
      <c r="F142" s="116"/>
      <c r="G142" s="117"/>
      <c r="H142" s="117" t="s">
        <v>62</v>
      </c>
      <c r="I142" s="71"/>
      <c r="J142" s="71"/>
      <c r="K142" s="71"/>
      <c r="L142" s="71"/>
      <c r="M142" s="71"/>
      <c r="N142" s="71"/>
      <c r="O142" s="71"/>
      <c r="P142" s="71"/>
      <c r="Q142" s="71"/>
      <c r="R142" s="71"/>
      <c r="S142" s="108"/>
      <c r="T142" s="108"/>
    </row>
    <row r="143" spans="2:20" s="174" customFormat="1" ht="16.5" customHeight="1">
      <c r="B143" s="111" t="s">
        <v>65</v>
      </c>
      <c r="C143" s="115" t="s">
        <v>66</v>
      </c>
      <c r="D143" s="116"/>
      <c r="E143" s="116"/>
      <c r="F143" s="116"/>
      <c r="G143" s="117"/>
      <c r="H143" s="117" t="s">
        <v>67</v>
      </c>
      <c r="I143" s="71"/>
      <c r="J143" s="71"/>
      <c r="K143" s="71"/>
      <c r="L143" s="71"/>
      <c r="M143" s="71"/>
      <c r="N143" s="71"/>
      <c r="O143" s="71"/>
      <c r="P143" s="71"/>
      <c r="Q143" s="71"/>
      <c r="R143" s="71"/>
      <c r="S143" s="108"/>
      <c r="T143" s="108"/>
    </row>
    <row r="144" spans="2:20" s="180" customFormat="1" ht="30" customHeight="1">
      <c r="B144" s="120" t="s">
        <v>68</v>
      </c>
      <c r="C144" s="115" t="s">
        <v>69</v>
      </c>
      <c r="D144" s="121"/>
      <c r="E144" s="121"/>
      <c r="F144" s="121"/>
      <c r="G144" s="122"/>
      <c r="H144" s="122"/>
      <c r="I144" s="71" t="s">
        <v>70</v>
      </c>
      <c r="J144" s="71" t="s">
        <v>70</v>
      </c>
      <c r="K144" s="71" t="s">
        <v>70</v>
      </c>
      <c r="L144" s="71" t="s">
        <v>70</v>
      </c>
      <c r="M144" s="71" t="s">
        <v>70</v>
      </c>
      <c r="N144" s="71" t="s">
        <v>70</v>
      </c>
      <c r="O144" s="71" t="s">
        <v>70</v>
      </c>
      <c r="P144" s="71" t="s">
        <v>70</v>
      </c>
      <c r="Q144" s="71" t="s">
        <v>70</v>
      </c>
      <c r="R144" s="71" t="s">
        <v>70</v>
      </c>
      <c r="S144" s="108"/>
      <c r="T144" s="108"/>
    </row>
    <row r="145" spans="1:20" s="174" customFormat="1" ht="16.5" customHeight="1">
      <c r="B145" s="111" t="s">
        <v>71</v>
      </c>
      <c r="C145" s="115" t="s">
        <v>72</v>
      </c>
      <c r="D145" s="116"/>
      <c r="E145" s="116"/>
      <c r="F145" s="116"/>
      <c r="G145" s="117"/>
      <c r="H145" s="117"/>
      <c r="I145" s="71"/>
      <c r="J145" s="71"/>
      <c r="K145" s="71"/>
      <c r="L145" s="71"/>
      <c r="M145" s="71"/>
      <c r="N145" s="71"/>
      <c r="O145" s="71"/>
      <c r="P145" s="71"/>
      <c r="Q145" s="71"/>
      <c r="R145" s="71"/>
      <c r="S145" s="108"/>
      <c r="T145" s="108"/>
    </row>
    <row r="146" spans="1:20" s="174" customFormat="1" ht="16.5" customHeight="1">
      <c r="B146" s="111" t="s">
        <v>73</v>
      </c>
      <c r="C146" s="115" t="s">
        <v>74</v>
      </c>
      <c r="D146" s="116"/>
      <c r="E146" s="116"/>
      <c r="F146" s="116"/>
      <c r="G146" s="117"/>
      <c r="H146" s="117"/>
      <c r="I146" s="71"/>
      <c r="J146" s="71"/>
      <c r="K146" s="71"/>
      <c r="L146" s="71"/>
      <c r="M146" s="71"/>
      <c r="N146" s="71"/>
      <c r="O146" s="71"/>
      <c r="P146" s="71"/>
      <c r="Q146" s="71"/>
      <c r="R146" s="71"/>
      <c r="S146" s="108"/>
      <c r="T146" s="108"/>
    </row>
    <row r="147" spans="1:20" s="174" customFormat="1" ht="16.5" customHeight="1">
      <c r="B147" s="111" t="s">
        <v>75</v>
      </c>
      <c r="C147" s="115" t="s">
        <v>76</v>
      </c>
      <c r="D147" s="116"/>
      <c r="E147" s="116"/>
      <c r="F147" s="116"/>
      <c r="G147" s="117"/>
      <c r="H147" s="117"/>
      <c r="I147" s="71"/>
      <c r="J147" s="71"/>
      <c r="K147" s="71"/>
      <c r="L147" s="71"/>
      <c r="M147" s="71"/>
      <c r="N147" s="71"/>
      <c r="O147" s="71"/>
      <c r="P147" s="71"/>
      <c r="Q147" s="71"/>
      <c r="R147" s="71"/>
      <c r="S147" s="108"/>
      <c r="T147" s="108"/>
    </row>
    <row r="148" spans="1:20" s="174" customFormat="1" ht="16.5" customHeight="1">
      <c r="B148" s="111" t="s">
        <v>77</v>
      </c>
      <c r="C148" s="119" t="s">
        <v>78</v>
      </c>
      <c r="D148" s="116"/>
      <c r="E148" s="116"/>
      <c r="F148" s="116"/>
      <c r="G148" s="117"/>
      <c r="H148" s="117"/>
      <c r="I148" s="168">
        <f>IF(IF(I144=$I$238,I145,IF(I144=$I$239,I145*I146,IF(I144=$I$240,I145*I146*I147,1)))=0,"Fyll i 2.6-2.8",IF(I144=$I$238,I145,IF(I144=$I$239,I145*I146,IF(I144=$I$240,I145*I146*I147,1))))</f>
        <v>1</v>
      </c>
      <c r="J148" s="168">
        <f t="shared" ref="J148" si="74">IF(IF(J144=$I$238,J145,IF(J144=$I$239,J145*J146,IF(J144=$I$240,J145*J146*J147,1)))=0,"Fyll i 2.6-2.8",IF(J144=$I$238,J145,IF(J144=$I$239,J145*J146,IF(J144=$I$240,J145*J146*J147,1))))</f>
        <v>1</v>
      </c>
      <c r="K148" s="168">
        <f t="shared" ref="K148" si="75">IF(IF(K144=$I$238,K145,IF(K144=$I$239,K145*K146,IF(K144=$I$240,K145*K146*K147,1)))=0,"Fyll i 2.6-2.8",IF(K144=$I$238,K145,IF(K144=$I$239,K145*K146,IF(K144=$I$240,K145*K146*K147,1))))</f>
        <v>1</v>
      </c>
      <c r="L148" s="168">
        <f t="shared" ref="L148" si="76">IF(IF(L144=$I$238,L145,IF(L144=$I$239,L145*L146,IF(L144=$I$240,L145*L146*L147,1)))=0,"Fyll i 2.6-2.8",IF(L144=$I$238,L145,IF(L144=$I$239,L145*L146,IF(L144=$I$240,L145*L146*L147,1))))</f>
        <v>1</v>
      </c>
      <c r="M148" s="168">
        <f t="shared" ref="M148" si="77">IF(IF(M144=$I$238,M145,IF(M144=$I$239,M145*M146,IF(M144=$I$240,M145*M146*M147,1)))=0,"Fyll i 2.6-2.8",IF(M144=$I$238,M145,IF(M144=$I$239,M145*M146,IF(M144=$I$240,M145*M146*M147,1))))</f>
        <v>1</v>
      </c>
      <c r="N148" s="168">
        <f t="shared" ref="N148" si="78">IF(IF(N144=$I$238,N145,IF(N144=$I$239,N145*N146,IF(N144=$I$240,N145*N146*N147,1)))=0,"Fyll i 2.6-2.8",IF(N144=$I$238,N145,IF(N144=$I$239,N145*N146,IF(N144=$I$240,N145*N146*N147,1))))</f>
        <v>1</v>
      </c>
      <c r="O148" s="168">
        <f t="shared" ref="O148" si="79">IF(IF(O144=$I$238,O145,IF(O144=$I$239,O145*O146,IF(O144=$I$240,O145*O146*O147,1)))=0,"Fyll i 2.6-2.8",IF(O144=$I$238,O145,IF(O144=$I$239,O145*O146,IF(O144=$I$240,O145*O146*O147,1))))</f>
        <v>1</v>
      </c>
      <c r="P148" s="168">
        <f t="shared" ref="P148" si="80">IF(IF(P144=$I$238,P145,IF(P144=$I$239,P145*P146,IF(P144=$I$240,P145*P146*P147,1)))=0,"Fyll i 2.6-2.8",IF(P144=$I$238,P145,IF(P144=$I$239,P145*P146,IF(P144=$I$240,P145*P146*P147,1))))</f>
        <v>1</v>
      </c>
      <c r="Q148" s="168">
        <f t="shared" ref="Q148" si="81">IF(IF(Q144=$I$238,Q145,IF(Q144=$I$239,Q145*Q146,IF(Q144=$I$240,Q145*Q146*Q147,1)))=0,"Fyll i 2.6-2.8",IF(Q144=$I$238,Q145,IF(Q144=$I$239,Q145*Q146,IF(Q144=$I$240,Q145*Q146*Q147,1))))</f>
        <v>1</v>
      </c>
      <c r="R148" s="168">
        <f t="shared" ref="R148" si="82">IF(IF(R144=$I$238,R145,IF(R144=$I$239,R145*R146,IF(R144=$I$240,R145*R146*R147,1)))=0,"Fyll i 2.6-2.8",IF(R144=$I$238,R145,IF(R144=$I$239,R145*R146,IF(R144=$I$240,R145*R146*R147,1))))</f>
        <v>1</v>
      </c>
      <c r="S148" s="108"/>
      <c r="T148" s="108"/>
    </row>
    <row r="149" spans="1:20" s="174" customFormat="1" ht="16.5" customHeight="1">
      <c r="B149" s="111" t="s">
        <v>79</v>
      </c>
      <c r="C149" s="115" t="s">
        <v>80</v>
      </c>
      <c r="D149" s="116"/>
      <c r="E149" s="116"/>
      <c r="F149" s="116"/>
      <c r="G149" s="117"/>
      <c r="H149" s="117" t="s">
        <v>81</v>
      </c>
      <c r="I149" s="71"/>
      <c r="J149" s="71"/>
      <c r="K149" s="71"/>
      <c r="L149" s="71"/>
      <c r="M149" s="71"/>
      <c r="N149" s="71"/>
      <c r="O149" s="71"/>
      <c r="P149" s="71"/>
      <c r="Q149" s="71"/>
      <c r="R149" s="71"/>
      <c r="S149" s="108"/>
      <c r="T149" s="108"/>
    </row>
    <row r="150" spans="1:20" s="174" customFormat="1" ht="16.5" customHeight="1">
      <c r="B150" s="111"/>
      <c r="C150" s="118"/>
      <c r="D150" s="118"/>
      <c r="E150" s="118"/>
      <c r="F150" s="118"/>
      <c r="G150" s="118"/>
      <c r="H150" s="118"/>
      <c r="I150" s="179"/>
      <c r="J150" s="179"/>
      <c r="K150" s="179"/>
      <c r="L150" s="179"/>
      <c r="M150" s="179"/>
      <c r="N150" s="179"/>
      <c r="O150" s="179"/>
      <c r="P150" s="179"/>
      <c r="Q150" s="179"/>
      <c r="R150" s="179"/>
      <c r="S150" s="108"/>
      <c r="T150" s="108"/>
    </row>
    <row r="151" spans="1:20" s="174" customFormat="1" ht="16.5" customHeight="1">
      <c r="B151" s="111"/>
      <c r="C151" s="110" t="s">
        <v>83</v>
      </c>
      <c r="D151" s="118"/>
      <c r="E151" s="118"/>
      <c r="F151" s="118"/>
      <c r="G151" s="118"/>
      <c r="H151" s="118"/>
      <c r="I151" s="179"/>
      <c r="J151" s="179"/>
      <c r="K151" s="179"/>
      <c r="L151" s="179"/>
      <c r="M151" s="179"/>
      <c r="N151" s="179"/>
      <c r="O151" s="179"/>
      <c r="P151" s="179"/>
      <c r="Q151" s="179"/>
      <c r="R151" s="179"/>
      <c r="S151" s="108"/>
      <c r="T151" s="108"/>
    </row>
    <row r="152" spans="1:20" s="174" customFormat="1" ht="16.5" customHeight="1">
      <c r="B152" s="111" t="s">
        <v>84</v>
      </c>
      <c r="C152" s="115" t="s">
        <v>85</v>
      </c>
      <c r="D152" s="116"/>
      <c r="E152" s="116"/>
      <c r="F152" s="116"/>
      <c r="G152" s="117"/>
      <c r="H152" s="117" t="s">
        <v>81</v>
      </c>
      <c r="I152" s="71"/>
      <c r="J152" s="71"/>
      <c r="K152" s="71"/>
      <c r="L152" s="71"/>
      <c r="M152" s="71"/>
      <c r="N152" s="71"/>
      <c r="O152" s="71"/>
      <c r="P152" s="71"/>
      <c r="Q152" s="71"/>
      <c r="R152" s="71"/>
      <c r="S152" s="108"/>
      <c r="T152" s="108"/>
    </row>
    <row r="153" spans="1:20" s="174" customFormat="1">
      <c r="B153" s="123"/>
      <c r="C153" s="124"/>
      <c r="D153" s="124"/>
      <c r="E153" s="124"/>
      <c r="F153" s="124"/>
      <c r="G153" s="124"/>
      <c r="H153" s="124"/>
      <c r="I153" s="181"/>
      <c r="J153" s="181"/>
      <c r="K153" s="181"/>
      <c r="L153" s="181"/>
      <c r="M153" s="181"/>
      <c r="N153" s="181"/>
      <c r="O153" s="181"/>
      <c r="P153" s="181"/>
      <c r="Q153" s="181"/>
      <c r="R153" s="181"/>
      <c r="S153" s="108"/>
      <c r="T153" s="108"/>
    </row>
    <row r="154" spans="1:20" s="174" customFormat="1" ht="29" customHeight="1">
      <c r="B154" s="249"/>
      <c r="C154" s="638" t="s">
        <v>86</v>
      </c>
      <c r="D154" s="638"/>
      <c r="E154" s="246"/>
      <c r="F154" s="250"/>
      <c r="G154" s="250"/>
      <c r="H154" s="251"/>
      <c r="I154" s="252"/>
      <c r="J154" s="252"/>
      <c r="K154" s="252"/>
      <c r="L154" s="253"/>
      <c r="M154" s="253"/>
      <c r="N154" s="253"/>
      <c r="O154" s="253"/>
      <c r="P154" s="253"/>
      <c r="Q154" s="253"/>
      <c r="R154" s="253"/>
      <c r="S154" s="254"/>
      <c r="T154" s="254"/>
    </row>
    <row r="155" spans="1:20" s="125" customFormat="1" ht="26.25" hidden="1" customHeight="1">
      <c r="A155" s="182"/>
      <c r="C155" s="126" t="s">
        <v>87</v>
      </c>
      <c r="D155" s="127"/>
      <c r="E155" s="128"/>
      <c r="F155" s="128"/>
      <c r="G155" s="128"/>
      <c r="H155" s="128"/>
      <c r="I155" s="198">
        <f>IF(I233="","",SUMPRODUCT(($I$233:$XFD$233&lt;I233)*($I$233:$XFD$233&lt;&gt;""))+SUMPRODUCT(($I$233:I233=I233)*1))</f>
        <v>1</v>
      </c>
      <c r="J155" s="198" t="str">
        <f>IF(J233="","",SUMPRODUCT(($I$233:$XFD$233&lt;J233)*($I$233:$XFD$233&lt;&gt;""))+SUMPRODUCT(($I$233:J233=J233)*1))</f>
        <v/>
      </c>
      <c r="K155" s="198" t="str">
        <f>IF(K233="","",SUMPRODUCT(($I$233:$XFD$233&lt;K233)*($I$233:$XFD$233&lt;&gt;""))+SUMPRODUCT(($I$233:K233=K233)*1))</f>
        <v/>
      </c>
      <c r="L155" s="198" t="str">
        <f>IF(L233="","",SUMPRODUCT(($I$233:$XFD$233&lt;L233)*($I$233:$XFD$233&lt;&gt;""))+SUMPRODUCT(($I$233:L233=L233)*1))</f>
        <v/>
      </c>
      <c r="M155" s="198" t="str">
        <f>IF(M233="","",SUMPRODUCT(($I$233:$XFD$233&lt;M233)*($I$233:$XFD$233&lt;&gt;""))+SUMPRODUCT(($I$233:M233=M233)*1))</f>
        <v/>
      </c>
      <c r="N155" s="198" t="str">
        <f>IF(N233="","",SUMPRODUCT(($I$233:$XFD$233&lt;N233)*($I$233:$XFD$233&lt;&gt;""))+SUMPRODUCT(($I$233:N233=N233)*1))</f>
        <v/>
      </c>
      <c r="O155" s="198" t="str">
        <f>IF(O233="","",SUMPRODUCT(($I$233:$XFD$233&lt;O233)*($I$233:$XFD$233&lt;&gt;""))+SUMPRODUCT(($I$233:O233=O233)*1))</f>
        <v/>
      </c>
      <c r="P155" s="198" t="str">
        <f>IF(P233="","",SUMPRODUCT(($I$233:$XFD$233&lt;P233)*($I$233:$XFD$233&lt;&gt;""))+SUMPRODUCT(($I$233:P233=P233)*1))</f>
        <v/>
      </c>
      <c r="Q155" s="198" t="str">
        <f>IF(Q233="","",SUMPRODUCT(($I$233:$XFD$233&lt;Q233)*($I$233:$XFD$233&lt;&gt;""))+SUMPRODUCT(($I$233:Q233=Q233)*1))</f>
        <v/>
      </c>
      <c r="R155" s="198" t="str">
        <f>IF(R233="","",SUMPRODUCT(($I$233:$XFD$233&lt;R233)*($I$233:$XFD$233&lt;&gt;""))+SUMPRODUCT(($I$233:R233=R233)*1))</f>
        <v/>
      </c>
      <c r="S155" s="108"/>
      <c r="T155" s="108"/>
    </row>
    <row r="156" spans="1:20" s="174" customFormat="1" ht="16.5" customHeight="1">
      <c r="B156" s="129"/>
      <c r="C156" s="586"/>
      <c r="D156" s="586"/>
      <c r="E156" s="586"/>
      <c r="F156" s="586"/>
      <c r="G156" s="586"/>
      <c r="H156" s="130"/>
      <c r="I156" s="199" t="str">
        <f>I167</f>
        <v>Byggnadstyp 1</v>
      </c>
      <c r="J156" s="199" t="str">
        <f t="shared" ref="J156:R156" si="83">J167</f>
        <v>Byggnadstyp 2</v>
      </c>
      <c r="K156" s="199" t="str">
        <f t="shared" si="83"/>
        <v>Byggnadstyp 3</v>
      </c>
      <c r="L156" s="199" t="str">
        <f t="shared" si="83"/>
        <v>Byggnadstyp 4</v>
      </c>
      <c r="M156" s="199" t="str">
        <f t="shared" si="83"/>
        <v>Byggnadstyp 5</v>
      </c>
      <c r="N156" s="199" t="str">
        <f t="shared" si="83"/>
        <v>Byggnadstyp 6</v>
      </c>
      <c r="O156" s="199" t="str">
        <f t="shared" si="83"/>
        <v>Byggnadstyp 7</v>
      </c>
      <c r="P156" s="199" t="str">
        <f t="shared" si="83"/>
        <v>Byggnadstyp 8</v>
      </c>
      <c r="Q156" s="199" t="str">
        <f t="shared" si="83"/>
        <v>Byggnadstyp 9</v>
      </c>
      <c r="R156" s="199" t="str">
        <f t="shared" si="83"/>
        <v>Byggnadstyp 10</v>
      </c>
      <c r="S156" s="108"/>
      <c r="T156" s="108"/>
    </row>
    <row r="157" spans="1:20" s="174" customFormat="1" ht="20" customHeight="1">
      <c r="B157" s="131" t="s">
        <v>88</v>
      </c>
      <c r="C157" s="132" t="s">
        <v>160</v>
      </c>
      <c r="D157" s="132"/>
      <c r="E157" s="132"/>
      <c r="F157" s="132"/>
      <c r="G157" s="132"/>
      <c r="H157" s="133" t="s">
        <v>90</v>
      </c>
      <c r="I157" s="200">
        <f t="shared" ref="I157:N157" si="84">I180+I199*$I$201+I215*$I$217</f>
        <v>0</v>
      </c>
      <c r="J157" s="200">
        <f t="shared" si="84"/>
        <v>0</v>
      </c>
      <c r="K157" s="200">
        <f t="shared" si="84"/>
        <v>0</v>
      </c>
      <c r="L157" s="200">
        <f t="shared" si="84"/>
        <v>0</v>
      </c>
      <c r="M157" s="200">
        <f t="shared" si="84"/>
        <v>0</v>
      </c>
      <c r="N157" s="200">
        <f t="shared" si="84"/>
        <v>0</v>
      </c>
      <c r="O157" s="200">
        <f t="shared" ref="O157:R157" si="85">O180+O199*$I$201+O215*$I$217</f>
        <v>0</v>
      </c>
      <c r="P157" s="200">
        <f t="shared" si="85"/>
        <v>0</v>
      </c>
      <c r="Q157" s="200">
        <f t="shared" si="85"/>
        <v>0</v>
      </c>
      <c r="R157" s="200">
        <f t="shared" si="85"/>
        <v>0</v>
      </c>
      <c r="S157" s="108"/>
      <c r="T157" s="108"/>
    </row>
    <row r="158" spans="1:20" s="174" customFormat="1" ht="20" customHeight="1">
      <c r="B158" s="131" t="s">
        <v>91</v>
      </c>
      <c r="C158" s="132" t="s">
        <v>92</v>
      </c>
      <c r="D158" s="132"/>
      <c r="E158" s="132"/>
      <c r="F158" s="132"/>
      <c r="G158" s="132"/>
      <c r="H158" s="133" t="s">
        <v>93</v>
      </c>
      <c r="I158" s="200">
        <f>I221</f>
        <v>0</v>
      </c>
      <c r="J158" s="200">
        <f>J221</f>
        <v>0</v>
      </c>
      <c r="K158" s="200">
        <f t="shared" ref="K158:R158" si="86">K221</f>
        <v>0</v>
      </c>
      <c r="L158" s="200">
        <f t="shared" si="86"/>
        <v>0</v>
      </c>
      <c r="M158" s="200">
        <f t="shared" si="86"/>
        <v>0</v>
      </c>
      <c r="N158" s="200">
        <f t="shared" si="86"/>
        <v>0</v>
      </c>
      <c r="O158" s="200">
        <f t="shared" si="86"/>
        <v>0</v>
      </c>
      <c r="P158" s="200">
        <f t="shared" si="86"/>
        <v>0</v>
      </c>
      <c r="Q158" s="200">
        <f t="shared" si="86"/>
        <v>0</v>
      </c>
      <c r="R158" s="200">
        <f t="shared" si="86"/>
        <v>0</v>
      </c>
      <c r="S158" s="108"/>
      <c r="T158" s="108"/>
    </row>
    <row r="159" spans="1:20" s="174" customFormat="1" ht="30" customHeight="1">
      <c r="B159" s="123"/>
      <c r="C159" s="134" t="s">
        <v>94</v>
      </c>
      <c r="D159" s="135"/>
      <c r="E159" s="135"/>
      <c r="F159" s="135"/>
      <c r="G159" s="135"/>
      <c r="H159" s="133"/>
      <c r="I159" s="201"/>
      <c r="J159" s="201"/>
      <c r="K159" s="201"/>
      <c r="L159" s="201"/>
      <c r="M159" s="201"/>
      <c r="N159" s="201"/>
      <c r="O159" s="201"/>
      <c r="P159" s="201"/>
      <c r="Q159" s="201"/>
      <c r="R159" s="201"/>
      <c r="S159" s="108"/>
      <c r="T159" s="108"/>
    </row>
    <row r="160" spans="1:20" s="174" customFormat="1" ht="20" customHeight="1">
      <c r="B160" s="123" t="s">
        <v>95</v>
      </c>
      <c r="C160" s="587" t="s">
        <v>96</v>
      </c>
      <c r="D160" s="587"/>
      <c r="E160" s="587"/>
      <c r="F160" s="587"/>
      <c r="G160" s="587"/>
      <c r="H160" s="133" t="s">
        <v>90</v>
      </c>
      <c r="I160" s="201">
        <f>I181+I202+I218</f>
        <v>0</v>
      </c>
      <c r="J160" s="201"/>
      <c r="K160" s="201"/>
      <c r="L160" s="201"/>
      <c r="M160" s="201"/>
      <c r="N160" s="201"/>
      <c r="O160" s="201"/>
      <c r="P160" s="201"/>
      <c r="Q160" s="201"/>
      <c r="R160" s="201"/>
      <c r="S160" s="108"/>
      <c r="T160" s="108"/>
    </row>
    <row r="161" spans="2:20" s="174" customFormat="1" ht="20" customHeight="1">
      <c r="B161" s="123" t="s">
        <v>97</v>
      </c>
      <c r="C161" s="136" t="s">
        <v>98</v>
      </c>
      <c r="D161" s="135"/>
      <c r="E161" s="135"/>
      <c r="F161" s="135"/>
      <c r="G161" s="135"/>
      <c r="H161" s="133" t="s">
        <v>90</v>
      </c>
      <c r="I161" s="201">
        <f>I200</f>
        <v>0</v>
      </c>
      <c r="J161" s="201"/>
      <c r="K161" s="201"/>
      <c r="L161" s="201"/>
      <c r="M161" s="201"/>
      <c r="N161" s="201"/>
      <c r="O161" s="201"/>
      <c r="P161" s="201"/>
      <c r="Q161" s="201"/>
      <c r="R161" s="201"/>
      <c r="S161" s="108"/>
      <c r="T161" s="108"/>
    </row>
    <row r="162" spans="2:20" s="174" customFormat="1" ht="20" customHeight="1">
      <c r="B162" s="123" t="s">
        <v>99</v>
      </c>
      <c r="C162" s="136" t="s">
        <v>100</v>
      </c>
      <c r="D162" s="135"/>
      <c r="E162" s="135"/>
      <c r="F162" s="135"/>
      <c r="G162" s="135"/>
      <c r="H162" s="133" t="s">
        <v>90</v>
      </c>
      <c r="I162" s="201">
        <f>I202</f>
        <v>0</v>
      </c>
      <c r="J162" s="201"/>
      <c r="K162" s="201"/>
      <c r="L162" s="201"/>
      <c r="M162" s="201"/>
      <c r="N162" s="201"/>
      <c r="O162" s="201"/>
      <c r="P162" s="201"/>
      <c r="Q162" s="201"/>
      <c r="R162" s="201"/>
      <c r="S162" s="108"/>
      <c r="T162" s="108"/>
    </row>
    <row r="163" spans="2:20" s="174" customFormat="1" ht="20" customHeight="1">
      <c r="B163" s="123" t="s">
        <v>101</v>
      </c>
      <c r="C163" s="587" t="s">
        <v>102</v>
      </c>
      <c r="D163" s="587"/>
      <c r="E163" s="587"/>
      <c r="F163" s="587"/>
      <c r="G163" s="587"/>
      <c r="H163" s="133" t="s">
        <v>103</v>
      </c>
      <c r="I163" s="201">
        <f>SUM(I220:XFD220)</f>
        <v>0</v>
      </c>
      <c r="J163" s="201"/>
      <c r="K163" s="201"/>
      <c r="L163" s="201"/>
      <c r="M163" s="201"/>
      <c r="N163" s="201"/>
      <c r="O163" s="201"/>
      <c r="P163" s="201"/>
      <c r="Q163" s="201"/>
      <c r="R163" s="201"/>
      <c r="S163" s="108"/>
      <c r="T163" s="108"/>
    </row>
    <row r="164" spans="2:20" s="174" customFormat="1" ht="20" customHeight="1">
      <c r="B164" s="123"/>
      <c r="C164" s="135"/>
      <c r="D164" s="135"/>
      <c r="E164" s="135"/>
      <c r="F164" s="135"/>
      <c r="G164" s="135"/>
      <c r="H164" s="133"/>
      <c r="I164" s="201"/>
      <c r="J164" s="201"/>
      <c r="K164" s="201"/>
      <c r="L164" s="201"/>
      <c r="M164" s="201"/>
      <c r="N164" s="201"/>
      <c r="O164" s="201"/>
      <c r="P164" s="201"/>
      <c r="Q164" s="201"/>
      <c r="R164" s="201"/>
      <c r="S164" s="108"/>
      <c r="T164" s="108"/>
    </row>
    <row r="165" spans="2:20" s="174" customFormat="1" ht="16.5" customHeight="1">
      <c r="B165" s="129"/>
      <c r="C165" s="586"/>
      <c r="D165" s="586"/>
      <c r="E165" s="586"/>
      <c r="F165" s="586"/>
      <c r="G165" s="586"/>
      <c r="H165" s="130"/>
      <c r="I165" s="202"/>
      <c r="J165" s="181"/>
      <c r="K165" s="181"/>
      <c r="L165" s="181"/>
      <c r="M165" s="181"/>
      <c r="N165" s="181"/>
      <c r="O165" s="181"/>
      <c r="P165" s="181"/>
      <c r="Q165" s="181"/>
      <c r="R165" s="181"/>
      <c r="S165" s="108"/>
      <c r="T165" s="108"/>
    </row>
    <row r="166" spans="2:20" s="182" customFormat="1" ht="26.25" customHeight="1">
      <c r="B166" s="255"/>
      <c r="C166" s="256" t="s">
        <v>42</v>
      </c>
      <c r="D166" s="255"/>
      <c r="E166" s="257"/>
      <c r="F166" s="255"/>
      <c r="G166" s="255"/>
      <c r="H166" s="255"/>
      <c r="I166" s="258"/>
      <c r="J166" s="258"/>
      <c r="K166" s="258"/>
      <c r="L166" s="258"/>
      <c r="M166" s="258"/>
      <c r="N166" s="258"/>
      <c r="O166" s="258"/>
      <c r="P166" s="258"/>
      <c r="Q166" s="258"/>
      <c r="R166" s="258"/>
      <c r="S166" s="255"/>
      <c r="T166" s="255"/>
    </row>
    <row r="167" spans="2:20" s="183" customFormat="1" ht="24" customHeight="1">
      <c r="B167" s="137"/>
      <c r="C167" s="588"/>
      <c r="D167" s="588"/>
      <c r="E167" s="588"/>
      <c r="F167" s="588"/>
      <c r="G167" s="588"/>
      <c r="H167" s="138"/>
      <c r="I167" s="203" t="str">
        <f t="shared" ref="I167:N167" si="87">I25</f>
        <v>Byggnadstyp 1</v>
      </c>
      <c r="J167" s="203" t="str">
        <f t="shared" si="87"/>
        <v>Byggnadstyp 2</v>
      </c>
      <c r="K167" s="203" t="str">
        <f t="shared" si="87"/>
        <v>Byggnadstyp 3</v>
      </c>
      <c r="L167" s="204" t="str">
        <f t="shared" si="87"/>
        <v>Byggnadstyp 4</v>
      </c>
      <c r="M167" s="204" t="str">
        <f t="shared" si="87"/>
        <v>Byggnadstyp 5</v>
      </c>
      <c r="N167" s="204" t="str">
        <f t="shared" si="87"/>
        <v>Byggnadstyp 6</v>
      </c>
      <c r="O167" s="204" t="str">
        <f t="shared" ref="O167:R167" si="88">O25</f>
        <v>Byggnadstyp 7</v>
      </c>
      <c r="P167" s="204" t="str">
        <f t="shared" si="88"/>
        <v>Byggnadstyp 8</v>
      </c>
      <c r="Q167" s="204" t="str">
        <f t="shared" si="88"/>
        <v>Byggnadstyp 9</v>
      </c>
      <c r="R167" s="204" t="str">
        <f t="shared" si="88"/>
        <v>Byggnadstyp 10</v>
      </c>
      <c r="S167" s="108"/>
      <c r="T167" s="108"/>
    </row>
    <row r="168" spans="2:20" ht="14">
      <c r="B168" s="259"/>
      <c r="C168" s="639" t="s">
        <v>104</v>
      </c>
      <c r="D168" s="639"/>
      <c r="E168" s="639"/>
      <c r="F168" s="639"/>
      <c r="G168" s="639"/>
      <c r="H168" s="259"/>
      <c r="I168" s="260"/>
      <c r="J168" s="260"/>
      <c r="K168" s="260"/>
      <c r="L168" s="261"/>
      <c r="M168" s="261"/>
      <c r="N168" s="261"/>
      <c r="O168" s="261"/>
      <c r="P168" s="261"/>
      <c r="Q168" s="261"/>
      <c r="R168" s="261"/>
      <c r="S168" s="262"/>
      <c r="T168" s="262"/>
    </row>
    <row r="169" spans="2:20">
      <c r="B169" s="139"/>
      <c r="C169" s="590" t="s">
        <v>105</v>
      </c>
      <c r="D169" s="590"/>
      <c r="E169" s="590"/>
      <c r="F169" s="590"/>
      <c r="G169" s="590"/>
      <c r="H169" s="138"/>
      <c r="I169" s="205"/>
      <c r="J169" s="205"/>
      <c r="K169" s="205"/>
      <c r="L169" s="205"/>
      <c r="M169" s="205"/>
      <c r="N169" s="205"/>
      <c r="O169" s="205"/>
      <c r="P169" s="205"/>
      <c r="Q169" s="205"/>
      <c r="R169" s="205"/>
      <c r="S169" s="108"/>
      <c r="T169" s="108"/>
    </row>
    <row r="170" spans="2:20">
      <c r="B170" s="139"/>
      <c r="C170" s="584" t="s">
        <v>106</v>
      </c>
      <c r="D170" s="584"/>
      <c r="E170" s="584"/>
      <c r="F170" s="584"/>
      <c r="G170" s="584"/>
      <c r="H170" s="137" t="s">
        <v>90</v>
      </c>
      <c r="I170" s="206">
        <f>I$28*(I32*(I33+I34))</f>
        <v>0</v>
      </c>
      <c r="J170" s="206">
        <f>J$28*(J32*(J33+J34))</f>
        <v>0</v>
      </c>
      <c r="K170" s="206">
        <f t="shared" ref="K170:R170" si="89">K$28*(K32*(K33+K34))</f>
        <v>0</v>
      </c>
      <c r="L170" s="206">
        <f t="shared" si="89"/>
        <v>0</v>
      </c>
      <c r="M170" s="206">
        <f t="shared" si="89"/>
        <v>0</v>
      </c>
      <c r="N170" s="206">
        <f t="shared" si="89"/>
        <v>0</v>
      </c>
      <c r="O170" s="206">
        <f t="shared" si="89"/>
        <v>0</v>
      </c>
      <c r="P170" s="206">
        <f t="shared" si="89"/>
        <v>0</v>
      </c>
      <c r="Q170" s="206">
        <f t="shared" si="89"/>
        <v>0</v>
      </c>
      <c r="R170" s="206">
        <f t="shared" si="89"/>
        <v>0</v>
      </c>
      <c r="S170" s="108"/>
      <c r="T170" s="108"/>
    </row>
    <row r="171" spans="2:20">
      <c r="B171" s="139"/>
      <c r="C171" s="584" t="s">
        <v>107</v>
      </c>
      <c r="D171" s="584"/>
      <c r="E171" s="584"/>
      <c r="F171" s="584"/>
      <c r="G171" s="584"/>
      <c r="H171" s="137" t="s">
        <v>90</v>
      </c>
      <c r="I171" s="206">
        <f>I$28*(I44*(I45+I46))</f>
        <v>0</v>
      </c>
      <c r="J171" s="206">
        <f>J$28*(J44*(J45+J46))</f>
        <v>0</v>
      </c>
      <c r="K171" s="206">
        <f t="shared" ref="K171:R171" si="90">K$28*(K44*(K45+K46))</f>
        <v>0</v>
      </c>
      <c r="L171" s="206">
        <f t="shared" si="90"/>
        <v>0</v>
      </c>
      <c r="M171" s="206">
        <f t="shared" si="90"/>
        <v>0</v>
      </c>
      <c r="N171" s="206">
        <f t="shared" si="90"/>
        <v>0</v>
      </c>
      <c r="O171" s="206">
        <f t="shared" si="90"/>
        <v>0</v>
      </c>
      <c r="P171" s="206">
        <f t="shared" si="90"/>
        <v>0</v>
      </c>
      <c r="Q171" s="206">
        <f t="shared" si="90"/>
        <v>0</v>
      </c>
      <c r="R171" s="206">
        <f t="shared" si="90"/>
        <v>0</v>
      </c>
      <c r="S171" s="108"/>
      <c r="T171" s="108"/>
    </row>
    <row r="172" spans="2:20">
      <c r="B172" s="139"/>
      <c r="C172" s="584" t="s">
        <v>108</v>
      </c>
      <c r="D172" s="584"/>
      <c r="E172" s="584"/>
      <c r="F172" s="584"/>
      <c r="G172" s="584"/>
      <c r="H172" s="137" t="s">
        <v>90</v>
      </c>
      <c r="I172" s="206">
        <f>I$28*(I56*(I57+I58))</f>
        <v>0</v>
      </c>
      <c r="J172" s="206">
        <f>J$28*(J56*(J57+J58))</f>
        <v>0</v>
      </c>
      <c r="K172" s="206">
        <f t="shared" ref="K172:R172" si="91">K$28*(K56*(K57+K58))</f>
        <v>0</v>
      </c>
      <c r="L172" s="206">
        <f t="shared" si="91"/>
        <v>0</v>
      </c>
      <c r="M172" s="206">
        <f t="shared" si="91"/>
        <v>0</v>
      </c>
      <c r="N172" s="206">
        <f t="shared" si="91"/>
        <v>0</v>
      </c>
      <c r="O172" s="206">
        <f t="shared" si="91"/>
        <v>0</v>
      </c>
      <c r="P172" s="206">
        <f t="shared" si="91"/>
        <v>0</v>
      </c>
      <c r="Q172" s="206">
        <f t="shared" si="91"/>
        <v>0</v>
      </c>
      <c r="R172" s="206">
        <f t="shared" si="91"/>
        <v>0</v>
      </c>
      <c r="S172" s="108"/>
      <c r="T172" s="108"/>
    </row>
    <row r="173" spans="2:20">
      <c r="B173" s="139"/>
      <c r="C173" s="584" t="s">
        <v>109</v>
      </c>
      <c r="D173" s="584"/>
      <c r="E173" s="584"/>
      <c r="F173" s="584"/>
      <c r="G173" s="584"/>
      <c r="H173" s="137" t="s">
        <v>90</v>
      </c>
      <c r="I173" s="206">
        <f>I$28*(I68*(I69+I70))</f>
        <v>0</v>
      </c>
      <c r="J173" s="206">
        <f>J$28*(J68*(J69+J70))</f>
        <v>0</v>
      </c>
      <c r="K173" s="206">
        <f t="shared" ref="K173:R173" si="92">K$28*(K68*(K69+K70))</f>
        <v>0</v>
      </c>
      <c r="L173" s="206">
        <f t="shared" si="92"/>
        <v>0</v>
      </c>
      <c r="M173" s="206">
        <f t="shared" si="92"/>
        <v>0</v>
      </c>
      <c r="N173" s="206">
        <f t="shared" si="92"/>
        <v>0</v>
      </c>
      <c r="O173" s="206">
        <f t="shared" si="92"/>
        <v>0</v>
      </c>
      <c r="P173" s="206">
        <f t="shared" si="92"/>
        <v>0</v>
      </c>
      <c r="Q173" s="206">
        <f t="shared" si="92"/>
        <v>0</v>
      </c>
      <c r="R173" s="206">
        <f t="shared" si="92"/>
        <v>0</v>
      </c>
      <c r="S173" s="108"/>
      <c r="T173" s="108"/>
    </row>
    <row r="174" spans="2:20">
      <c r="B174" s="139"/>
      <c r="C174" s="584" t="s">
        <v>110</v>
      </c>
      <c r="D174" s="584"/>
      <c r="E174" s="584"/>
      <c r="F174" s="584"/>
      <c r="G174" s="584"/>
      <c r="H174" s="137" t="s">
        <v>90</v>
      </c>
      <c r="I174" s="206">
        <f>I$28*(I80*(I81+I82))</f>
        <v>0</v>
      </c>
      <c r="J174" s="206">
        <f>J$28*(J80*(J81+J82))</f>
        <v>0</v>
      </c>
      <c r="K174" s="206">
        <f t="shared" ref="K174:R174" si="93">K$28*(K80*(K81+K82))</f>
        <v>0</v>
      </c>
      <c r="L174" s="206">
        <f t="shared" si="93"/>
        <v>0</v>
      </c>
      <c r="M174" s="206">
        <f t="shared" si="93"/>
        <v>0</v>
      </c>
      <c r="N174" s="206">
        <f t="shared" si="93"/>
        <v>0</v>
      </c>
      <c r="O174" s="206">
        <f t="shared" si="93"/>
        <v>0</v>
      </c>
      <c r="P174" s="206">
        <f t="shared" si="93"/>
        <v>0</v>
      </c>
      <c r="Q174" s="206">
        <f t="shared" si="93"/>
        <v>0</v>
      </c>
      <c r="R174" s="206">
        <f t="shared" si="93"/>
        <v>0</v>
      </c>
      <c r="S174" s="108"/>
      <c r="T174" s="108"/>
    </row>
    <row r="175" spans="2:20">
      <c r="B175" s="139"/>
      <c r="C175" s="584" t="s">
        <v>111</v>
      </c>
      <c r="D175" s="584"/>
      <c r="E175" s="584"/>
      <c r="F175" s="584"/>
      <c r="G175" s="584"/>
      <c r="H175" s="137" t="s">
        <v>90</v>
      </c>
      <c r="I175" s="206">
        <f>I$28*(I92*(I93+I94))</f>
        <v>0</v>
      </c>
      <c r="J175" s="206">
        <f>J$28*(J92*(J93+J94))</f>
        <v>0</v>
      </c>
      <c r="K175" s="206">
        <f t="shared" ref="K175:R175" si="94">K$28*(K92*(K93+K94))</f>
        <v>0</v>
      </c>
      <c r="L175" s="206">
        <f t="shared" si="94"/>
        <v>0</v>
      </c>
      <c r="M175" s="206">
        <f t="shared" si="94"/>
        <v>0</v>
      </c>
      <c r="N175" s="206">
        <f t="shared" si="94"/>
        <v>0</v>
      </c>
      <c r="O175" s="206">
        <f t="shared" si="94"/>
        <v>0</v>
      </c>
      <c r="P175" s="206">
        <f t="shared" si="94"/>
        <v>0</v>
      </c>
      <c r="Q175" s="206">
        <f t="shared" si="94"/>
        <v>0</v>
      </c>
      <c r="R175" s="206">
        <f t="shared" si="94"/>
        <v>0</v>
      </c>
      <c r="S175" s="108"/>
      <c r="T175" s="108"/>
    </row>
    <row r="176" spans="2:20">
      <c r="B176" s="139"/>
      <c r="C176" s="584" t="s">
        <v>112</v>
      </c>
      <c r="D176" s="584"/>
      <c r="E176" s="584"/>
      <c r="F176" s="584"/>
      <c r="G176" s="584"/>
      <c r="H176" s="137" t="s">
        <v>90</v>
      </c>
      <c r="I176" s="206">
        <f>I$28*(I104*(I105+I106))</f>
        <v>0</v>
      </c>
      <c r="J176" s="206">
        <f>J$28*(J104*(J105+J106))</f>
        <v>0</v>
      </c>
      <c r="K176" s="206">
        <f t="shared" ref="K176:R176" si="95">K$28*(K104*(K105+K106))</f>
        <v>0</v>
      </c>
      <c r="L176" s="206">
        <f t="shared" si="95"/>
        <v>0</v>
      </c>
      <c r="M176" s="206">
        <f t="shared" si="95"/>
        <v>0</v>
      </c>
      <c r="N176" s="206">
        <f t="shared" si="95"/>
        <v>0</v>
      </c>
      <c r="O176" s="206">
        <f t="shared" si="95"/>
        <v>0</v>
      </c>
      <c r="P176" s="206">
        <f t="shared" si="95"/>
        <v>0</v>
      </c>
      <c r="Q176" s="206">
        <f t="shared" si="95"/>
        <v>0</v>
      </c>
      <c r="R176" s="206">
        <f t="shared" si="95"/>
        <v>0</v>
      </c>
      <c r="S176" s="108"/>
      <c r="T176" s="108"/>
    </row>
    <row r="177" spans="2:20">
      <c r="B177" s="139"/>
      <c r="C177" s="584" t="s">
        <v>113</v>
      </c>
      <c r="D177" s="584"/>
      <c r="E177" s="584"/>
      <c r="F177" s="584"/>
      <c r="G177" s="584"/>
      <c r="H177" s="137" t="s">
        <v>90</v>
      </c>
      <c r="I177" s="206">
        <f>I$28*(I116*(I117+I118))</f>
        <v>0</v>
      </c>
      <c r="J177" s="206">
        <f>J$28*(J116*(J117+J118))</f>
        <v>0</v>
      </c>
      <c r="K177" s="206">
        <f t="shared" ref="K177:R177" si="96">K$28*(K116*(K117+K118))</f>
        <v>0</v>
      </c>
      <c r="L177" s="206">
        <f t="shared" si="96"/>
        <v>0</v>
      </c>
      <c r="M177" s="206">
        <f t="shared" si="96"/>
        <v>0</v>
      </c>
      <c r="N177" s="206">
        <f t="shared" si="96"/>
        <v>0</v>
      </c>
      <c r="O177" s="206">
        <f t="shared" si="96"/>
        <v>0</v>
      </c>
      <c r="P177" s="206">
        <f t="shared" si="96"/>
        <v>0</v>
      </c>
      <c r="Q177" s="206">
        <f t="shared" si="96"/>
        <v>0</v>
      </c>
      <c r="R177" s="206">
        <f t="shared" si="96"/>
        <v>0</v>
      </c>
      <c r="S177" s="108"/>
      <c r="T177" s="108"/>
    </row>
    <row r="178" spans="2:20">
      <c r="B178" s="139"/>
      <c r="C178" s="584" t="s">
        <v>114</v>
      </c>
      <c r="D178" s="584"/>
      <c r="E178" s="584"/>
      <c r="F178" s="584"/>
      <c r="G178" s="584"/>
      <c r="H178" s="137" t="s">
        <v>90</v>
      </c>
      <c r="I178" s="206">
        <f>I$28*(I128*(I129+I130))</f>
        <v>0</v>
      </c>
      <c r="J178" s="206">
        <f>J$28*(J128*(J129+J130))</f>
        <v>0</v>
      </c>
      <c r="K178" s="206">
        <f t="shared" ref="K178:R178" si="97">K$28*(K128*(K129+K130))</f>
        <v>0</v>
      </c>
      <c r="L178" s="206">
        <f t="shared" si="97"/>
        <v>0</v>
      </c>
      <c r="M178" s="206">
        <f t="shared" si="97"/>
        <v>0</v>
      </c>
      <c r="N178" s="206">
        <f t="shared" si="97"/>
        <v>0</v>
      </c>
      <c r="O178" s="206">
        <f t="shared" si="97"/>
        <v>0</v>
      </c>
      <c r="P178" s="206">
        <f t="shared" si="97"/>
        <v>0</v>
      </c>
      <c r="Q178" s="206">
        <f t="shared" si="97"/>
        <v>0</v>
      </c>
      <c r="R178" s="206">
        <f t="shared" si="97"/>
        <v>0</v>
      </c>
      <c r="S178" s="108"/>
      <c r="T178" s="108"/>
    </row>
    <row r="179" spans="2:20">
      <c r="B179" s="139"/>
      <c r="C179" s="584" t="s">
        <v>115</v>
      </c>
      <c r="D179" s="584"/>
      <c r="E179" s="584"/>
      <c r="F179" s="584"/>
      <c r="G179" s="584"/>
      <c r="H179" s="137" t="s">
        <v>90</v>
      </c>
      <c r="I179" s="206">
        <f>I$28*(I140*(I141+I142))</f>
        <v>0</v>
      </c>
      <c r="J179" s="206">
        <f>J$28*(J140*(J141+J142))</f>
        <v>0</v>
      </c>
      <c r="K179" s="206">
        <f t="shared" ref="K179:R179" si="98">K$28*(K140*(K141+K142))</f>
        <v>0</v>
      </c>
      <c r="L179" s="206">
        <f t="shared" si="98"/>
        <v>0</v>
      </c>
      <c r="M179" s="206">
        <f t="shared" si="98"/>
        <v>0</v>
      </c>
      <c r="N179" s="206">
        <f t="shared" si="98"/>
        <v>0</v>
      </c>
      <c r="O179" s="206">
        <f t="shared" si="98"/>
        <v>0</v>
      </c>
      <c r="P179" s="206">
        <f t="shared" si="98"/>
        <v>0</v>
      </c>
      <c r="Q179" s="206">
        <f t="shared" si="98"/>
        <v>0</v>
      </c>
      <c r="R179" s="206">
        <f t="shared" si="98"/>
        <v>0</v>
      </c>
      <c r="S179" s="108"/>
      <c r="T179" s="108"/>
    </row>
    <row r="180" spans="2:20">
      <c r="B180" s="139"/>
      <c r="C180" s="141" t="s">
        <v>116</v>
      </c>
      <c r="D180" s="142"/>
      <c r="E180" s="142"/>
      <c r="F180" s="142"/>
      <c r="G180" s="142"/>
      <c r="H180" s="143" t="s">
        <v>90</v>
      </c>
      <c r="I180" s="207">
        <f>SUM(I170:I179)</f>
        <v>0</v>
      </c>
      <c r="J180" s="207">
        <f>SUM(J170:J179)</f>
        <v>0</v>
      </c>
      <c r="K180" s="207">
        <f t="shared" ref="K180:R180" si="99">SUM(K170:K179)</f>
        <v>0</v>
      </c>
      <c r="L180" s="207">
        <f t="shared" si="99"/>
        <v>0</v>
      </c>
      <c r="M180" s="207">
        <f t="shared" si="99"/>
        <v>0</v>
      </c>
      <c r="N180" s="207">
        <f t="shared" si="99"/>
        <v>0</v>
      </c>
      <c r="O180" s="207">
        <f t="shared" si="99"/>
        <v>0</v>
      </c>
      <c r="P180" s="207">
        <f t="shared" si="99"/>
        <v>0</v>
      </c>
      <c r="Q180" s="207">
        <f t="shared" si="99"/>
        <v>0</v>
      </c>
      <c r="R180" s="207">
        <f t="shared" si="99"/>
        <v>0</v>
      </c>
      <c r="S180" s="108"/>
      <c r="T180" s="108"/>
    </row>
    <row r="181" spans="2:20" ht="14">
      <c r="B181" s="263"/>
      <c r="C181" s="640" t="s">
        <v>117</v>
      </c>
      <c r="D181" s="640"/>
      <c r="E181" s="640"/>
      <c r="F181" s="640"/>
      <c r="G181" s="640"/>
      <c r="H181" s="263" t="s">
        <v>90</v>
      </c>
      <c r="I181" s="264">
        <f>SUM(I180:XFD180)</f>
        <v>0</v>
      </c>
      <c r="J181" s="264"/>
      <c r="K181" s="264"/>
      <c r="L181" s="264"/>
      <c r="M181" s="264"/>
      <c r="N181" s="264"/>
      <c r="O181" s="264"/>
      <c r="P181" s="264"/>
      <c r="Q181" s="264"/>
      <c r="R181" s="264"/>
      <c r="S181" s="265"/>
      <c r="T181" s="265"/>
    </row>
    <row r="182" spans="2:20" ht="14">
      <c r="B182" s="144"/>
      <c r="C182" s="594"/>
      <c r="D182" s="594"/>
      <c r="E182" s="594"/>
      <c r="F182" s="594"/>
      <c r="G182" s="594"/>
      <c r="H182" s="139"/>
      <c r="I182" s="208"/>
      <c r="J182" s="209"/>
      <c r="K182" s="209"/>
      <c r="L182" s="210"/>
      <c r="M182" s="210"/>
      <c r="N182" s="210"/>
      <c r="O182" s="210"/>
      <c r="P182" s="210"/>
      <c r="Q182" s="210"/>
      <c r="R182" s="210"/>
      <c r="S182" s="184"/>
      <c r="T182" s="184"/>
    </row>
    <row r="183" spans="2:20" ht="14">
      <c r="B183" s="263"/>
      <c r="C183" s="640" t="s">
        <v>118</v>
      </c>
      <c r="D183" s="640"/>
      <c r="E183" s="640"/>
      <c r="F183" s="640"/>
      <c r="G183" s="640"/>
      <c r="H183" s="263"/>
      <c r="I183" s="266"/>
      <c r="J183" s="267"/>
      <c r="K183" s="267"/>
      <c r="L183" s="267"/>
      <c r="M183" s="267"/>
      <c r="N183" s="267"/>
      <c r="O183" s="267"/>
      <c r="P183" s="267"/>
      <c r="Q183" s="267"/>
      <c r="R183" s="267"/>
      <c r="S183" s="263"/>
      <c r="T183" s="263"/>
    </row>
    <row r="184" spans="2:20">
      <c r="B184" s="144"/>
      <c r="C184" s="145" t="s">
        <v>119</v>
      </c>
      <c r="D184" s="141"/>
      <c r="E184" s="141"/>
      <c r="F184" s="141"/>
      <c r="G184" s="141"/>
      <c r="H184" s="139"/>
      <c r="I184" s="206"/>
      <c r="J184" s="211"/>
      <c r="K184" s="211"/>
      <c r="L184" s="211"/>
      <c r="M184" s="211"/>
      <c r="N184" s="211"/>
      <c r="O184" s="211"/>
      <c r="P184" s="211"/>
      <c r="Q184" s="211"/>
      <c r="R184" s="211"/>
      <c r="S184" s="108"/>
      <c r="T184" s="108"/>
    </row>
    <row r="185" spans="2:20">
      <c r="B185" s="144"/>
      <c r="C185" s="595" t="s">
        <v>120</v>
      </c>
      <c r="D185" s="596"/>
      <c r="E185" s="596"/>
      <c r="F185" s="596"/>
      <c r="G185" s="596"/>
      <c r="H185" s="138"/>
      <c r="I185" s="212"/>
      <c r="J185" s="205"/>
      <c r="K185" s="205"/>
      <c r="L185" s="205"/>
      <c r="M185" s="205"/>
      <c r="N185" s="205"/>
      <c r="O185" s="205"/>
      <c r="P185" s="205"/>
      <c r="Q185" s="205"/>
      <c r="R185" s="205"/>
      <c r="S185" s="108"/>
      <c r="T185" s="108"/>
    </row>
    <row r="186" spans="2:20">
      <c r="B186" s="144"/>
      <c r="C186" s="591" t="s">
        <v>106</v>
      </c>
      <c r="D186" s="592"/>
      <c r="E186" s="592"/>
      <c r="F186" s="592"/>
      <c r="G186" s="592"/>
      <c r="H186" s="144" t="s">
        <v>121</v>
      </c>
      <c r="I186" s="213">
        <f>(I$28*I32*I35*I40*$H$20)/1000</f>
        <v>0</v>
      </c>
      <c r="J186" s="213">
        <f>(J$28*J32*J35*J40*$H$20)/1000</f>
        <v>0</v>
      </c>
      <c r="K186" s="213">
        <f t="shared" ref="K186:R186" si="100">(K$28*K32*K35*K40*$H$20)/1000</f>
        <v>0</v>
      </c>
      <c r="L186" s="213">
        <f t="shared" si="100"/>
        <v>0</v>
      </c>
      <c r="M186" s="213">
        <f t="shared" si="100"/>
        <v>0</v>
      </c>
      <c r="N186" s="213">
        <f t="shared" si="100"/>
        <v>0</v>
      </c>
      <c r="O186" s="213">
        <f t="shared" si="100"/>
        <v>0</v>
      </c>
      <c r="P186" s="213">
        <f t="shared" si="100"/>
        <v>0</v>
      </c>
      <c r="Q186" s="213">
        <f t="shared" si="100"/>
        <v>0</v>
      </c>
      <c r="R186" s="213">
        <f t="shared" si="100"/>
        <v>0</v>
      </c>
      <c r="S186" s="108"/>
      <c r="T186" s="108"/>
    </row>
    <row r="187" spans="2:20">
      <c r="B187" s="144"/>
      <c r="C187" s="637" t="s">
        <v>107</v>
      </c>
      <c r="D187" s="592"/>
      <c r="E187" s="592"/>
      <c r="F187" s="592"/>
      <c r="G187" s="592"/>
      <c r="H187" s="149" t="s">
        <v>121</v>
      </c>
      <c r="I187" s="213">
        <f>(I$28*I44*I47*I52*$H$20)/1000</f>
        <v>0</v>
      </c>
      <c r="J187" s="213">
        <f>(J$28*J44*J47*J52*$H$20)/1000</f>
        <v>0</v>
      </c>
      <c r="K187" s="213">
        <f t="shared" ref="K187:R187" si="101">(K$28*K44*K47*K52*$H$20)/1000</f>
        <v>0</v>
      </c>
      <c r="L187" s="213">
        <f t="shared" si="101"/>
        <v>0</v>
      </c>
      <c r="M187" s="213">
        <f t="shared" si="101"/>
        <v>0</v>
      </c>
      <c r="N187" s="213">
        <f t="shared" si="101"/>
        <v>0</v>
      </c>
      <c r="O187" s="213">
        <f t="shared" si="101"/>
        <v>0</v>
      </c>
      <c r="P187" s="213">
        <f t="shared" si="101"/>
        <v>0</v>
      </c>
      <c r="Q187" s="213">
        <f t="shared" si="101"/>
        <v>0</v>
      </c>
      <c r="R187" s="213">
        <f t="shared" si="101"/>
        <v>0</v>
      </c>
      <c r="S187" s="108"/>
      <c r="T187" s="108"/>
    </row>
    <row r="188" spans="2:20">
      <c r="B188" s="144"/>
      <c r="C188" s="637" t="s">
        <v>108</v>
      </c>
      <c r="D188" s="592"/>
      <c r="E188" s="592"/>
      <c r="F188" s="592"/>
      <c r="G188" s="592"/>
      <c r="H188" s="149" t="s">
        <v>121</v>
      </c>
      <c r="I188" s="213">
        <f>(I$28*I56*I59*I64*$H$20)/1000</f>
        <v>0</v>
      </c>
      <c r="J188" s="213">
        <f>(J$28*J56*J59*J64*$H$20)/1000</f>
        <v>0</v>
      </c>
      <c r="K188" s="213">
        <f t="shared" ref="K188:R188" si="102">(K$28*K56*K59*K64*$H$20)/1000</f>
        <v>0</v>
      </c>
      <c r="L188" s="213">
        <f t="shared" si="102"/>
        <v>0</v>
      </c>
      <c r="M188" s="213">
        <f t="shared" si="102"/>
        <v>0</v>
      </c>
      <c r="N188" s="213">
        <f t="shared" si="102"/>
        <v>0</v>
      </c>
      <c r="O188" s="213">
        <f t="shared" si="102"/>
        <v>0</v>
      </c>
      <c r="P188" s="213">
        <f t="shared" si="102"/>
        <v>0</v>
      </c>
      <c r="Q188" s="213">
        <f t="shared" si="102"/>
        <v>0</v>
      </c>
      <c r="R188" s="213">
        <f t="shared" si="102"/>
        <v>0</v>
      </c>
      <c r="S188" s="108"/>
      <c r="T188" s="108"/>
    </row>
    <row r="189" spans="2:20">
      <c r="B189" s="144"/>
      <c r="C189" s="637" t="s">
        <v>109</v>
      </c>
      <c r="D189" s="592"/>
      <c r="E189" s="592"/>
      <c r="F189" s="592"/>
      <c r="G189" s="592"/>
      <c r="H189" s="149" t="s">
        <v>121</v>
      </c>
      <c r="I189" s="213">
        <f>(I$28*I68*I71*I76*$H$20)/1000</f>
        <v>0</v>
      </c>
      <c r="J189" s="213">
        <f>(J$28*J68*J71*J76*$H$20)/1000</f>
        <v>0</v>
      </c>
      <c r="K189" s="213">
        <f t="shared" ref="K189:R189" si="103">(K$28*K68*K71*K76*$H$20)/1000</f>
        <v>0</v>
      </c>
      <c r="L189" s="213">
        <f t="shared" si="103"/>
        <v>0</v>
      </c>
      <c r="M189" s="213">
        <f t="shared" si="103"/>
        <v>0</v>
      </c>
      <c r="N189" s="213">
        <f t="shared" si="103"/>
        <v>0</v>
      </c>
      <c r="O189" s="213">
        <f t="shared" si="103"/>
        <v>0</v>
      </c>
      <c r="P189" s="213">
        <f t="shared" si="103"/>
        <v>0</v>
      </c>
      <c r="Q189" s="213">
        <f t="shared" si="103"/>
        <v>0</v>
      </c>
      <c r="R189" s="213">
        <f t="shared" si="103"/>
        <v>0</v>
      </c>
      <c r="S189" s="108"/>
      <c r="T189" s="108"/>
    </row>
    <row r="190" spans="2:20">
      <c r="B190" s="144"/>
      <c r="C190" s="637" t="s">
        <v>110</v>
      </c>
      <c r="D190" s="592"/>
      <c r="E190" s="592"/>
      <c r="F190" s="592"/>
      <c r="G190" s="592"/>
      <c r="H190" s="149" t="s">
        <v>121</v>
      </c>
      <c r="I190" s="213">
        <f>(I$28*I80*I83*I88*$H$20)/1000</f>
        <v>0</v>
      </c>
      <c r="J190" s="213">
        <f>(J$28*J80*J83*J88*$H$20)/1000</f>
        <v>0</v>
      </c>
      <c r="K190" s="213">
        <f t="shared" ref="K190:R190" si="104">(K$28*K80*K83*K88*$H$20)/1000</f>
        <v>0</v>
      </c>
      <c r="L190" s="213">
        <f t="shared" si="104"/>
        <v>0</v>
      </c>
      <c r="M190" s="213">
        <f t="shared" si="104"/>
        <v>0</v>
      </c>
      <c r="N190" s="213">
        <f t="shared" si="104"/>
        <v>0</v>
      </c>
      <c r="O190" s="213">
        <f t="shared" si="104"/>
        <v>0</v>
      </c>
      <c r="P190" s="213">
        <f t="shared" si="104"/>
        <v>0</v>
      </c>
      <c r="Q190" s="213">
        <f t="shared" si="104"/>
        <v>0</v>
      </c>
      <c r="R190" s="213">
        <f t="shared" si="104"/>
        <v>0</v>
      </c>
      <c r="S190" s="108"/>
      <c r="T190" s="108"/>
    </row>
    <row r="191" spans="2:20">
      <c r="B191" s="144"/>
      <c r="C191" s="637" t="s">
        <v>111</v>
      </c>
      <c r="D191" s="592"/>
      <c r="E191" s="592"/>
      <c r="F191" s="592"/>
      <c r="G191" s="592"/>
      <c r="H191" s="149" t="s">
        <v>121</v>
      </c>
      <c r="I191" s="213">
        <f>(I$28*I92*I95*I100*$H$20)/1000</f>
        <v>0</v>
      </c>
      <c r="J191" s="213">
        <f>(J$28*J92*J95*J100*$H$20)/1000</f>
        <v>0</v>
      </c>
      <c r="K191" s="213">
        <f t="shared" ref="K191:R191" si="105">(K$28*K92*K95*K100*$H$20)/1000</f>
        <v>0</v>
      </c>
      <c r="L191" s="213">
        <f t="shared" si="105"/>
        <v>0</v>
      </c>
      <c r="M191" s="213">
        <f t="shared" si="105"/>
        <v>0</v>
      </c>
      <c r="N191" s="213">
        <f t="shared" si="105"/>
        <v>0</v>
      </c>
      <c r="O191" s="213">
        <f t="shared" si="105"/>
        <v>0</v>
      </c>
      <c r="P191" s="213">
        <f t="shared" si="105"/>
        <v>0</v>
      </c>
      <c r="Q191" s="213">
        <f t="shared" si="105"/>
        <v>0</v>
      </c>
      <c r="R191" s="213">
        <f t="shared" si="105"/>
        <v>0</v>
      </c>
      <c r="S191" s="108"/>
      <c r="T191" s="108"/>
    </row>
    <row r="192" spans="2:20">
      <c r="B192" s="144"/>
      <c r="C192" s="637" t="s">
        <v>112</v>
      </c>
      <c r="D192" s="592"/>
      <c r="E192" s="592"/>
      <c r="F192" s="592"/>
      <c r="G192" s="592"/>
      <c r="H192" s="149" t="s">
        <v>121</v>
      </c>
      <c r="I192" s="213">
        <f>(I$28*I104*I107*I112*$H$20)/1000</f>
        <v>0</v>
      </c>
      <c r="J192" s="213">
        <f>(J$28*J104*J107*J112*$H$20)/1000</f>
        <v>0</v>
      </c>
      <c r="K192" s="213">
        <f t="shared" ref="K192:R192" si="106">(K$28*K104*K107*K112*$H$20)/1000</f>
        <v>0</v>
      </c>
      <c r="L192" s="213">
        <f t="shared" si="106"/>
        <v>0</v>
      </c>
      <c r="M192" s="213">
        <f t="shared" si="106"/>
        <v>0</v>
      </c>
      <c r="N192" s="213">
        <f t="shared" si="106"/>
        <v>0</v>
      </c>
      <c r="O192" s="213">
        <f t="shared" si="106"/>
        <v>0</v>
      </c>
      <c r="P192" s="213">
        <f t="shared" si="106"/>
        <v>0</v>
      </c>
      <c r="Q192" s="213">
        <f t="shared" si="106"/>
        <v>0</v>
      </c>
      <c r="R192" s="213">
        <f t="shared" si="106"/>
        <v>0</v>
      </c>
      <c r="S192" s="108"/>
      <c r="T192" s="108"/>
    </row>
    <row r="193" spans="2:20">
      <c r="B193" s="144"/>
      <c r="C193" s="637" t="s">
        <v>113</v>
      </c>
      <c r="D193" s="592"/>
      <c r="E193" s="592"/>
      <c r="F193" s="592"/>
      <c r="G193" s="592"/>
      <c r="H193" s="149" t="s">
        <v>121</v>
      </c>
      <c r="I193" s="213">
        <f>(I$28*I116*I119*I124*$H$20)/1000</f>
        <v>0</v>
      </c>
      <c r="J193" s="213">
        <f>(J$28*J116*J119*J124*$H$20)/1000</f>
        <v>0</v>
      </c>
      <c r="K193" s="213">
        <f t="shared" ref="K193:R193" si="107">(K$28*K116*K119*K124*$H$20)/1000</f>
        <v>0</v>
      </c>
      <c r="L193" s="213">
        <f t="shared" si="107"/>
        <v>0</v>
      </c>
      <c r="M193" s="213">
        <f t="shared" si="107"/>
        <v>0</v>
      </c>
      <c r="N193" s="213">
        <f t="shared" si="107"/>
        <v>0</v>
      </c>
      <c r="O193" s="213">
        <f t="shared" si="107"/>
        <v>0</v>
      </c>
      <c r="P193" s="213">
        <f t="shared" si="107"/>
        <v>0</v>
      </c>
      <c r="Q193" s="213">
        <f t="shared" si="107"/>
        <v>0</v>
      </c>
      <c r="R193" s="213">
        <f t="shared" si="107"/>
        <v>0</v>
      </c>
      <c r="S193" s="108"/>
      <c r="T193" s="108"/>
    </row>
    <row r="194" spans="2:20">
      <c r="B194" s="144"/>
      <c r="C194" s="637" t="s">
        <v>114</v>
      </c>
      <c r="D194" s="592"/>
      <c r="E194" s="592"/>
      <c r="F194" s="592"/>
      <c r="G194" s="592"/>
      <c r="H194" s="149" t="s">
        <v>121</v>
      </c>
      <c r="I194" s="213">
        <f>(I$28*I28*I131*I136*$H$20)/1000</f>
        <v>0</v>
      </c>
      <c r="J194" s="213">
        <f>(J$28*J28*J131*J136*$H$20)/1000</f>
        <v>0</v>
      </c>
      <c r="K194" s="213">
        <f t="shared" ref="K194:R194" si="108">(K$28*K28*K131*K136*$H$20)/1000</f>
        <v>0</v>
      </c>
      <c r="L194" s="213">
        <f t="shared" si="108"/>
        <v>0</v>
      </c>
      <c r="M194" s="213">
        <f t="shared" si="108"/>
        <v>0</v>
      </c>
      <c r="N194" s="213">
        <f t="shared" si="108"/>
        <v>0</v>
      </c>
      <c r="O194" s="213">
        <f t="shared" si="108"/>
        <v>0</v>
      </c>
      <c r="P194" s="213">
        <f t="shared" si="108"/>
        <v>0</v>
      </c>
      <c r="Q194" s="213">
        <f t="shared" si="108"/>
        <v>0</v>
      </c>
      <c r="R194" s="213">
        <f t="shared" si="108"/>
        <v>0</v>
      </c>
      <c r="S194" s="108"/>
      <c r="T194" s="108"/>
    </row>
    <row r="195" spans="2:20">
      <c r="B195" s="144"/>
      <c r="C195" s="637" t="s">
        <v>115</v>
      </c>
      <c r="D195" s="592"/>
      <c r="E195" s="592"/>
      <c r="F195" s="592"/>
      <c r="G195" s="592"/>
      <c r="H195" s="149" t="s">
        <v>121</v>
      </c>
      <c r="I195" s="213">
        <f>(I$28*I140*I143*I148*$H$20)/1000</f>
        <v>0</v>
      </c>
      <c r="J195" s="213">
        <f>(J$28*J140*J143*J148*$H$20)/1000</f>
        <v>0</v>
      </c>
      <c r="K195" s="213">
        <f t="shared" ref="K195:R195" si="109">(K$28*K140*K143*K148*$H$20)/1000</f>
        <v>0</v>
      </c>
      <c r="L195" s="213">
        <f t="shared" si="109"/>
        <v>0</v>
      </c>
      <c r="M195" s="213">
        <f t="shared" si="109"/>
        <v>0</v>
      </c>
      <c r="N195" s="213">
        <f t="shared" si="109"/>
        <v>0</v>
      </c>
      <c r="O195" s="213">
        <f t="shared" si="109"/>
        <v>0</v>
      </c>
      <c r="P195" s="213">
        <f t="shared" si="109"/>
        <v>0</v>
      </c>
      <c r="Q195" s="213">
        <f t="shared" si="109"/>
        <v>0</v>
      </c>
      <c r="R195" s="213">
        <f t="shared" si="109"/>
        <v>0</v>
      </c>
      <c r="S195" s="108"/>
      <c r="T195" s="108"/>
    </row>
    <row r="196" spans="2:20" s="185" customFormat="1">
      <c r="B196" s="150"/>
      <c r="C196" s="151" t="s">
        <v>122</v>
      </c>
      <c r="D196" s="152"/>
      <c r="E196" s="152"/>
      <c r="F196" s="152"/>
      <c r="G196" s="152"/>
      <c r="H196" s="153" t="s">
        <v>123</v>
      </c>
      <c r="I196" s="214">
        <f>SUM(I186:I195)</f>
        <v>0</v>
      </c>
      <c r="J196" s="214">
        <f>SUM(J186:J195)</f>
        <v>0</v>
      </c>
      <c r="K196" s="214">
        <f t="shared" ref="K196:R196" si="110">SUM(K186:K195)</f>
        <v>0</v>
      </c>
      <c r="L196" s="214">
        <f t="shared" si="110"/>
        <v>0</v>
      </c>
      <c r="M196" s="214">
        <f t="shared" si="110"/>
        <v>0</v>
      </c>
      <c r="N196" s="214">
        <f t="shared" si="110"/>
        <v>0</v>
      </c>
      <c r="O196" s="214">
        <f t="shared" si="110"/>
        <v>0</v>
      </c>
      <c r="P196" s="214">
        <f t="shared" si="110"/>
        <v>0</v>
      </c>
      <c r="Q196" s="214">
        <f t="shared" si="110"/>
        <v>0</v>
      </c>
      <c r="R196" s="214">
        <f t="shared" si="110"/>
        <v>0</v>
      </c>
      <c r="S196" s="108"/>
      <c r="T196" s="108"/>
    </row>
    <row r="197" spans="2:20" s="186" customFormat="1">
      <c r="B197" s="154"/>
      <c r="C197" s="145" t="s">
        <v>124</v>
      </c>
      <c r="D197" s="141"/>
      <c r="E197" s="141"/>
      <c r="F197" s="141"/>
      <c r="G197" s="141"/>
      <c r="H197" s="139" t="s">
        <v>123</v>
      </c>
      <c r="I197" s="206">
        <f>SUM(I196:XFD196)</f>
        <v>0</v>
      </c>
      <c r="J197" s="206"/>
      <c r="K197" s="206"/>
      <c r="L197" s="206"/>
      <c r="M197" s="206"/>
      <c r="N197" s="206"/>
      <c r="O197" s="206"/>
      <c r="P197" s="206"/>
      <c r="Q197" s="206"/>
      <c r="R197" s="206"/>
      <c r="S197" s="108"/>
      <c r="T197" s="108"/>
    </row>
    <row r="198" spans="2:20">
      <c r="B198" s="144"/>
      <c r="C198" s="155"/>
      <c r="D198" s="156"/>
      <c r="E198" s="156"/>
      <c r="F198" s="156"/>
      <c r="G198" s="156"/>
      <c r="H198" s="154"/>
      <c r="I198" s="215"/>
      <c r="J198" s="215"/>
      <c r="K198" s="215"/>
      <c r="L198" s="215"/>
      <c r="M198" s="215"/>
      <c r="N198" s="215"/>
      <c r="O198" s="215"/>
      <c r="P198" s="215"/>
      <c r="Q198" s="215"/>
      <c r="R198" s="215"/>
      <c r="S198" s="108"/>
      <c r="T198" s="108"/>
    </row>
    <row r="199" spans="2:20">
      <c r="B199" s="144"/>
      <c r="C199" s="157" t="s">
        <v>125</v>
      </c>
      <c r="D199" s="158"/>
      <c r="E199" s="158"/>
      <c r="F199" s="158"/>
      <c r="G199" s="158"/>
      <c r="H199" s="159" t="s">
        <v>81</v>
      </c>
      <c r="I199" s="216">
        <f>$H$17*I196</f>
        <v>0</v>
      </c>
      <c r="J199" s="216">
        <f>$H$17*J196</f>
        <v>0</v>
      </c>
      <c r="K199" s="216">
        <f t="shared" ref="K199:R199" si="111">$H$17*K196</f>
        <v>0</v>
      </c>
      <c r="L199" s="216">
        <f t="shared" si="111"/>
        <v>0</v>
      </c>
      <c r="M199" s="216">
        <f t="shared" si="111"/>
        <v>0</v>
      </c>
      <c r="N199" s="216">
        <f t="shared" si="111"/>
        <v>0</v>
      </c>
      <c r="O199" s="216">
        <f t="shared" si="111"/>
        <v>0</v>
      </c>
      <c r="P199" s="216">
        <f t="shared" si="111"/>
        <v>0</v>
      </c>
      <c r="Q199" s="216">
        <f t="shared" si="111"/>
        <v>0</v>
      </c>
      <c r="R199" s="216">
        <f t="shared" si="111"/>
        <v>0</v>
      </c>
      <c r="S199" s="108"/>
      <c r="T199" s="108"/>
    </row>
    <row r="200" spans="2:20">
      <c r="B200" s="144"/>
      <c r="C200" s="155" t="s">
        <v>126</v>
      </c>
      <c r="D200" s="156"/>
      <c r="E200" s="156"/>
      <c r="F200" s="156"/>
      <c r="G200" s="156"/>
      <c r="H200" s="154" t="s">
        <v>81</v>
      </c>
      <c r="I200" s="215">
        <f>$H$17*I197</f>
        <v>0</v>
      </c>
      <c r="J200" s="215"/>
      <c r="K200" s="215"/>
      <c r="L200" s="215"/>
      <c r="M200" s="215"/>
      <c r="N200" s="215"/>
      <c r="O200" s="215"/>
      <c r="P200" s="215"/>
      <c r="Q200" s="215"/>
      <c r="R200" s="215"/>
      <c r="S200" s="108"/>
      <c r="T200" s="108"/>
    </row>
    <row r="201" spans="2:20">
      <c r="B201" s="144"/>
      <c r="C201" s="157" t="s">
        <v>127</v>
      </c>
      <c r="D201" s="158"/>
      <c r="E201" s="158"/>
      <c r="F201" s="158"/>
      <c r="G201" s="158"/>
      <c r="H201" s="159"/>
      <c r="I201" s="217">
        <f>IF($H$16=$H$18,$H$15,(1/($H$16-$H$18))*(1-((1+$H$18)/(1+$H$16))^$H$15))</f>
        <v>0</v>
      </c>
      <c r="J201" s="215"/>
      <c r="K201" s="215"/>
      <c r="L201" s="215"/>
      <c r="M201" s="215"/>
      <c r="N201" s="215"/>
      <c r="O201" s="215"/>
      <c r="P201" s="215"/>
      <c r="Q201" s="215"/>
      <c r="R201" s="215"/>
      <c r="S201" s="108"/>
      <c r="T201" s="108"/>
    </row>
    <row r="202" spans="2:20">
      <c r="B202" s="144"/>
      <c r="C202" s="155" t="s">
        <v>100</v>
      </c>
      <c r="D202" s="156"/>
      <c r="E202" s="156"/>
      <c r="F202" s="156"/>
      <c r="G202" s="156"/>
      <c r="H202" s="154" t="s">
        <v>90</v>
      </c>
      <c r="I202" s="215">
        <f>I200*I201</f>
        <v>0</v>
      </c>
      <c r="J202" s="215"/>
      <c r="K202" s="215"/>
      <c r="L202" s="215"/>
      <c r="M202" s="215"/>
      <c r="N202" s="215"/>
      <c r="O202" s="215"/>
      <c r="P202" s="215"/>
      <c r="Q202" s="215"/>
      <c r="R202" s="215"/>
      <c r="S202" s="108"/>
      <c r="T202" s="108"/>
    </row>
    <row r="203" spans="2:20">
      <c r="B203" s="144"/>
      <c r="C203" s="156"/>
      <c r="D203" s="156"/>
      <c r="E203" s="156"/>
      <c r="F203" s="156"/>
      <c r="G203" s="156"/>
      <c r="H203" s="154"/>
      <c r="I203" s="215"/>
      <c r="J203" s="215"/>
      <c r="K203" s="215"/>
      <c r="L203" s="215"/>
      <c r="M203" s="215"/>
      <c r="N203" s="215"/>
      <c r="O203" s="215"/>
      <c r="P203" s="215"/>
      <c r="Q203" s="215"/>
      <c r="R203" s="215"/>
      <c r="S203" s="108"/>
      <c r="T203" s="108"/>
    </row>
    <row r="204" spans="2:20">
      <c r="B204" s="144"/>
      <c r="C204" s="157" t="s">
        <v>128</v>
      </c>
      <c r="D204" s="158"/>
      <c r="E204" s="158"/>
      <c r="F204" s="158"/>
      <c r="G204" s="158"/>
      <c r="H204" s="159"/>
      <c r="I204" s="216"/>
      <c r="J204" s="216"/>
      <c r="K204" s="216"/>
      <c r="L204" s="216"/>
      <c r="M204" s="216"/>
      <c r="N204" s="216"/>
      <c r="O204" s="216"/>
      <c r="P204" s="216"/>
      <c r="Q204" s="216"/>
      <c r="R204" s="216"/>
      <c r="S204" s="108"/>
      <c r="T204" s="108"/>
    </row>
    <row r="205" spans="2:20">
      <c r="B205" s="144"/>
      <c r="C205" s="148" t="s">
        <v>129</v>
      </c>
      <c r="D205" s="147"/>
      <c r="E205" s="147"/>
      <c r="F205" s="147"/>
      <c r="G205" s="147"/>
      <c r="H205" s="144" t="s">
        <v>81</v>
      </c>
      <c r="I205" s="213">
        <f>I41</f>
        <v>0</v>
      </c>
      <c r="J205" s="213">
        <f>J41</f>
        <v>0</v>
      </c>
      <c r="K205" s="213">
        <f t="shared" ref="K205:R205" si="112">K41</f>
        <v>0</v>
      </c>
      <c r="L205" s="213">
        <f t="shared" si="112"/>
        <v>0</v>
      </c>
      <c r="M205" s="213">
        <f t="shared" si="112"/>
        <v>0</v>
      </c>
      <c r="N205" s="213">
        <f t="shared" si="112"/>
        <v>0</v>
      </c>
      <c r="O205" s="213">
        <f t="shared" si="112"/>
        <v>0</v>
      </c>
      <c r="P205" s="213">
        <f t="shared" si="112"/>
        <v>0</v>
      </c>
      <c r="Q205" s="213">
        <f t="shared" si="112"/>
        <v>0</v>
      </c>
      <c r="R205" s="213">
        <f t="shared" si="112"/>
        <v>0</v>
      </c>
      <c r="S205" s="108"/>
      <c r="T205" s="108"/>
    </row>
    <row r="206" spans="2:20">
      <c r="B206" s="144"/>
      <c r="C206" s="597" t="s">
        <v>130</v>
      </c>
      <c r="D206" s="584"/>
      <c r="E206" s="584"/>
      <c r="F206" s="584"/>
      <c r="G206" s="584"/>
      <c r="H206" s="137" t="s">
        <v>81</v>
      </c>
      <c r="I206" s="206">
        <f>I53</f>
        <v>0</v>
      </c>
      <c r="J206" s="206">
        <f>J53</f>
        <v>0</v>
      </c>
      <c r="K206" s="206">
        <f t="shared" ref="K206:R206" si="113">K53</f>
        <v>0</v>
      </c>
      <c r="L206" s="206">
        <f t="shared" si="113"/>
        <v>0</v>
      </c>
      <c r="M206" s="206">
        <f t="shared" si="113"/>
        <v>0</v>
      </c>
      <c r="N206" s="206">
        <f t="shared" si="113"/>
        <v>0</v>
      </c>
      <c r="O206" s="206">
        <f t="shared" si="113"/>
        <v>0</v>
      </c>
      <c r="P206" s="206">
        <f t="shared" si="113"/>
        <v>0</v>
      </c>
      <c r="Q206" s="206">
        <f t="shared" si="113"/>
        <v>0</v>
      </c>
      <c r="R206" s="206">
        <f t="shared" si="113"/>
        <v>0</v>
      </c>
      <c r="S206" s="108"/>
      <c r="T206" s="108"/>
    </row>
    <row r="207" spans="2:20">
      <c r="B207" s="144"/>
      <c r="C207" s="148" t="s">
        <v>131</v>
      </c>
      <c r="D207" s="147"/>
      <c r="E207" s="147"/>
      <c r="F207" s="147"/>
      <c r="G207" s="147"/>
      <c r="H207" s="144" t="s">
        <v>81</v>
      </c>
      <c r="I207" s="206">
        <f>I65</f>
        <v>0</v>
      </c>
      <c r="J207" s="206">
        <f>J65</f>
        <v>0</v>
      </c>
      <c r="K207" s="206">
        <f t="shared" ref="K207:R207" si="114">K65</f>
        <v>0</v>
      </c>
      <c r="L207" s="206">
        <f t="shared" si="114"/>
        <v>0</v>
      </c>
      <c r="M207" s="206">
        <f t="shared" si="114"/>
        <v>0</v>
      </c>
      <c r="N207" s="206">
        <f t="shared" si="114"/>
        <v>0</v>
      </c>
      <c r="O207" s="206">
        <f t="shared" si="114"/>
        <v>0</v>
      </c>
      <c r="P207" s="206">
        <f t="shared" si="114"/>
        <v>0</v>
      </c>
      <c r="Q207" s="206">
        <f t="shared" si="114"/>
        <v>0</v>
      </c>
      <c r="R207" s="206">
        <f t="shared" si="114"/>
        <v>0</v>
      </c>
      <c r="S207" s="108"/>
      <c r="T207" s="108"/>
    </row>
    <row r="208" spans="2:20">
      <c r="B208" s="144"/>
      <c r="C208" s="597" t="s">
        <v>132</v>
      </c>
      <c r="D208" s="584"/>
      <c r="E208" s="584"/>
      <c r="F208" s="584"/>
      <c r="G208" s="584"/>
      <c r="H208" s="137" t="s">
        <v>81</v>
      </c>
      <c r="I208" s="206">
        <f>I77</f>
        <v>0</v>
      </c>
      <c r="J208" s="206">
        <f>J77</f>
        <v>0</v>
      </c>
      <c r="K208" s="206">
        <f t="shared" ref="K208:R208" si="115">K77</f>
        <v>0</v>
      </c>
      <c r="L208" s="206">
        <f t="shared" si="115"/>
        <v>0</v>
      </c>
      <c r="M208" s="206">
        <f t="shared" si="115"/>
        <v>0</v>
      </c>
      <c r="N208" s="206">
        <f t="shared" si="115"/>
        <v>0</v>
      </c>
      <c r="O208" s="206">
        <f t="shared" si="115"/>
        <v>0</v>
      </c>
      <c r="P208" s="206">
        <f t="shared" si="115"/>
        <v>0</v>
      </c>
      <c r="Q208" s="206">
        <f t="shared" si="115"/>
        <v>0</v>
      </c>
      <c r="R208" s="206">
        <f t="shared" si="115"/>
        <v>0</v>
      </c>
      <c r="S208" s="108"/>
      <c r="T208" s="108"/>
    </row>
    <row r="209" spans="2:20">
      <c r="B209" s="144"/>
      <c r="C209" s="148" t="s">
        <v>133</v>
      </c>
      <c r="D209" s="147"/>
      <c r="E209" s="147"/>
      <c r="F209" s="147"/>
      <c r="G209" s="147"/>
      <c r="H209" s="144" t="s">
        <v>81</v>
      </c>
      <c r="I209" s="206">
        <f>I89</f>
        <v>0</v>
      </c>
      <c r="J209" s="206">
        <f>J89</f>
        <v>0</v>
      </c>
      <c r="K209" s="206">
        <f t="shared" ref="K209:R209" si="116">K89</f>
        <v>0</v>
      </c>
      <c r="L209" s="206">
        <f t="shared" si="116"/>
        <v>0</v>
      </c>
      <c r="M209" s="206">
        <f t="shared" si="116"/>
        <v>0</v>
      </c>
      <c r="N209" s="206">
        <f t="shared" si="116"/>
        <v>0</v>
      </c>
      <c r="O209" s="206">
        <f t="shared" si="116"/>
        <v>0</v>
      </c>
      <c r="P209" s="206">
        <f t="shared" si="116"/>
        <v>0</v>
      </c>
      <c r="Q209" s="206">
        <f t="shared" si="116"/>
        <v>0</v>
      </c>
      <c r="R209" s="206">
        <f t="shared" si="116"/>
        <v>0</v>
      </c>
      <c r="S209" s="108"/>
      <c r="T209" s="108"/>
    </row>
    <row r="210" spans="2:20">
      <c r="B210" s="144"/>
      <c r="C210" s="597" t="s">
        <v>134</v>
      </c>
      <c r="D210" s="584"/>
      <c r="E210" s="584"/>
      <c r="F210" s="584"/>
      <c r="G210" s="584"/>
      <c r="H210" s="137" t="s">
        <v>81</v>
      </c>
      <c r="I210" s="206">
        <f>I101</f>
        <v>0</v>
      </c>
      <c r="J210" s="206">
        <f>J101</f>
        <v>0</v>
      </c>
      <c r="K210" s="206">
        <f t="shared" ref="K210:R210" si="117">K101</f>
        <v>0</v>
      </c>
      <c r="L210" s="206">
        <f t="shared" si="117"/>
        <v>0</v>
      </c>
      <c r="M210" s="206">
        <f t="shared" si="117"/>
        <v>0</v>
      </c>
      <c r="N210" s="206">
        <f t="shared" si="117"/>
        <v>0</v>
      </c>
      <c r="O210" s="206">
        <f t="shared" si="117"/>
        <v>0</v>
      </c>
      <c r="P210" s="206">
        <f t="shared" si="117"/>
        <v>0</v>
      </c>
      <c r="Q210" s="206">
        <f t="shared" si="117"/>
        <v>0</v>
      </c>
      <c r="R210" s="206">
        <f t="shared" si="117"/>
        <v>0</v>
      </c>
      <c r="S210" s="108"/>
      <c r="T210" s="108"/>
    </row>
    <row r="211" spans="2:20">
      <c r="B211" s="144"/>
      <c r="C211" s="148" t="s">
        <v>135</v>
      </c>
      <c r="D211" s="147"/>
      <c r="E211" s="147"/>
      <c r="F211" s="147"/>
      <c r="G211" s="147"/>
      <c r="H211" s="144" t="s">
        <v>81</v>
      </c>
      <c r="I211" s="206">
        <f>I113</f>
        <v>0</v>
      </c>
      <c r="J211" s="206">
        <f>J113</f>
        <v>0</v>
      </c>
      <c r="K211" s="206">
        <f t="shared" ref="K211:R211" si="118">K113</f>
        <v>0</v>
      </c>
      <c r="L211" s="206">
        <f t="shared" si="118"/>
        <v>0</v>
      </c>
      <c r="M211" s="206">
        <f t="shared" si="118"/>
        <v>0</v>
      </c>
      <c r="N211" s="206">
        <f t="shared" si="118"/>
        <v>0</v>
      </c>
      <c r="O211" s="206">
        <f t="shared" si="118"/>
        <v>0</v>
      </c>
      <c r="P211" s="206">
        <f t="shared" si="118"/>
        <v>0</v>
      </c>
      <c r="Q211" s="206">
        <f t="shared" si="118"/>
        <v>0</v>
      </c>
      <c r="R211" s="206">
        <f t="shared" si="118"/>
        <v>0</v>
      </c>
      <c r="S211" s="108"/>
      <c r="T211" s="108"/>
    </row>
    <row r="212" spans="2:20">
      <c r="B212" s="144"/>
      <c r="C212" s="597" t="s">
        <v>136</v>
      </c>
      <c r="D212" s="584"/>
      <c r="E212" s="584"/>
      <c r="F212" s="584"/>
      <c r="G212" s="584"/>
      <c r="H212" s="137" t="s">
        <v>81</v>
      </c>
      <c r="I212" s="206">
        <f>I125</f>
        <v>0</v>
      </c>
      <c r="J212" s="206">
        <f>J125</f>
        <v>0</v>
      </c>
      <c r="K212" s="206">
        <f t="shared" ref="K212:R212" si="119">K125</f>
        <v>0</v>
      </c>
      <c r="L212" s="206">
        <f t="shared" si="119"/>
        <v>0</v>
      </c>
      <c r="M212" s="206">
        <f t="shared" si="119"/>
        <v>0</v>
      </c>
      <c r="N212" s="206">
        <f t="shared" si="119"/>
        <v>0</v>
      </c>
      <c r="O212" s="206">
        <f t="shared" si="119"/>
        <v>0</v>
      </c>
      <c r="P212" s="206">
        <f t="shared" si="119"/>
        <v>0</v>
      </c>
      <c r="Q212" s="206">
        <f t="shared" si="119"/>
        <v>0</v>
      </c>
      <c r="R212" s="206">
        <f t="shared" si="119"/>
        <v>0</v>
      </c>
      <c r="S212" s="108"/>
      <c r="T212" s="108"/>
    </row>
    <row r="213" spans="2:20">
      <c r="B213" s="144"/>
      <c r="C213" s="148" t="s">
        <v>137</v>
      </c>
      <c r="D213" s="147"/>
      <c r="E213" s="147"/>
      <c r="F213" s="147"/>
      <c r="G213" s="147"/>
      <c r="H213" s="144" t="s">
        <v>81</v>
      </c>
      <c r="I213" s="206">
        <f>I137</f>
        <v>0</v>
      </c>
      <c r="J213" s="206">
        <f>J137</f>
        <v>0</v>
      </c>
      <c r="K213" s="206">
        <f t="shared" ref="K213:R213" si="120">K137</f>
        <v>0</v>
      </c>
      <c r="L213" s="206">
        <f t="shared" si="120"/>
        <v>0</v>
      </c>
      <c r="M213" s="206">
        <f t="shared" si="120"/>
        <v>0</v>
      </c>
      <c r="N213" s="206">
        <f t="shared" si="120"/>
        <v>0</v>
      </c>
      <c r="O213" s="206">
        <f t="shared" si="120"/>
        <v>0</v>
      </c>
      <c r="P213" s="206">
        <f t="shared" si="120"/>
        <v>0</v>
      </c>
      <c r="Q213" s="206">
        <f t="shared" si="120"/>
        <v>0</v>
      </c>
      <c r="R213" s="206">
        <f t="shared" si="120"/>
        <v>0</v>
      </c>
      <c r="S213" s="108"/>
      <c r="T213" s="108"/>
    </row>
    <row r="214" spans="2:20">
      <c r="B214" s="144"/>
      <c r="C214" s="597" t="s">
        <v>138</v>
      </c>
      <c r="D214" s="584"/>
      <c r="E214" s="584"/>
      <c r="F214" s="584"/>
      <c r="G214" s="584"/>
      <c r="H214" s="137" t="s">
        <v>81</v>
      </c>
      <c r="I214" s="206">
        <f>I149</f>
        <v>0</v>
      </c>
      <c r="J214" s="206">
        <f>J149</f>
        <v>0</v>
      </c>
      <c r="K214" s="206">
        <f t="shared" ref="K214:R214" si="121">K149</f>
        <v>0</v>
      </c>
      <c r="L214" s="206">
        <f t="shared" si="121"/>
        <v>0</v>
      </c>
      <c r="M214" s="206">
        <f t="shared" si="121"/>
        <v>0</v>
      </c>
      <c r="N214" s="206">
        <f t="shared" si="121"/>
        <v>0</v>
      </c>
      <c r="O214" s="206">
        <f t="shared" si="121"/>
        <v>0</v>
      </c>
      <c r="P214" s="206">
        <f t="shared" si="121"/>
        <v>0</v>
      </c>
      <c r="Q214" s="206">
        <f t="shared" si="121"/>
        <v>0</v>
      </c>
      <c r="R214" s="206">
        <f t="shared" si="121"/>
        <v>0</v>
      </c>
      <c r="S214" s="108"/>
      <c r="T214" s="108"/>
    </row>
    <row r="215" spans="2:20">
      <c r="B215" s="144"/>
      <c r="C215" s="160" t="s">
        <v>139</v>
      </c>
      <c r="D215" s="152"/>
      <c r="E215" s="152"/>
      <c r="F215" s="152"/>
      <c r="G215" s="152"/>
      <c r="H215" s="153" t="s">
        <v>81</v>
      </c>
      <c r="I215" s="214">
        <f>SUM(I205:I214)</f>
        <v>0</v>
      </c>
      <c r="J215" s="214">
        <f>SUM(J205:J214)</f>
        <v>0</v>
      </c>
      <c r="K215" s="214">
        <f t="shared" ref="K215:R215" si="122">SUM(K205:K214)</f>
        <v>0</v>
      </c>
      <c r="L215" s="214">
        <f t="shared" si="122"/>
        <v>0</v>
      </c>
      <c r="M215" s="214">
        <f t="shared" si="122"/>
        <v>0</v>
      </c>
      <c r="N215" s="214">
        <f t="shared" si="122"/>
        <v>0</v>
      </c>
      <c r="O215" s="214">
        <f t="shared" si="122"/>
        <v>0</v>
      </c>
      <c r="P215" s="214">
        <f t="shared" si="122"/>
        <v>0</v>
      </c>
      <c r="Q215" s="214">
        <f t="shared" si="122"/>
        <v>0</v>
      </c>
      <c r="R215" s="214">
        <f t="shared" si="122"/>
        <v>0</v>
      </c>
      <c r="S215" s="108"/>
      <c r="T215" s="108"/>
    </row>
    <row r="216" spans="2:20">
      <c r="B216" s="144"/>
      <c r="C216" s="145" t="s">
        <v>140</v>
      </c>
      <c r="D216" s="141"/>
      <c r="E216" s="141"/>
      <c r="F216" s="141"/>
      <c r="G216" s="141"/>
      <c r="H216" s="139" t="s">
        <v>81</v>
      </c>
      <c r="I216" s="206">
        <f>SUM(I215:XFD215)</f>
        <v>0</v>
      </c>
      <c r="J216" s="206"/>
      <c r="K216" s="206"/>
      <c r="L216" s="206"/>
      <c r="M216" s="206"/>
      <c r="N216" s="206"/>
      <c r="O216" s="206"/>
      <c r="P216" s="206"/>
      <c r="Q216" s="206"/>
      <c r="R216" s="206"/>
      <c r="S216" s="108"/>
      <c r="T216" s="108"/>
    </row>
    <row r="217" spans="2:20" ht="12.75" customHeight="1">
      <c r="B217" s="144"/>
      <c r="C217" s="146" t="s">
        <v>127</v>
      </c>
      <c r="D217" s="140"/>
      <c r="E217" s="140"/>
      <c r="F217" s="140"/>
      <c r="G217" s="140"/>
      <c r="H217" s="138"/>
      <c r="I217" s="212">
        <f>(1/$H$16)*(1-(1/(1+$H$16))^$H$15)</f>
        <v>0</v>
      </c>
      <c r="J217" s="206"/>
      <c r="K217" s="206"/>
      <c r="L217" s="206"/>
      <c r="M217" s="206"/>
      <c r="N217" s="206"/>
      <c r="O217" s="206"/>
      <c r="P217" s="206"/>
      <c r="Q217" s="206"/>
      <c r="R217" s="206"/>
      <c r="S217" s="108"/>
      <c r="T217" s="108"/>
    </row>
    <row r="218" spans="2:20" ht="12.75" customHeight="1">
      <c r="B218" s="144"/>
      <c r="C218" s="145" t="s">
        <v>141</v>
      </c>
      <c r="D218" s="141"/>
      <c r="E218" s="141"/>
      <c r="F218" s="141"/>
      <c r="G218" s="141"/>
      <c r="H218" s="139" t="s">
        <v>90</v>
      </c>
      <c r="I218" s="206">
        <f>I217*I216</f>
        <v>0</v>
      </c>
      <c r="J218" s="206"/>
      <c r="K218" s="206"/>
      <c r="L218" s="206"/>
      <c r="M218" s="206"/>
      <c r="N218" s="206"/>
      <c r="O218" s="206"/>
      <c r="P218" s="206"/>
      <c r="Q218" s="206"/>
      <c r="R218" s="206"/>
      <c r="S218" s="108"/>
      <c r="T218" s="108"/>
    </row>
    <row r="219" spans="2:20" ht="12.75" customHeight="1">
      <c r="B219" s="144"/>
      <c r="C219" s="156"/>
      <c r="D219" s="156"/>
      <c r="E219" s="156"/>
      <c r="F219" s="156"/>
      <c r="G219" s="156"/>
      <c r="H219" s="154"/>
      <c r="I219" s="215"/>
      <c r="J219" s="215"/>
      <c r="K219" s="215"/>
      <c r="L219" s="215"/>
      <c r="M219" s="215"/>
      <c r="N219" s="215"/>
      <c r="O219" s="215"/>
      <c r="P219" s="215"/>
      <c r="Q219" s="215"/>
      <c r="R219" s="215"/>
      <c r="S219" s="108"/>
      <c r="T219" s="108"/>
    </row>
    <row r="220" spans="2:20" ht="12.75" customHeight="1">
      <c r="B220" s="144"/>
      <c r="C220" s="157" t="s">
        <v>142</v>
      </c>
      <c r="D220" s="158"/>
      <c r="E220" s="158"/>
      <c r="F220" s="158"/>
      <c r="G220" s="158"/>
      <c r="H220" s="159"/>
      <c r="I220" s="216">
        <f>SUM(I186:I195)*$H$19</f>
        <v>0</v>
      </c>
      <c r="J220" s="216">
        <f>SUM(J186:J195)*$H$19</f>
        <v>0</v>
      </c>
      <c r="K220" s="216">
        <f t="shared" ref="K220:R220" si="123">SUM(K186:K195)*$H$19</f>
        <v>0</v>
      </c>
      <c r="L220" s="216">
        <f t="shared" si="123"/>
        <v>0</v>
      </c>
      <c r="M220" s="216">
        <f t="shared" si="123"/>
        <v>0</v>
      </c>
      <c r="N220" s="216">
        <f t="shared" si="123"/>
        <v>0</v>
      </c>
      <c r="O220" s="216">
        <f t="shared" si="123"/>
        <v>0</v>
      </c>
      <c r="P220" s="216">
        <f t="shared" si="123"/>
        <v>0</v>
      </c>
      <c r="Q220" s="216">
        <f t="shared" si="123"/>
        <v>0</v>
      </c>
      <c r="R220" s="216">
        <f t="shared" si="123"/>
        <v>0</v>
      </c>
      <c r="S220" s="108"/>
      <c r="T220" s="108"/>
    </row>
    <row r="221" spans="2:20" ht="12.75" customHeight="1">
      <c r="B221" s="144"/>
      <c r="C221" s="161" t="s">
        <v>92</v>
      </c>
      <c r="D221" s="162"/>
      <c r="E221" s="162"/>
      <c r="F221" s="162"/>
      <c r="G221" s="162"/>
      <c r="H221" s="163" t="s">
        <v>143</v>
      </c>
      <c r="I221" s="218">
        <f>SUM(I222:I231)</f>
        <v>0</v>
      </c>
      <c r="J221" s="218">
        <f>SUM(J222:J231)</f>
        <v>0</v>
      </c>
      <c r="K221" s="218">
        <f t="shared" ref="K221:R221" si="124">SUM(K222:K231)</f>
        <v>0</v>
      </c>
      <c r="L221" s="218">
        <f t="shared" si="124"/>
        <v>0</v>
      </c>
      <c r="M221" s="218">
        <f t="shared" si="124"/>
        <v>0</v>
      </c>
      <c r="N221" s="218">
        <f t="shared" si="124"/>
        <v>0</v>
      </c>
      <c r="O221" s="218">
        <f t="shared" si="124"/>
        <v>0</v>
      </c>
      <c r="P221" s="218">
        <f t="shared" si="124"/>
        <v>0</v>
      </c>
      <c r="Q221" s="218">
        <f t="shared" si="124"/>
        <v>0</v>
      </c>
      <c r="R221" s="218">
        <f t="shared" si="124"/>
        <v>0</v>
      </c>
      <c r="S221" s="108"/>
      <c r="T221" s="108"/>
    </row>
    <row r="222" spans="2:20" ht="12.75" customHeight="1">
      <c r="B222" s="144"/>
      <c r="C222" s="148" t="s">
        <v>144</v>
      </c>
      <c r="D222" s="147"/>
      <c r="E222" s="147"/>
      <c r="F222" s="147"/>
      <c r="G222" s="147"/>
      <c r="H222" s="144" t="s">
        <v>143</v>
      </c>
      <c r="I222" s="213">
        <f>(I32*I35*$H$20*I40/1000)/I29</f>
        <v>0</v>
      </c>
      <c r="J222" s="213">
        <f t="shared" ref="J222:R222" si="125">(J32*J35*$H$20*J40/1000)/J29</f>
        <v>0</v>
      </c>
      <c r="K222" s="213">
        <f>(K32*K35*$H$20*K40/1000)/K29</f>
        <v>0</v>
      </c>
      <c r="L222" s="213">
        <f t="shared" si="125"/>
        <v>0</v>
      </c>
      <c r="M222" s="213">
        <f t="shared" si="125"/>
        <v>0</v>
      </c>
      <c r="N222" s="213">
        <f t="shared" si="125"/>
        <v>0</v>
      </c>
      <c r="O222" s="213">
        <f t="shared" si="125"/>
        <v>0</v>
      </c>
      <c r="P222" s="213">
        <f t="shared" si="125"/>
        <v>0</v>
      </c>
      <c r="Q222" s="213">
        <f t="shared" si="125"/>
        <v>0</v>
      </c>
      <c r="R222" s="213">
        <f t="shared" si="125"/>
        <v>0</v>
      </c>
      <c r="S222" s="108"/>
      <c r="T222" s="108"/>
    </row>
    <row r="223" spans="2:20" ht="12.75" customHeight="1">
      <c r="B223" s="144"/>
      <c r="C223" s="597" t="s">
        <v>145</v>
      </c>
      <c r="D223" s="584"/>
      <c r="E223" s="584"/>
      <c r="F223" s="584"/>
      <c r="G223" s="584"/>
      <c r="H223" s="137" t="s">
        <v>143</v>
      </c>
      <c r="I223" s="206">
        <f>(I44*I47*$H$20*I52/1000)/I29</f>
        <v>0</v>
      </c>
      <c r="J223" s="206">
        <f t="shared" ref="J223:R223" si="126">(J44*J47*$H$20*J52/1000)/J29</f>
        <v>0</v>
      </c>
      <c r="K223" s="206">
        <f t="shared" si="126"/>
        <v>0</v>
      </c>
      <c r="L223" s="206">
        <f t="shared" si="126"/>
        <v>0</v>
      </c>
      <c r="M223" s="206">
        <f t="shared" si="126"/>
        <v>0</v>
      </c>
      <c r="N223" s="206">
        <f t="shared" si="126"/>
        <v>0</v>
      </c>
      <c r="O223" s="206">
        <f t="shared" si="126"/>
        <v>0</v>
      </c>
      <c r="P223" s="206">
        <f t="shared" si="126"/>
        <v>0</v>
      </c>
      <c r="Q223" s="206">
        <f t="shared" si="126"/>
        <v>0</v>
      </c>
      <c r="R223" s="206">
        <f t="shared" si="126"/>
        <v>0</v>
      </c>
      <c r="S223" s="108"/>
      <c r="T223" s="108"/>
    </row>
    <row r="224" spans="2:20" ht="12.75" customHeight="1">
      <c r="B224" s="144"/>
      <c r="C224" s="148" t="s">
        <v>146</v>
      </c>
      <c r="D224" s="147"/>
      <c r="E224" s="147"/>
      <c r="F224" s="147"/>
      <c r="G224" s="147"/>
      <c r="H224" s="144" t="s">
        <v>143</v>
      </c>
      <c r="I224" s="206">
        <f>(I56*I59*$H$20*I64/1000)/I29</f>
        <v>0</v>
      </c>
      <c r="J224" s="206">
        <f t="shared" ref="J224:R224" si="127">(J56*J59*$H$20*J64/1000)/J29</f>
        <v>0</v>
      </c>
      <c r="K224" s="206">
        <f t="shared" si="127"/>
        <v>0</v>
      </c>
      <c r="L224" s="206">
        <f t="shared" si="127"/>
        <v>0</v>
      </c>
      <c r="M224" s="206">
        <f t="shared" si="127"/>
        <v>0</v>
      </c>
      <c r="N224" s="206">
        <f t="shared" si="127"/>
        <v>0</v>
      </c>
      <c r="O224" s="206">
        <f t="shared" si="127"/>
        <v>0</v>
      </c>
      <c r="P224" s="206">
        <f t="shared" si="127"/>
        <v>0</v>
      </c>
      <c r="Q224" s="206">
        <f t="shared" si="127"/>
        <v>0</v>
      </c>
      <c r="R224" s="206">
        <f t="shared" si="127"/>
        <v>0</v>
      </c>
      <c r="S224" s="108"/>
      <c r="T224" s="108"/>
    </row>
    <row r="225" spans="2:20" ht="12.75" customHeight="1">
      <c r="B225" s="144"/>
      <c r="C225" s="597" t="s">
        <v>147</v>
      </c>
      <c r="D225" s="584"/>
      <c r="E225" s="584"/>
      <c r="F225" s="584"/>
      <c r="G225" s="584"/>
      <c r="H225" s="137" t="s">
        <v>143</v>
      </c>
      <c r="I225" s="206">
        <f>(I68*I71*$H$20*I76/1000)/I29</f>
        <v>0</v>
      </c>
      <c r="J225" s="206">
        <f t="shared" ref="J225:R225" si="128">(J68*J71*$H$20*J76/1000)/J29</f>
        <v>0</v>
      </c>
      <c r="K225" s="206">
        <f t="shared" si="128"/>
        <v>0</v>
      </c>
      <c r="L225" s="206">
        <f t="shared" si="128"/>
        <v>0</v>
      </c>
      <c r="M225" s="206">
        <f t="shared" si="128"/>
        <v>0</v>
      </c>
      <c r="N225" s="206">
        <f t="shared" si="128"/>
        <v>0</v>
      </c>
      <c r="O225" s="206">
        <f t="shared" si="128"/>
        <v>0</v>
      </c>
      <c r="P225" s="206">
        <f t="shared" si="128"/>
        <v>0</v>
      </c>
      <c r="Q225" s="206">
        <f t="shared" si="128"/>
        <v>0</v>
      </c>
      <c r="R225" s="206">
        <f t="shared" si="128"/>
        <v>0</v>
      </c>
      <c r="S225" s="108"/>
      <c r="T225" s="108"/>
    </row>
    <row r="226" spans="2:20" ht="12.75" customHeight="1">
      <c r="B226" s="144"/>
      <c r="C226" s="148" t="s">
        <v>148</v>
      </c>
      <c r="D226" s="147"/>
      <c r="E226" s="147"/>
      <c r="F226" s="147"/>
      <c r="G226" s="147"/>
      <c r="H226" s="144" t="s">
        <v>143</v>
      </c>
      <c r="I226" s="206">
        <f>(I80*I83*$H$20*I88/1000)/I29</f>
        <v>0</v>
      </c>
      <c r="J226" s="206">
        <f t="shared" ref="J226:R226" si="129">(J80*J83*$H$20*J88/1000)/J29</f>
        <v>0</v>
      </c>
      <c r="K226" s="206">
        <f t="shared" si="129"/>
        <v>0</v>
      </c>
      <c r="L226" s="206">
        <f t="shared" si="129"/>
        <v>0</v>
      </c>
      <c r="M226" s="206">
        <f t="shared" si="129"/>
        <v>0</v>
      </c>
      <c r="N226" s="206">
        <f t="shared" si="129"/>
        <v>0</v>
      </c>
      <c r="O226" s="206">
        <f t="shared" si="129"/>
        <v>0</v>
      </c>
      <c r="P226" s="206">
        <f t="shared" si="129"/>
        <v>0</v>
      </c>
      <c r="Q226" s="206">
        <f t="shared" si="129"/>
        <v>0</v>
      </c>
      <c r="R226" s="206">
        <f t="shared" si="129"/>
        <v>0</v>
      </c>
      <c r="S226" s="108"/>
      <c r="T226" s="108"/>
    </row>
    <row r="227" spans="2:20" ht="12.75" customHeight="1">
      <c r="B227" s="144"/>
      <c r="C227" s="597" t="s">
        <v>149</v>
      </c>
      <c r="D227" s="584"/>
      <c r="E227" s="584"/>
      <c r="F227" s="584"/>
      <c r="G227" s="584"/>
      <c r="H227" s="137" t="s">
        <v>143</v>
      </c>
      <c r="I227" s="206">
        <f>(I92*I95*$H$20*I100/1000)/I29</f>
        <v>0</v>
      </c>
      <c r="J227" s="206">
        <f t="shared" ref="J227:R227" si="130">(J92*J95*$H$20*J100/1000)/J29</f>
        <v>0</v>
      </c>
      <c r="K227" s="206">
        <f t="shared" si="130"/>
        <v>0</v>
      </c>
      <c r="L227" s="206">
        <f t="shared" si="130"/>
        <v>0</v>
      </c>
      <c r="M227" s="206">
        <f t="shared" si="130"/>
        <v>0</v>
      </c>
      <c r="N227" s="206">
        <f t="shared" si="130"/>
        <v>0</v>
      </c>
      <c r="O227" s="206">
        <f t="shared" si="130"/>
        <v>0</v>
      </c>
      <c r="P227" s="206">
        <f t="shared" si="130"/>
        <v>0</v>
      </c>
      <c r="Q227" s="206">
        <f t="shared" si="130"/>
        <v>0</v>
      </c>
      <c r="R227" s="206">
        <f t="shared" si="130"/>
        <v>0</v>
      </c>
      <c r="S227" s="108"/>
      <c r="T227" s="108"/>
    </row>
    <row r="228" spans="2:20" ht="12.75" customHeight="1">
      <c r="B228" s="144"/>
      <c r="C228" s="148" t="s">
        <v>150</v>
      </c>
      <c r="D228" s="147"/>
      <c r="E228" s="147"/>
      <c r="F228" s="147"/>
      <c r="G228" s="147"/>
      <c r="H228" s="144" t="s">
        <v>143</v>
      </c>
      <c r="I228" s="206">
        <f>(I104*I107*$H$20*I112/1000)/I29</f>
        <v>0</v>
      </c>
      <c r="J228" s="206">
        <f t="shared" ref="J228:R228" si="131">(J104*J107*$H$20*J112/1000)/J29</f>
        <v>0</v>
      </c>
      <c r="K228" s="206">
        <f t="shared" si="131"/>
        <v>0</v>
      </c>
      <c r="L228" s="206">
        <f t="shared" si="131"/>
        <v>0</v>
      </c>
      <c r="M228" s="206">
        <f t="shared" si="131"/>
        <v>0</v>
      </c>
      <c r="N228" s="206">
        <f t="shared" si="131"/>
        <v>0</v>
      </c>
      <c r="O228" s="206">
        <f t="shared" si="131"/>
        <v>0</v>
      </c>
      <c r="P228" s="206">
        <f t="shared" si="131"/>
        <v>0</v>
      </c>
      <c r="Q228" s="206">
        <f t="shared" si="131"/>
        <v>0</v>
      </c>
      <c r="R228" s="206">
        <f t="shared" si="131"/>
        <v>0</v>
      </c>
      <c r="S228" s="108"/>
      <c r="T228" s="108"/>
    </row>
    <row r="229" spans="2:20" ht="12.75" customHeight="1">
      <c r="B229" s="144"/>
      <c r="C229" s="597" t="s">
        <v>151</v>
      </c>
      <c r="D229" s="584"/>
      <c r="E229" s="584"/>
      <c r="F229" s="584"/>
      <c r="G229" s="584"/>
      <c r="H229" s="137" t="s">
        <v>143</v>
      </c>
      <c r="I229" s="206">
        <f>(I116*I119*$H$20*I124/1000)/I29</f>
        <v>0</v>
      </c>
      <c r="J229" s="206">
        <f t="shared" ref="J229:R229" si="132">(J116*J119*$H$20*J124/1000)/J29</f>
        <v>0</v>
      </c>
      <c r="K229" s="206">
        <f t="shared" si="132"/>
        <v>0</v>
      </c>
      <c r="L229" s="206">
        <f t="shared" si="132"/>
        <v>0</v>
      </c>
      <c r="M229" s="206">
        <f t="shared" si="132"/>
        <v>0</v>
      </c>
      <c r="N229" s="206">
        <f t="shared" si="132"/>
        <v>0</v>
      </c>
      <c r="O229" s="206">
        <f t="shared" si="132"/>
        <v>0</v>
      </c>
      <c r="P229" s="206">
        <f t="shared" si="132"/>
        <v>0</v>
      </c>
      <c r="Q229" s="206">
        <f t="shared" si="132"/>
        <v>0</v>
      </c>
      <c r="R229" s="206">
        <f t="shared" si="132"/>
        <v>0</v>
      </c>
      <c r="S229" s="108"/>
      <c r="T229" s="108"/>
    </row>
    <row r="230" spans="2:20" ht="12.75" customHeight="1">
      <c r="B230" s="144"/>
      <c r="C230" s="148" t="s">
        <v>152</v>
      </c>
      <c r="D230" s="147"/>
      <c r="E230" s="147"/>
      <c r="F230" s="147"/>
      <c r="G230" s="147"/>
      <c r="H230" s="144" t="s">
        <v>143</v>
      </c>
      <c r="I230" s="206">
        <f>(I128*I131*$H$20*I136/1000)/I29</f>
        <v>0</v>
      </c>
      <c r="J230" s="206">
        <f t="shared" ref="J230:R230" si="133">(J128*J131*$H$20*J136/1000)/J29</f>
        <v>0</v>
      </c>
      <c r="K230" s="206">
        <f t="shared" si="133"/>
        <v>0</v>
      </c>
      <c r="L230" s="206">
        <f t="shared" si="133"/>
        <v>0</v>
      </c>
      <c r="M230" s="206">
        <f t="shared" si="133"/>
        <v>0</v>
      </c>
      <c r="N230" s="206">
        <f t="shared" si="133"/>
        <v>0</v>
      </c>
      <c r="O230" s="206">
        <f t="shared" si="133"/>
        <v>0</v>
      </c>
      <c r="P230" s="206">
        <f t="shared" si="133"/>
        <v>0</v>
      </c>
      <c r="Q230" s="206">
        <f t="shared" si="133"/>
        <v>0</v>
      </c>
      <c r="R230" s="206">
        <f t="shared" si="133"/>
        <v>0</v>
      </c>
      <c r="S230" s="108"/>
      <c r="T230" s="108"/>
    </row>
    <row r="231" spans="2:20" ht="12.75" customHeight="1">
      <c r="B231" s="144"/>
      <c r="C231" s="597" t="s">
        <v>153</v>
      </c>
      <c r="D231" s="584"/>
      <c r="E231" s="584"/>
      <c r="F231" s="584"/>
      <c r="G231" s="584"/>
      <c r="H231" s="137" t="s">
        <v>143</v>
      </c>
      <c r="I231" s="206">
        <f>(I140*I143*$H$20*I148/1000)/I29</f>
        <v>0</v>
      </c>
      <c r="J231" s="206">
        <f t="shared" ref="J231:R231" si="134">(J140*J143*$H$20*J148/1000)/J29</f>
        <v>0</v>
      </c>
      <c r="K231" s="206">
        <f t="shared" si="134"/>
        <v>0</v>
      </c>
      <c r="L231" s="206">
        <f t="shared" si="134"/>
        <v>0</v>
      </c>
      <c r="M231" s="206">
        <f t="shared" si="134"/>
        <v>0</v>
      </c>
      <c r="N231" s="206">
        <f t="shared" si="134"/>
        <v>0</v>
      </c>
      <c r="O231" s="206">
        <f t="shared" si="134"/>
        <v>0</v>
      </c>
      <c r="P231" s="206">
        <f t="shared" si="134"/>
        <v>0</v>
      </c>
      <c r="Q231" s="206">
        <f t="shared" si="134"/>
        <v>0</v>
      </c>
      <c r="R231" s="206">
        <f t="shared" si="134"/>
        <v>0</v>
      </c>
      <c r="S231" s="108"/>
      <c r="T231" s="108"/>
    </row>
    <row r="232" spans="2:20" ht="13.25" customHeight="1">
      <c r="B232" s="263"/>
      <c r="C232" s="640" t="s">
        <v>154</v>
      </c>
      <c r="D232" s="640"/>
      <c r="E232" s="640"/>
      <c r="F232" s="640"/>
      <c r="G232" s="640"/>
      <c r="H232" s="263" t="s">
        <v>90</v>
      </c>
      <c r="I232" s="268">
        <f>I218+I202</f>
        <v>0</v>
      </c>
      <c r="J232" s="268"/>
      <c r="K232" s="268"/>
      <c r="L232" s="268"/>
      <c r="M232" s="268"/>
      <c r="N232" s="268"/>
      <c r="O232" s="268"/>
      <c r="P232" s="268"/>
      <c r="Q232" s="268"/>
      <c r="R232" s="268"/>
      <c r="S232" s="265"/>
      <c r="T232" s="265"/>
    </row>
    <row r="233" spans="2:20" ht="29.25" customHeight="1">
      <c r="B233" s="164"/>
      <c r="C233" s="165" t="s">
        <v>155</v>
      </c>
      <c r="D233" s="165"/>
      <c r="E233" s="165"/>
      <c r="F233" s="165"/>
      <c r="G233" s="165"/>
      <c r="H233" s="165" t="s">
        <v>90</v>
      </c>
      <c r="I233" s="187">
        <f>I232+I181</f>
        <v>0</v>
      </c>
      <c r="J233" s="187"/>
      <c r="K233" s="187"/>
      <c r="L233" s="187"/>
      <c r="M233" s="187"/>
      <c r="N233" s="187"/>
      <c r="O233" s="187"/>
      <c r="P233" s="187"/>
      <c r="Q233" s="187"/>
      <c r="R233" s="187"/>
      <c r="S233" s="187"/>
      <c r="T233" s="187"/>
    </row>
    <row r="234" spans="2:20">
      <c r="C234" s="188"/>
      <c r="D234" s="188"/>
      <c r="E234" s="189"/>
      <c r="F234" s="189"/>
      <c r="G234" s="189"/>
      <c r="H234" s="189"/>
      <c r="I234" s="188"/>
      <c r="J234" s="190"/>
      <c r="K234" s="191"/>
    </row>
    <row r="235" spans="2:20">
      <c r="F235" s="193"/>
      <c r="G235" s="193"/>
      <c r="H235" s="193"/>
      <c r="I235" s="194"/>
      <c r="J235" s="190"/>
      <c r="K235" s="191"/>
    </row>
    <row r="236" spans="2:20" hidden="1"/>
    <row r="237" spans="2:20" hidden="1">
      <c r="I237" s="192" t="s">
        <v>70</v>
      </c>
    </row>
    <row r="238" spans="2:20" hidden="1">
      <c r="I238" s="192" t="s">
        <v>156</v>
      </c>
    </row>
    <row r="239" spans="2:20" hidden="1">
      <c r="I239" s="192" t="s">
        <v>82</v>
      </c>
    </row>
    <row r="240" spans="2:20" hidden="1">
      <c r="I240" s="192" t="s">
        <v>157</v>
      </c>
    </row>
    <row r="243" spans="9:13">
      <c r="I243" s="192"/>
      <c r="J243" s="192"/>
      <c r="L243" s="192"/>
      <c r="M243" s="192"/>
    </row>
  </sheetData>
  <sheetProtection algorithmName="SHA-512" hashValue="OcnLWdd1bksjsl27TG0K+4ltc/KTmjMg6xb3voWPflsv3aEP3i1JgKXCFCVqyjdAeOveLMmHERbcXGvmhLSagQ==" saltValue="ByuNYB7R1kv3CuIcpMNdaQ==" spinCount="100000" sheet="1" objects="1" scenarios="1"/>
  <mergeCells count="63">
    <mergeCell ref="C231:G231"/>
    <mergeCell ref="C232:G232"/>
    <mergeCell ref="C212:G212"/>
    <mergeCell ref="C214:G214"/>
    <mergeCell ref="C223:G223"/>
    <mergeCell ref="C225:G225"/>
    <mergeCell ref="C227:G227"/>
    <mergeCell ref="C229:G229"/>
    <mergeCell ref="C210:G210"/>
    <mergeCell ref="C187:G187"/>
    <mergeCell ref="C188:G188"/>
    <mergeCell ref="C189:G189"/>
    <mergeCell ref="C190:G190"/>
    <mergeCell ref="C191:G191"/>
    <mergeCell ref="C192:G192"/>
    <mergeCell ref="C193:G193"/>
    <mergeCell ref="C194:G194"/>
    <mergeCell ref="C195:G195"/>
    <mergeCell ref="C206:G206"/>
    <mergeCell ref="C208:G208"/>
    <mergeCell ref="C186:G186"/>
    <mergeCell ref="C173:G173"/>
    <mergeCell ref="C174:G174"/>
    <mergeCell ref="C175:G175"/>
    <mergeCell ref="C176:G176"/>
    <mergeCell ref="C177:G177"/>
    <mergeCell ref="C178:G178"/>
    <mergeCell ref="C179:G179"/>
    <mergeCell ref="C181:G181"/>
    <mergeCell ref="C182:G182"/>
    <mergeCell ref="C183:G183"/>
    <mergeCell ref="C185:G185"/>
    <mergeCell ref="C172:G172"/>
    <mergeCell ref="C24:H24"/>
    <mergeCell ref="C154:D154"/>
    <mergeCell ref="C156:G156"/>
    <mergeCell ref="C160:G160"/>
    <mergeCell ref="C163:G163"/>
    <mergeCell ref="C165:G165"/>
    <mergeCell ref="C167:G167"/>
    <mergeCell ref="C168:G168"/>
    <mergeCell ref="C169:G169"/>
    <mergeCell ref="C170:G170"/>
    <mergeCell ref="C171:G171"/>
    <mergeCell ref="C21:G21"/>
    <mergeCell ref="C12:E12"/>
    <mergeCell ref="F12:I12"/>
    <mergeCell ref="C13:E13"/>
    <mergeCell ref="F13:I13"/>
    <mergeCell ref="C14:H14"/>
    <mergeCell ref="C15:G15"/>
    <mergeCell ref="C16:G16"/>
    <mergeCell ref="C17:G17"/>
    <mergeCell ref="C18:G18"/>
    <mergeCell ref="C19:G19"/>
    <mergeCell ref="C20:G20"/>
    <mergeCell ref="C11:E11"/>
    <mergeCell ref="F11:I11"/>
    <mergeCell ref="C6:D6"/>
    <mergeCell ref="E6:G6"/>
    <mergeCell ref="H6:I6"/>
    <mergeCell ref="C9:H9"/>
    <mergeCell ref="C10:H10"/>
  </mergeCells>
  <dataValidations disablePrompts="1" count="3">
    <dataValidation type="list" allowBlank="1" showInputMessage="1" showErrorMessage="1" sqref="I48:R48 I144:R144 I120:R120 I132:R132 I72:R72 I36:R36 I60:R60 I84:R84 I108:R108 I96:R96" xr:uid="{D982CB6B-DA8C-435E-8D28-6A523850205E}">
      <formula1>$I$237:$I$240</formula1>
    </dataValidation>
    <dataValidation allowBlank="1" showInputMessage="1" showErrorMessage="1" prompt="Markera cell till vänster för att välja pris i dropdown-menyn" sqref="G17" xr:uid="{BEC6421D-98EC-4C65-80A1-0378D8977819}"/>
    <dataValidation type="list" allowBlank="1" showInputMessage="1" showErrorMessage="1" sqref="I27:R27" xr:uid="{D2E7A135-E5A4-4C6D-B6BE-EB78B73DE458}">
      <formula1>INDIRECT(I$26)</formula1>
    </dataValidation>
  </dataValidations>
  <pageMargins left="0.75" right="0.75" top="1" bottom="1" header="0.5" footer="0.5"/>
  <pageSetup paperSize="9" scale="35" orientation="portrait" horizontalDpi="1200" verticalDpi="1200" r:id="rId1"/>
  <headerFooter alignWithMargins="0"/>
  <drawing r:id="rId2"/>
  <legacy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6BE7F88-167D-43E0-AC3A-2713C1DEE1A1}">
          <x14:formula1>
            <xm:f>'4. Reduktionsfaktorer, LENI-tal'!$Q$12:$T$12</xm:f>
          </x14:formula1>
          <xm:sqref>I25:R25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5ED48-348F-4784-A8BF-3BE7B91DE12A}">
  <sheetPr codeName="Blad2">
    <tabColor rgb="FF6B2879"/>
  </sheetPr>
  <dimension ref="A1:S39"/>
  <sheetViews>
    <sheetView topLeftCell="A21" workbookViewId="0">
      <selection activeCell="G10" sqref="G10:K10"/>
    </sheetView>
  </sheetViews>
  <sheetFormatPr baseColWidth="10" defaultColWidth="9.1640625" defaultRowHeight="14"/>
  <cols>
    <col min="1" max="7" width="8.5" style="28" customWidth="1"/>
    <col min="8" max="20" width="31" style="28" customWidth="1"/>
    <col min="21" max="39" width="8.5" style="28" customWidth="1"/>
    <col min="40" max="16384" width="9.1640625" style="28"/>
  </cols>
  <sheetData>
    <row r="1" spans="1:19">
      <c r="A1" s="270" t="s">
        <v>0</v>
      </c>
    </row>
    <row r="2" spans="1:19" ht="38">
      <c r="G2" s="1" t="s">
        <v>1</v>
      </c>
    </row>
    <row r="3" spans="1:19">
      <c r="G3" s="28" t="str">
        <f>'1. Introduktion'!G3</f>
        <v>Version 3.0</v>
      </c>
      <c r="H3" s="13"/>
      <c r="I3" s="13"/>
    </row>
    <row r="4" spans="1:19">
      <c r="G4" s="28" t="str">
        <f>'1. Introduktion'!G4</f>
        <v>Datum: 2024-12-17</v>
      </c>
      <c r="H4" s="13"/>
    </row>
    <row r="6" spans="1:19" s="3" customFormat="1" ht="41.25" customHeight="1">
      <c r="B6" s="5"/>
      <c r="C6" s="5"/>
      <c r="D6" s="631"/>
      <c r="E6" s="631"/>
      <c r="F6" s="631"/>
      <c r="G6" s="631"/>
      <c r="H6" s="631"/>
      <c r="I6" s="9"/>
      <c r="J6" s="2"/>
      <c r="K6" s="2"/>
      <c r="P6" s="643"/>
      <c r="Q6" s="643"/>
      <c r="R6" s="643"/>
      <c r="S6" s="643"/>
    </row>
    <row r="9" spans="1:19" ht="26">
      <c r="B9" s="35" t="s">
        <v>199</v>
      </c>
      <c r="C9" s="35"/>
      <c r="D9" s="35"/>
      <c r="G9" s="23"/>
      <c r="H9" s="23"/>
      <c r="I9" s="23"/>
      <c r="J9" s="23"/>
      <c r="K9" s="23"/>
    </row>
    <row r="10" spans="1:19" ht="15">
      <c r="B10" s="644" t="s">
        <v>200</v>
      </c>
      <c r="C10" s="645"/>
      <c r="D10" s="645"/>
      <c r="F10" s="31"/>
      <c r="G10" s="646" t="s">
        <v>201</v>
      </c>
      <c r="H10" s="646"/>
      <c r="I10" s="646"/>
      <c r="J10" s="646"/>
      <c r="K10" s="646"/>
    </row>
    <row r="11" spans="1:19">
      <c r="B11" s="645"/>
      <c r="C11" s="645"/>
      <c r="D11" s="645"/>
      <c r="F11" s="31"/>
      <c r="G11" s="72" t="s">
        <v>202</v>
      </c>
      <c r="H11" s="34" t="s">
        <v>203</v>
      </c>
      <c r="I11" s="34" t="s">
        <v>204</v>
      </c>
    </row>
    <row r="12" spans="1:19" ht="33.75" customHeight="1">
      <c r="F12" s="31"/>
      <c r="G12" s="73" t="s">
        <v>25</v>
      </c>
      <c r="H12" s="25" t="s">
        <v>26</v>
      </c>
      <c r="I12" s="647" t="s">
        <v>205</v>
      </c>
      <c r="J12" s="647"/>
      <c r="K12" s="647"/>
    </row>
    <row r="13" spans="1:19" s="277" customFormat="1" ht="160.5" customHeight="1">
      <c r="B13" s="278"/>
      <c r="C13" s="278"/>
      <c r="D13" s="278"/>
      <c r="F13" s="279"/>
      <c r="G13" s="73" t="s">
        <v>28</v>
      </c>
      <c r="H13" s="25" t="s">
        <v>29</v>
      </c>
      <c r="I13" s="647" t="s">
        <v>206</v>
      </c>
      <c r="J13" s="647"/>
      <c r="K13" s="647"/>
    </row>
    <row r="14" spans="1:19" ht="28" customHeight="1">
      <c r="F14" s="31"/>
      <c r="G14" s="74" t="s">
        <v>31</v>
      </c>
      <c r="H14" s="26" t="s">
        <v>32</v>
      </c>
      <c r="I14" s="648" t="s">
        <v>207</v>
      </c>
      <c r="J14" s="648"/>
      <c r="K14" s="648"/>
    </row>
    <row r="15" spans="1:19">
      <c r="F15" s="31"/>
      <c r="G15" s="74" t="s">
        <v>34</v>
      </c>
      <c r="H15" s="26" t="s">
        <v>208</v>
      </c>
      <c r="I15" s="649" t="s">
        <v>209</v>
      </c>
      <c r="J15" s="649"/>
      <c r="K15" s="649"/>
    </row>
    <row r="16" spans="1:19" ht="30.5" customHeight="1">
      <c r="F16" s="31"/>
      <c r="G16" s="73" t="s">
        <v>36</v>
      </c>
      <c r="H16" s="25" t="s">
        <v>210</v>
      </c>
      <c r="I16" s="647" t="s">
        <v>211</v>
      </c>
      <c r="J16" s="647"/>
      <c r="K16" s="647"/>
    </row>
    <row r="17" spans="2:11" ht="55" customHeight="1">
      <c r="F17" s="31"/>
      <c r="G17" s="73" t="s">
        <v>39</v>
      </c>
      <c r="H17" s="25" t="s">
        <v>40</v>
      </c>
      <c r="I17" s="647" t="s">
        <v>212</v>
      </c>
      <c r="J17" s="647"/>
      <c r="K17" s="647"/>
    </row>
    <row r="18" spans="2:11" ht="15">
      <c r="B18" s="33"/>
      <c r="F18" s="31"/>
      <c r="G18" s="641" t="s">
        <v>213</v>
      </c>
      <c r="H18" s="642"/>
      <c r="I18" s="642"/>
      <c r="J18" s="75"/>
      <c r="K18" s="75"/>
    </row>
    <row r="19" spans="2:11" ht="57.75" customHeight="1">
      <c r="F19" s="31"/>
      <c r="G19" s="73"/>
      <c r="H19" s="25" t="s">
        <v>214</v>
      </c>
      <c r="I19" s="647" t="s">
        <v>215</v>
      </c>
      <c r="J19" s="647"/>
      <c r="K19" s="647"/>
    </row>
    <row r="20" spans="2:11">
      <c r="B20" s="32"/>
      <c r="F20" s="31"/>
      <c r="G20" s="76"/>
      <c r="H20" s="77" t="s">
        <v>53</v>
      </c>
      <c r="I20" s="651" t="s">
        <v>216</v>
      </c>
      <c r="J20" s="651"/>
      <c r="K20" s="651"/>
    </row>
    <row r="21" spans="2:11" ht="34.25" customHeight="1">
      <c r="B21" s="32"/>
      <c r="F21" s="31"/>
      <c r="G21" s="73"/>
      <c r="H21" s="25" t="s">
        <v>55</v>
      </c>
      <c r="I21" s="652" t="s">
        <v>217</v>
      </c>
      <c r="J21" s="652"/>
      <c r="K21" s="652"/>
    </row>
    <row r="22" spans="2:11" ht="15" customHeight="1">
      <c r="B22" s="32"/>
      <c r="F22" s="31"/>
      <c r="G22" s="653" t="s">
        <v>218</v>
      </c>
      <c r="H22" s="654"/>
      <c r="I22" s="654"/>
      <c r="J22" s="75"/>
      <c r="K22" s="75"/>
    </row>
    <row r="23" spans="2:11" ht="46.25" customHeight="1">
      <c r="B23" s="32"/>
      <c r="F23" s="31"/>
      <c r="G23" s="73" t="s">
        <v>58</v>
      </c>
      <c r="H23" s="24" t="s">
        <v>219</v>
      </c>
      <c r="I23" s="647" t="s">
        <v>220</v>
      </c>
      <c r="J23" s="647"/>
      <c r="K23" s="647"/>
    </row>
    <row r="24" spans="2:11" ht="43.5" customHeight="1">
      <c r="B24" s="32"/>
      <c r="F24" s="31"/>
      <c r="G24" s="73" t="s">
        <v>60</v>
      </c>
      <c r="H24" s="24" t="s">
        <v>61</v>
      </c>
      <c r="I24" s="647" t="s">
        <v>221</v>
      </c>
      <c r="J24" s="647"/>
      <c r="K24" s="647"/>
    </row>
    <row r="25" spans="2:11" ht="69.75" customHeight="1">
      <c r="B25" s="32"/>
      <c r="F25" s="31"/>
      <c r="G25" s="73" t="s">
        <v>63</v>
      </c>
      <c r="H25" s="24" t="s">
        <v>64</v>
      </c>
      <c r="I25" s="647" t="s">
        <v>222</v>
      </c>
      <c r="J25" s="647"/>
      <c r="K25" s="647"/>
    </row>
    <row r="26" spans="2:11" ht="43.5" customHeight="1">
      <c r="B26" s="32"/>
      <c r="F26" s="31"/>
      <c r="G26" s="73" t="s">
        <v>65</v>
      </c>
      <c r="H26" s="24" t="s">
        <v>223</v>
      </c>
      <c r="I26" s="647" t="s">
        <v>224</v>
      </c>
      <c r="J26" s="647"/>
      <c r="K26" s="647"/>
    </row>
    <row r="27" spans="2:11" ht="43.5" customHeight="1">
      <c r="B27" s="32"/>
      <c r="F27" s="31"/>
      <c r="G27" s="73" t="s">
        <v>68</v>
      </c>
      <c r="H27" s="24" t="s">
        <v>69</v>
      </c>
      <c r="I27" s="647" t="s">
        <v>225</v>
      </c>
      <c r="J27" s="647"/>
      <c r="K27" s="647"/>
    </row>
    <row r="28" spans="2:11" ht="66" customHeight="1">
      <c r="B28" s="32"/>
      <c r="F28" s="31"/>
      <c r="G28" s="78" t="s">
        <v>226</v>
      </c>
      <c r="H28" s="24" t="s">
        <v>227</v>
      </c>
      <c r="I28" s="650" t="s">
        <v>228</v>
      </c>
      <c r="J28" s="650"/>
      <c r="K28" s="650"/>
    </row>
    <row r="29" spans="2:11" ht="43.5" customHeight="1">
      <c r="B29" s="32"/>
      <c r="F29" s="31"/>
      <c r="G29" s="73" t="s">
        <v>77</v>
      </c>
      <c r="H29" s="24" t="s">
        <v>78</v>
      </c>
      <c r="I29" s="650" t="s">
        <v>229</v>
      </c>
      <c r="J29" s="650"/>
      <c r="K29" s="650"/>
    </row>
    <row r="30" spans="2:11" ht="141.5" customHeight="1">
      <c r="B30" s="32"/>
      <c r="F30" s="31"/>
      <c r="G30" s="73" t="s">
        <v>79</v>
      </c>
      <c r="H30" s="24" t="s">
        <v>80</v>
      </c>
      <c r="I30" s="650" t="s">
        <v>230</v>
      </c>
      <c r="J30" s="650"/>
      <c r="K30" s="650"/>
    </row>
    <row r="31" spans="2:11">
      <c r="B31" s="32"/>
      <c r="F31" s="31"/>
      <c r="G31" s="79" t="s">
        <v>231</v>
      </c>
      <c r="H31" s="27"/>
      <c r="I31" s="63"/>
      <c r="J31" s="63"/>
      <c r="K31" s="63"/>
    </row>
    <row r="32" spans="2:11" ht="71" customHeight="1">
      <c r="B32" s="32"/>
      <c r="F32" s="31"/>
      <c r="G32" s="80" t="s">
        <v>84</v>
      </c>
      <c r="H32" s="78" t="s">
        <v>85</v>
      </c>
      <c r="I32" s="650" t="s">
        <v>232</v>
      </c>
      <c r="J32" s="650"/>
      <c r="K32" s="650"/>
    </row>
    <row r="33" spans="6:11" ht="15">
      <c r="F33" s="31"/>
      <c r="G33" s="81" t="s">
        <v>233</v>
      </c>
      <c r="H33" s="82"/>
      <c r="I33" s="83"/>
      <c r="J33" s="83"/>
      <c r="K33" s="83"/>
    </row>
    <row r="34" spans="6:11" ht="15">
      <c r="G34" s="73" t="s">
        <v>88</v>
      </c>
      <c r="H34" s="84" t="s">
        <v>234</v>
      </c>
      <c r="I34" s="649" t="s">
        <v>235</v>
      </c>
      <c r="J34" s="649"/>
      <c r="K34" s="649"/>
    </row>
    <row r="35" spans="6:11" ht="74.5" customHeight="1">
      <c r="G35" s="73" t="s">
        <v>91</v>
      </c>
      <c r="H35" s="24" t="s">
        <v>92</v>
      </c>
      <c r="I35" s="647" t="s">
        <v>236</v>
      </c>
      <c r="J35" s="647"/>
      <c r="K35" s="647"/>
    </row>
    <row r="36" spans="6:11" ht="15">
      <c r="G36" s="73" t="s">
        <v>95</v>
      </c>
      <c r="H36" s="84" t="s">
        <v>237</v>
      </c>
      <c r="I36" s="649" t="s">
        <v>238</v>
      </c>
      <c r="J36" s="649"/>
      <c r="K36" s="649"/>
    </row>
    <row r="37" spans="6:11" ht="17.5" customHeight="1">
      <c r="G37" s="85" t="s">
        <v>97</v>
      </c>
      <c r="H37" s="25" t="s">
        <v>98</v>
      </c>
      <c r="I37" s="647" t="s">
        <v>239</v>
      </c>
      <c r="J37" s="647"/>
      <c r="K37" s="647"/>
    </row>
    <row r="38" spans="6:11" ht="34.25" customHeight="1">
      <c r="G38" s="73" t="s">
        <v>99</v>
      </c>
      <c r="H38" s="24" t="s">
        <v>240</v>
      </c>
      <c r="I38" s="647" t="s">
        <v>241</v>
      </c>
      <c r="J38" s="647"/>
      <c r="K38" s="647"/>
    </row>
    <row r="39" spans="6:11" ht="21" customHeight="1">
      <c r="G39" s="73" t="s">
        <v>101</v>
      </c>
      <c r="H39" s="62" t="s">
        <v>102</v>
      </c>
      <c r="I39" s="647" t="s">
        <v>242</v>
      </c>
      <c r="J39" s="647"/>
      <c r="K39" s="647"/>
    </row>
  </sheetData>
  <sheetProtection algorithmName="SHA-512" hashValue="b/LyOEEmLUIwa46zUWQrlaqxJ5TwIeOmP5cvC+HacRvN0T7if5bIZd1Egoziqw90dyCoiBmYSIcORn+x9KyqRQ==" saltValue="sQYY9o8oO0V5jcfRbc4FMQ==" spinCount="100000" sheet="1" objects="1" scenarios="1"/>
  <mergeCells count="31">
    <mergeCell ref="I39:K39"/>
    <mergeCell ref="I32:K32"/>
    <mergeCell ref="I34:K34"/>
    <mergeCell ref="I35:K35"/>
    <mergeCell ref="I36:K36"/>
    <mergeCell ref="I37:K37"/>
    <mergeCell ref="I38:K38"/>
    <mergeCell ref="I30:K30"/>
    <mergeCell ref="I19:K19"/>
    <mergeCell ref="I20:K20"/>
    <mergeCell ref="I21:K21"/>
    <mergeCell ref="G22:I22"/>
    <mergeCell ref="I23:K23"/>
    <mergeCell ref="I24:K24"/>
    <mergeCell ref="I25:K25"/>
    <mergeCell ref="I26:K26"/>
    <mergeCell ref="I27:K27"/>
    <mergeCell ref="I28:K28"/>
    <mergeCell ref="I29:K29"/>
    <mergeCell ref="G18:I18"/>
    <mergeCell ref="D6:F6"/>
    <mergeCell ref="G6:H6"/>
    <mergeCell ref="P6:S6"/>
    <mergeCell ref="B10:D11"/>
    <mergeCell ref="G10:K10"/>
    <mergeCell ref="I12:K12"/>
    <mergeCell ref="I13:K13"/>
    <mergeCell ref="I14:K14"/>
    <mergeCell ref="I15:K15"/>
    <mergeCell ref="I16:K16"/>
    <mergeCell ref="I17:K1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A1BD8-C606-4F96-AD15-206D541BBD7F}">
  <sheetPr codeName="Blad9">
    <tabColor rgb="FF6B2879"/>
  </sheetPr>
  <dimension ref="A1:V105"/>
  <sheetViews>
    <sheetView topLeftCell="H7" zoomScaleNormal="100" workbookViewId="0">
      <selection activeCell="B474" sqref="B474"/>
    </sheetView>
  </sheetViews>
  <sheetFormatPr baseColWidth="10" defaultColWidth="9.1640625" defaultRowHeight="14"/>
  <cols>
    <col min="1" max="6" width="8.5" style="28" customWidth="1"/>
    <col min="7" max="7" width="29" style="28" customWidth="1"/>
    <col min="8" max="8" width="29.1640625" style="28" customWidth="1"/>
    <col min="9" max="9" width="19.5" style="28" customWidth="1"/>
    <col min="10" max="10" width="18.5" style="28" customWidth="1"/>
    <col min="11" max="11" width="19.5" style="28" customWidth="1"/>
    <col min="12" max="12" width="17.5" style="28" customWidth="1"/>
    <col min="13" max="13" width="12" style="28" customWidth="1"/>
    <col min="14" max="14" width="16.1640625" style="28" customWidth="1"/>
    <col min="15" max="15" width="15.5" style="28" customWidth="1"/>
    <col min="16" max="16" width="8.5" style="28" customWidth="1"/>
    <col min="17" max="17" width="23.1640625" style="28" customWidth="1"/>
    <col min="18" max="18" width="26.33203125" style="28" customWidth="1"/>
    <col min="19" max="23" width="31" style="28" customWidth="1"/>
    <col min="24" max="42" width="8.5" style="28" customWidth="1"/>
    <col min="43" max="16384" width="9.1640625" style="28"/>
  </cols>
  <sheetData>
    <row r="1" spans="1:22" hidden="1">
      <c r="A1" s="270" t="s">
        <v>0</v>
      </c>
    </row>
    <row r="2" spans="1:22" ht="38" hidden="1">
      <c r="G2" s="1" t="s">
        <v>1</v>
      </c>
    </row>
    <row r="3" spans="1:22" hidden="1">
      <c r="G3" s="28" t="str">
        <f>'1. Introduktion'!G3</f>
        <v>Version 3.0</v>
      </c>
      <c r="H3" s="13"/>
      <c r="I3" s="13"/>
    </row>
    <row r="4" spans="1:22" hidden="1">
      <c r="G4" s="28" t="str">
        <f>'1. Introduktion'!G4</f>
        <v>Datum: 2024-12-17</v>
      </c>
      <c r="H4" s="13"/>
    </row>
    <row r="5" spans="1:22" hidden="1"/>
    <row r="6" spans="1:22" s="3" customFormat="1" ht="41.25" hidden="1" customHeight="1">
      <c r="B6" s="5"/>
      <c r="C6" s="5"/>
      <c r="D6" s="631"/>
      <c r="E6" s="631"/>
      <c r="F6" s="631"/>
      <c r="G6" s="631"/>
      <c r="H6" s="631"/>
      <c r="I6" s="9"/>
      <c r="J6" s="9"/>
      <c r="K6" s="2"/>
      <c r="L6" s="2"/>
      <c r="M6" s="9"/>
      <c r="N6" s="9"/>
      <c r="S6" s="643"/>
      <c r="T6" s="643"/>
      <c r="U6" s="643"/>
      <c r="V6" s="643"/>
    </row>
    <row r="9" spans="1:22" ht="24" customHeight="1">
      <c r="B9" s="61" t="s">
        <v>243</v>
      </c>
      <c r="C9" s="35"/>
      <c r="D9" s="35"/>
      <c r="G9" s="658" t="s">
        <v>244</v>
      </c>
      <c r="H9" s="659"/>
      <c r="I9" s="659"/>
      <c r="J9" s="659"/>
      <c r="K9" s="659"/>
      <c r="L9" s="660"/>
      <c r="M9" s="660"/>
      <c r="N9" s="660"/>
      <c r="O9" s="660"/>
    </row>
    <row r="10" spans="1:22">
      <c r="B10" s="661" t="s">
        <v>245</v>
      </c>
      <c r="C10" s="662"/>
      <c r="D10" s="662"/>
      <c r="F10" s="31"/>
    </row>
    <row r="11" spans="1:22" ht="45" customHeight="1">
      <c r="B11" s="662"/>
      <c r="C11" s="662"/>
      <c r="D11" s="662"/>
      <c r="F11" s="31"/>
      <c r="G11" s="301"/>
      <c r="H11" s="302" t="s">
        <v>246</v>
      </c>
      <c r="I11" s="303" t="s">
        <v>247</v>
      </c>
      <c r="J11" s="303" t="s">
        <v>248</v>
      </c>
      <c r="K11" s="303" t="s">
        <v>249</v>
      </c>
      <c r="L11" s="303" t="s">
        <v>250</v>
      </c>
      <c r="M11" s="664" t="s">
        <v>251</v>
      </c>
      <c r="N11" s="665"/>
      <c r="O11" s="666"/>
      <c r="Q11" s="667" t="s">
        <v>252</v>
      </c>
      <c r="R11" s="667"/>
      <c r="S11" s="667"/>
      <c r="T11" s="667"/>
    </row>
    <row r="12" spans="1:22" ht="15" customHeight="1">
      <c r="B12" s="662"/>
      <c r="C12" s="662"/>
      <c r="D12" s="662"/>
      <c r="F12" s="31"/>
      <c r="G12" s="304"/>
      <c r="H12" s="305"/>
      <c r="I12" s="306"/>
      <c r="J12" s="307"/>
      <c r="K12" s="307"/>
      <c r="L12" s="307"/>
      <c r="M12" s="280" t="s">
        <v>253</v>
      </c>
      <c r="N12" s="281" t="s">
        <v>254</v>
      </c>
      <c r="O12" s="282" t="s">
        <v>255</v>
      </c>
      <c r="Q12" s="34" t="str">
        <f ca="1">G13</f>
        <v>KONTOR</v>
      </c>
      <c r="R12" s="34" t="str">
        <f ca="1">G24</f>
        <v>SKOLA OCH RESTAURANG</v>
      </c>
      <c r="S12" s="34" t="str">
        <f ca="1">G33</f>
        <v>SPORTHALL</v>
      </c>
      <c r="T12" s="34" t="str">
        <f ca="1">G38</f>
        <v>SJUKHUS</v>
      </c>
      <c r="U12" s="34" t="str">
        <f ca="1">G46</f>
        <v>INDUSTRI</v>
      </c>
    </row>
    <row r="13" spans="1:22" ht="15">
      <c r="B13" s="662"/>
      <c r="C13" s="662"/>
      <c r="D13" s="662"/>
      <c r="F13" s="31"/>
      <c r="G13" s="304" t="str" cm="1">
        <f t="array" aca="1" ref="G13" ca="1">IFERROR(
  INDEX(
    tblStrings[],
    MATCH(
      1,
      (tblStrings[Cell]=SUBSTITUTE(CELL("adress",INDIRECT("RC",FALSE)),"$","")) *
      (tblStrings[Sheet]=AllStrings!$C$491),
      0
    ),
    MATCH(Språkval, tblStrings[#Headers], 0)
  ),
)</f>
        <v>KONTOR</v>
      </c>
      <c r="H13" s="87" t="str" cm="1">
        <f t="array" aca="1" ref="H13" ca="1">IFERROR(
  INDEX(
    tblStrings[],
    MATCH(
      1,
      (tblStrings[Cell]=SUBSTITUTE(CELL("adress",INDIRECT("RC",FALSE)),"$","")) *
      (tblStrings[Sheet]=AllStrings!$C$475),
      0
    ),
    MATCH(Språkval, tblStrings[#Headers], 0)
  ),
)</f>
        <v>Cellkontor &gt; 8 kvm</v>
      </c>
      <c r="I13" s="308">
        <v>9</v>
      </c>
      <c r="J13" s="298">
        <v>0.8</v>
      </c>
      <c r="K13" s="298">
        <v>0.75</v>
      </c>
      <c r="L13" s="298">
        <v>0.56000000000000005</v>
      </c>
      <c r="M13" s="283">
        <v>18</v>
      </c>
      <c r="N13" s="284">
        <v>14</v>
      </c>
      <c r="O13" s="86">
        <v>8</v>
      </c>
      <c r="Q13" s="28" t="str" cm="1">
        <f t="array" aca="1" ref="Q13:Q23" ca="1">H13:H23</f>
        <v>Cellkontor &gt; 8 kvm</v>
      </c>
      <c r="R13" s="28" t="str" cm="1">
        <f t="array" aca="1" ref="R13:R21" ca="1">H24:H32</f>
        <v>Klassrum</v>
      </c>
      <c r="S13" s="28" t="str" cm="1">
        <f t="array" aca="1" ref="S13:S17" ca="1">H33:H37</f>
        <v>Sporthall</v>
      </c>
      <c r="T13" s="28" t="str" cm="1">
        <f t="array" aca="1" ref="T13:T20" ca="1">H38:H45</f>
        <v>Vård/patientrum, multifunktion</v>
      </c>
      <c r="U13" s="28" t="str" cm="1">
        <f t="array" aca="1" ref="U13:U21" ca="1">_xlfn.UNIQUE(H46:H54)</f>
        <v>Grov, 300 lux</v>
      </c>
    </row>
    <row r="14" spans="1:22" ht="14.5" customHeight="1">
      <c r="B14" s="662"/>
      <c r="C14" s="662"/>
      <c r="D14" s="662"/>
      <c r="F14" s="31"/>
      <c r="G14" s="655" t="s">
        <v>257</v>
      </c>
      <c r="H14" s="87" t="str" cm="1">
        <f t="array" aca="1" ref="H14" ca="1">IFERROR(
  INDEX(
    tblStrings[],
    MATCH(
      1,
      (tblStrings[Cell]=SUBSTITUTE(CELL("adress",INDIRECT("RC",FALSE)),"$","")) *
      (tblStrings[Sheet]=AllStrings!$C$475),
      0
    ),
    MATCH(Språkval, tblStrings[#Headers], 0)
  ),
)</f>
        <v>Cellkontor 8–12 kvm</v>
      </c>
      <c r="I14" s="308">
        <v>8</v>
      </c>
      <c r="J14" s="298">
        <v>0.8</v>
      </c>
      <c r="K14" s="298">
        <v>0.75</v>
      </c>
      <c r="L14" s="298">
        <v>0.56000000000000005</v>
      </c>
      <c r="M14" s="283">
        <v>16</v>
      </c>
      <c r="N14" s="284">
        <v>12</v>
      </c>
      <c r="O14" s="86">
        <v>7</v>
      </c>
      <c r="Q14" s="28" t="str">
        <f ca="1"/>
        <v>Cellkontor 8–12 kvm</v>
      </c>
      <c r="R14" s="28" t="str">
        <f ca="1"/>
        <v>Grupprum</v>
      </c>
      <c r="S14" s="28" t="str">
        <f ca="1"/>
        <v>Omklädning</v>
      </c>
      <c r="T14" s="28" t="str">
        <f ca="1"/>
        <v>Vård/patientrum</v>
      </c>
      <c r="U14" s="28" t="str">
        <f ca="1"/>
        <v>Medel, 500 lux</v>
      </c>
    </row>
    <row r="15" spans="1:22" ht="14.5" customHeight="1">
      <c r="B15" s="662"/>
      <c r="C15" s="662"/>
      <c r="D15" s="662"/>
      <c r="F15" s="31"/>
      <c r="G15" s="655"/>
      <c r="H15" s="87" t="str" cm="1">
        <f t="array" aca="1" ref="H15" ca="1">IFERROR(
  INDEX(
    tblStrings[],
    MATCH(
      1,
      (tblStrings[Cell]=SUBSTITUTE(CELL("adress",INDIRECT("RC",FALSE)),"$","")) *
      (tblStrings[Sheet]=AllStrings!$C$475),
      0
    ),
    MATCH(Språkval, tblStrings[#Headers], 0)
  ),
)</f>
        <v>Storkontor &gt; 12 kvm</v>
      </c>
      <c r="I15" s="308">
        <v>10</v>
      </c>
      <c r="J15" s="298">
        <v>1</v>
      </c>
      <c r="K15" s="298">
        <v>0.9</v>
      </c>
      <c r="L15" s="298">
        <v>0.77</v>
      </c>
      <c r="M15" s="283">
        <v>25</v>
      </c>
      <c r="N15" s="284">
        <v>23</v>
      </c>
      <c r="O15" s="86">
        <v>17</v>
      </c>
      <c r="Q15" s="28" t="str">
        <f ca="1"/>
        <v>Storkontor &gt; 12 kvm</v>
      </c>
      <c r="R15" s="28" t="str">
        <f ca="1"/>
        <v>Korridor</v>
      </c>
      <c r="S15" s="28" t="str">
        <f ca="1"/>
        <v>Förråd</v>
      </c>
      <c r="T15" s="28" t="str">
        <f ca="1"/>
        <v>Undersökning 500 lux</v>
      </c>
      <c r="U15" s="28" t="str">
        <f ca="1"/>
        <v>Fin, 750 lux</v>
      </c>
    </row>
    <row r="16" spans="1:22" ht="15">
      <c r="B16" s="645"/>
      <c r="C16" s="645"/>
      <c r="D16" s="645"/>
      <c r="F16" s="31"/>
      <c r="G16" s="309"/>
      <c r="H16" s="87" t="str" cm="1">
        <f t="array" aca="1" ref="H16" ca="1">IFERROR(
  INDEX(
    tblStrings[],
    MATCH(
      1,
      (tblStrings[Cell]=SUBSTITUTE(CELL("adress",INDIRECT("RC",FALSE)),"$","")) *
      (tblStrings[Sheet]=AllStrings!$C$475),
      0
    ),
    MATCH(Språkval, tblStrings[#Headers], 0)
  ),
)</f>
        <v>Korridor</v>
      </c>
      <c r="I16" s="308">
        <v>5</v>
      </c>
      <c r="J16" s="298">
        <v>1</v>
      </c>
      <c r="K16" s="298">
        <v>0.75</v>
      </c>
      <c r="L16" s="298">
        <v>0.56999999999999995</v>
      </c>
      <c r="M16" s="283">
        <v>13</v>
      </c>
      <c r="N16" s="284">
        <v>9</v>
      </c>
      <c r="O16" s="86">
        <v>5</v>
      </c>
      <c r="Q16" s="28" t="str">
        <f ca="1"/>
        <v>Korridor</v>
      </c>
      <c r="R16" s="28" t="str">
        <f ca="1"/>
        <v>Aula</v>
      </c>
      <c r="S16" s="28" t="str">
        <f ca="1"/>
        <v>Kommunikationsytor &lt; 3 m höjd</v>
      </c>
      <c r="T16" s="28" t="str">
        <f ca="1"/>
        <v>Operation</v>
      </c>
      <c r="U16" s="28" t="str">
        <f ca="1"/>
        <v>Mindre lokal, 300 lux</v>
      </c>
    </row>
    <row r="17" spans="2:21" ht="15">
      <c r="B17" s="645"/>
      <c r="C17" s="645"/>
      <c r="D17" s="645"/>
      <c r="F17" s="31"/>
      <c r="G17" s="87"/>
      <c r="H17" s="87" t="str" cm="1">
        <f t="array" aca="1" ref="H17" ca="1">IFERROR(
  INDEX(
    tblStrings[],
    MATCH(
      1,
      (tblStrings[Cell]=SUBSTITUTE(CELL("adress",INDIRECT("RC",FALSE)),"$","")) *
      (tblStrings[Sheet]=AllStrings!$C$475),
      0
    ),
    MATCH(Språkval, tblStrings[#Headers], 0)
  ),
)</f>
        <v>Pausrum större</v>
      </c>
      <c r="I17" s="308">
        <v>7</v>
      </c>
      <c r="J17" s="298">
        <v>0.7</v>
      </c>
      <c r="K17" s="298">
        <v>0.86</v>
      </c>
      <c r="L17" s="298">
        <v>0.82</v>
      </c>
      <c r="M17" s="283">
        <v>12</v>
      </c>
      <c r="N17" s="284">
        <v>11</v>
      </c>
      <c r="O17" s="86">
        <v>9</v>
      </c>
      <c r="Q17" s="28" t="str">
        <f ca="1"/>
        <v>Pausrum större</v>
      </c>
      <c r="R17" s="28" t="str">
        <f ca="1"/>
        <v>Uppehållsrum</v>
      </c>
      <c r="S17" s="28" t="str">
        <f ca="1"/>
        <v>Kommunikationsytor &lt; 6 m höjd</v>
      </c>
      <c r="T17" s="28" t="str">
        <f ca="1"/>
        <v>Korridor, normal samt städning</v>
      </c>
      <c r="U17" s="28" t="str">
        <f ca="1"/>
        <v>Måleri</v>
      </c>
    </row>
    <row r="18" spans="2:21" ht="15">
      <c r="B18" s="660"/>
      <c r="C18" s="660"/>
      <c r="D18" s="660"/>
      <c r="F18" s="31"/>
      <c r="G18" s="87"/>
      <c r="H18" s="87" t="str" cm="1">
        <f t="array" aca="1" ref="H18" ca="1">IFERROR(
  INDEX(
    tblStrings[],
    MATCH(
      1,
      (tblStrings[Cell]=SUBSTITUTE(CELL("adress",INDIRECT("RC",FALSE)),"$","")) *
      (tblStrings[Sheet]=AllStrings!$C$475),
      0
    ),
    MATCH(Språkval, tblStrings[#Headers], 0)
  ),
)</f>
        <v>Pausrum mindre</v>
      </c>
      <c r="I18" s="308">
        <v>7</v>
      </c>
      <c r="J18" s="298">
        <v>0.7</v>
      </c>
      <c r="K18" s="298">
        <v>0.86</v>
      </c>
      <c r="L18" s="298">
        <v>0.74</v>
      </c>
      <c r="M18" s="283">
        <v>12</v>
      </c>
      <c r="N18" s="284">
        <v>11</v>
      </c>
      <c r="O18" s="86">
        <v>8</v>
      </c>
      <c r="Q18" s="28" t="str">
        <f ca="1"/>
        <v>Pausrum mindre</v>
      </c>
      <c r="R18" s="28" t="str">
        <f ca="1"/>
        <v>Matsal</v>
      </c>
      <c r="T18" s="28" t="str">
        <f ca="1"/>
        <v>Korridor, OP‑avdelning</v>
      </c>
      <c r="U18" s="28" t="str">
        <f ca="1"/>
        <v>Lager packning, 300 lux</v>
      </c>
    </row>
    <row r="19" spans="2:21" ht="15">
      <c r="B19" s="660"/>
      <c r="C19" s="660"/>
      <c r="D19" s="660"/>
      <c r="F19" s="31"/>
      <c r="G19" s="87"/>
      <c r="H19" s="87" t="str" cm="1">
        <f t="array" aca="1" ref="H19" ca="1">IFERROR(
  INDEX(
    tblStrings[],
    MATCH(
      1,
      (tblStrings[Cell]=SUBSTITUTE(CELL("adress",INDIRECT("RC",FALSE)),"$","")) *
      (tblStrings[Sheet]=AllStrings!$C$475),
      0
    ),
    MATCH(Språkval, tblStrings[#Headers], 0)
  ),
)</f>
        <v>Konferensrum</v>
      </c>
      <c r="I19" s="308">
        <v>10</v>
      </c>
      <c r="J19" s="298">
        <v>0.7</v>
      </c>
      <c r="K19" s="298">
        <v>0.71</v>
      </c>
      <c r="L19" s="298">
        <v>0.77</v>
      </c>
      <c r="M19" s="283">
        <v>18</v>
      </c>
      <c r="N19" s="284">
        <v>13</v>
      </c>
      <c r="O19" s="86">
        <v>10</v>
      </c>
      <c r="Q19" s="28" t="str">
        <f ca="1"/>
        <v>Konferensrum</v>
      </c>
      <c r="R19" s="28" t="str">
        <f ca="1"/>
        <v>Kök</v>
      </c>
      <c r="T19" s="28" t="str">
        <f ca="1"/>
        <v>Väntrum</v>
      </c>
      <c r="U19" s="28" t="str">
        <f ca="1"/>
        <v>Lager lastning, 200 lux</v>
      </c>
    </row>
    <row r="20" spans="2:21" ht="15">
      <c r="B20" s="660"/>
      <c r="C20" s="660"/>
      <c r="D20" s="660"/>
      <c r="F20" s="31"/>
      <c r="G20" s="87"/>
      <c r="H20" s="87" t="str" cm="1">
        <f t="array" aca="1" ref="H20" ca="1">IFERROR(
  INDEX(
    tblStrings[],
    MATCH(
      1,
      (tblStrings[Cell]=SUBSTITUTE(CELL("adress",INDIRECT("RC",FALSE)),"$","")) *
      (tblStrings[Sheet]=AllStrings!$C$475),
      0
    ),
    MATCH(Språkval, tblStrings[#Headers], 0)
  ),
)</f>
        <v>Förråd</v>
      </c>
      <c r="I20" s="308">
        <v>6</v>
      </c>
      <c r="J20" s="298">
        <v>0.3</v>
      </c>
      <c r="K20" s="298">
        <v>0.33</v>
      </c>
      <c r="L20" s="298">
        <v>1</v>
      </c>
      <c r="M20" s="283">
        <v>5</v>
      </c>
      <c r="N20" s="284">
        <v>2</v>
      </c>
      <c r="O20" s="86">
        <v>2</v>
      </c>
      <c r="Q20" s="28" t="str">
        <f ca="1"/>
        <v>Förråd</v>
      </c>
      <c r="R20" s="28" t="str">
        <f ca="1"/>
        <v>Kök/förråd</v>
      </c>
      <c r="T20" s="28" t="str">
        <f ca="1"/>
        <v>Kulvert</v>
      </c>
      <c r="U20" s="28" t="str">
        <f ca="1"/>
        <v>Lagergång höglager</v>
      </c>
    </row>
    <row r="21" spans="2:21" ht="15">
      <c r="B21" s="660"/>
      <c r="C21" s="660"/>
      <c r="D21" s="660"/>
      <c r="F21" s="31"/>
      <c r="G21" s="87"/>
      <c r="H21" s="87" t="str" cm="1">
        <f t="array" aca="1" ref="H21" ca="1">IFERROR(
  INDEX(
    tblStrings[],
    MATCH(
      1,
      (tblStrings[Cell]=SUBSTITUTE(CELL("adress",INDIRECT("RC",FALSE)),"$","")) *
      (tblStrings[Sheet]=AllStrings!$C$475),
      0
    ),
    MATCH(Språkval, tblStrings[#Headers], 0)
  ),
)</f>
        <v>WC</v>
      </c>
      <c r="I21" s="308">
        <v>11</v>
      </c>
      <c r="J21" s="298">
        <v>0.3</v>
      </c>
      <c r="K21" s="298">
        <v>0.33</v>
      </c>
      <c r="L21" s="298">
        <v>1</v>
      </c>
      <c r="M21" s="283">
        <v>8</v>
      </c>
      <c r="N21" s="284">
        <v>3</v>
      </c>
      <c r="O21" s="86">
        <v>3</v>
      </c>
      <c r="Q21" s="28" t="str">
        <f ca="1"/>
        <v>WC</v>
      </c>
      <c r="R21" s="28" t="str">
        <f ca="1"/>
        <v>Personalrum &lt; 30 kvm</v>
      </c>
      <c r="U21" s="28" t="str">
        <f ca="1"/>
        <v>Lagergång låglager</v>
      </c>
    </row>
    <row r="22" spans="2:21" ht="15">
      <c r="B22" s="660"/>
      <c r="C22" s="660"/>
      <c r="D22" s="660"/>
      <c r="F22" s="31"/>
      <c r="G22" s="87"/>
      <c r="H22" s="87" t="str" cm="1">
        <f t="array" aca="1" ref="H22" ca="1">IFERROR(
  INDEX(
    tblStrings[],
    MATCH(
      1,
      (tblStrings[Cell]=SUBSTITUTE(CELL("adress",INDIRECT("RC",FALSE)),"$","")) *
      (tblStrings[Sheet]=AllStrings!$C$475),
      0
    ),
    MATCH(Språkval, tblStrings[#Headers], 0)
  ),
)</f>
        <v>Trapphus (kontor)</v>
      </c>
      <c r="I22" s="308">
        <v>7</v>
      </c>
      <c r="J22" s="298">
        <v>1</v>
      </c>
      <c r="K22" s="298">
        <v>0.4</v>
      </c>
      <c r="L22" s="298">
        <v>1</v>
      </c>
      <c r="M22" s="283">
        <v>18</v>
      </c>
      <c r="N22" s="284">
        <v>7</v>
      </c>
      <c r="O22" s="285">
        <v>7</v>
      </c>
      <c r="Q22" s="28" t="str">
        <f ca="1"/>
        <v>Trapphus (kontor)</v>
      </c>
    </row>
    <row r="23" spans="2:21" ht="15">
      <c r="B23" s="660"/>
      <c r="C23" s="660"/>
      <c r="D23" s="660"/>
      <c r="F23" s="31"/>
      <c r="G23" s="310"/>
      <c r="H23" s="87" t="str" cm="1">
        <f t="array" aca="1" ref="H23" ca="1">IFERROR(
  INDEX(
    tblStrings[],
    MATCH(
      1,
      (tblStrings[Cell]=SUBSTITUTE(CELL("adress",INDIRECT("RC",FALSE)),"$","")) *
      (tblStrings[Sheet]=AllStrings!$C$475),
      0
    ),
    MATCH(Språkval, tblStrings[#Headers], 0)
  ),
)</f>
        <v>Garage (icke‑publika kontor)</v>
      </c>
      <c r="I23" s="311">
        <v>3</v>
      </c>
      <c r="J23" s="300">
        <v>1</v>
      </c>
      <c r="K23" s="300">
        <v>0.1</v>
      </c>
      <c r="L23" s="300">
        <v>1</v>
      </c>
      <c r="M23" s="286">
        <v>8</v>
      </c>
      <c r="N23" s="287">
        <v>1</v>
      </c>
      <c r="O23" s="288">
        <v>1</v>
      </c>
      <c r="Q23" s="28" t="str">
        <f ca="1"/>
        <v>Garage (icke‑publika kontor)</v>
      </c>
    </row>
    <row r="24" spans="2:21" ht="15">
      <c r="B24" s="663"/>
      <c r="C24" s="663"/>
      <c r="D24" s="663"/>
      <c r="F24" s="31"/>
      <c r="G24" s="322" t="str" cm="1">
        <f t="array" aca="1" ref="G24" ca="1">IFERROR(
  INDEX(
    tblStrings[],
    MATCH(
      1,
      (tblStrings[Cell]=SUBSTITUTE(CELL("adress",INDIRECT("RC",FALSE)),"$","")) *
      (tblStrings[Sheet]=AllStrings!$C$491),
      0
    ),
    MATCH(Språkval, tblStrings[#Headers], 0)
  ),
)</f>
        <v>SKOLA OCH RESTAURANG</v>
      </c>
      <c r="H24" s="565" t="str" cm="1">
        <f t="array" aca="1" ref="H24" ca="1">IFERROR(
  INDEX(
    tblStrings[],
    MATCH(
      1,
      (tblStrings[Cell]=SUBSTITUTE(CELL("adress",INDIRECT("RC",FALSE)),"$","")) *
      (tblStrings[Sheet]=AllStrings!$C$491),
      0
    ),
    MATCH(Språkval, tblStrings[#Headers], 0)
  ),
)</f>
        <v>Klassrum</v>
      </c>
      <c r="I24" s="312">
        <v>10</v>
      </c>
      <c r="J24" s="298">
        <v>0.95</v>
      </c>
      <c r="K24" s="298">
        <v>0.79</v>
      </c>
      <c r="L24" s="298">
        <v>0.82</v>
      </c>
      <c r="M24" s="283">
        <v>19</v>
      </c>
      <c r="N24" s="284">
        <v>15</v>
      </c>
      <c r="O24" s="289">
        <v>12</v>
      </c>
    </row>
    <row r="25" spans="2:21" ht="14.5" customHeight="1">
      <c r="B25" s="663"/>
      <c r="C25" s="663"/>
      <c r="D25" s="663"/>
      <c r="F25" s="31"/>
      <c r="G25" s="655" t="s">
        <v>267</v>
      </c>
      <c r="H25" s="87" t="str" cm="1">
        <f t="array" aca="1" ref="H25" ca="1">IFERROR(
  INDEX(
    tblStrings[],
    MATCH(
      1,
      (tblStrings[Cell]=SUBSTITUTE(CELL("adress",INDIRECT("RC",FALSE)),"$","")) *
      (tblStrings[Sheet]=AllStrings!$C$491),
      0
    ),
    MATCH(Språkval, tblStrings[#Headers], 0)
  ),
)</f>
        <v>Grupprum</v>
      </c>
      <c r="I25" s="308">
        <v>10</v>
      </c>
      <c r="J25" s="298">
        <v>0.9</v>
      </c>
      <c r="K25" s="298">
        <v>0.89</v>
      </c>
      <c r="L25" s="298">
        <v>0.82</v>
      </c>
      <c r="M25" s="283">
        <v>18</v>
      </c>
      <c r="N25" s="284">
        <v>16</v>
      </c>
      <c r="O25" s="86">
        <v>13</v>
      </c>
      <c r="Q25" s="34"/>
      <c r="R25" s="34"/>
      <c r="S25" s="34"/>
      <c r="T25" s="34"/>
      <c r="U25" s="34"/>
    </row>
    <row r="26" spans="2:21" ht="15">
      <c r="B26" s="663"/>
      <c r="C26" s="663"/>
      <c r="D26" s="663"/>
      <c r="F26" s="31"/>
      <c r="G26" s="655"/>
      <c r="H26" s="87" t="str" cm="1">
        <f t="array" aca="1" ref="H26" ca="1">IFERROR(
  INDEX(
    tblStrings[],
    MATCH(
      1,
      (tblStrings[Cell]=SUBSTITUTE(CELL("adress",INDIRECT("RC",FALSE)),"$","")) *
      (tblStrings[Sheet]=AllStrings!$C$491),
      0
    ),
    MATCH(Språkval, tblStrings[#Headers], 0)
  ),
)</f>
        <v>Korridor</v>
      </c>
      <c r="I26" s="308">
        <v>5</v>
      </c>
      <c r="J26" s="298">
        <v>1</v>
      </c>
      <c r="K26" s="298">
        <v>0.55000000000000004</v>
      </c>
      <c r="L26" s="298">
        <v>0.56999999999999995</v>
      </c>
      <c r="M26" s="283">
        <v>10</v>
      </c>
      <c r="N26" s="284">
        <v>6</v>
      </c>
      <c r="O26" s="86">
        <v>3</v>
      </c>
    </row>
    <row r="27" spans="2:21" ht="15">
      <c r="B27" s="33"/>
      <c r="F27" s="31"/>
      <c r="G27" s="321"/>
      <c r="H27" s="87" t="str" cm="1">
        <f t="array" aca="1" ref="H27" ca="1">IFERROR(
  INDEX(
    tblStrings[],
    MATCH(
      1,
      (tblStrings[Cell]=SUBSTITUTE(CELL("adress",INDIRECT("RC",FALSE)),"$","")) *
      (tblStrings[Sheet]=AllStrings!$C$491),
      0
    ),
    MATCH(Språkval, tblStrings[#Headers], 0)
  ),
)</f>
        <v>Aula</v>
      </c>
      <c r="I27" s="308">
        <v>12</v>
      </c>
      <c r="J27" s="298">
        <v>0.8</v>
      </c>
      <c r="K27" s="298">
        <v>0.75</v>
      </c>
      <c r="L27" s="298">
        <v>0.64</v>
      </c>
      <c r="M27" s="283">
        <v>19</v>
      </c>
      <c r="N27" s="284">
        <v>14</v>
      </c>
      <c r="O27" s="86">
        <v>9</v>
      </c>
    </row>
    <row r="28" spans="2:21" ht="15">
      <c r="B28" s="33"/>
      <c r="F28" s="31"/>
      <c r="G28" s="87"/>
      <c r="H28" s="87" t="str" cm="1">
        <f t="array" aca="1" ref="H28" ca="1">IFERROR(
  INDEX(
    tblStrings[],
    MATCH(
      1,
      (tblStrings[Cell]=SUBSTITUTE(CELL("adress",INDIRECT("RC",FALSE)),"$","")) *
      (tblStrings[Sheet]=AllStrings!$C$491),
      0
    ),
    MATCH(Språkval, tblStrings[#Headers], 0)
  ),
)</f>
        <v>Uppehållsrum</v>
      </c>
      <c r="I28" s="308">
        <v>7</v>
      </c>
      <c r="J28" s="298">
        <v>1</v>
      </c>
      <c r="K28" s="298">
        <v>0.6</v>
      </c>
      <c r="L28" s="298">
        <v>0.82</v>
      </c>
      <c r="M28" s="283">
        <v>14</v>
      </c>
      <c r="N28" s="284">
        <v>8</v>
      </c>
      <c r="O28" s="86">
        <v>7</v>
      </c>
    </row>
    <row r="29" spans="2:21" ht="15">
      <c r="B29" s="33"/>
      <c r="F29" s="31"/>
      <c r="G29" s="321"/>
      <c r="H29" s="87" t="str" cm="1">
        <f t="array" aca="1" ref="H29" ca="1">IFERROR(
  INDEX(
    tblStrings[],
    MATCH(
      1,
      (tblStrings[Cell]=SUBSTITUTE(CELL("adress",INDIRECT("RC",FALSE)),"$","")) *
      (tblStrings[Sheet]=AllStrings!$C$491),
      0
    ),
    MATCH(Språkval, tblStrings[#Headers], 0)
  ),
)</f>
        <v>Matsal</v>
      </c>
      <c r="I29" s="308">
        <v>7</v>
      </c>
      <c r="J29" s="298">
        <v>1</v>
      </c>
      <c r="K29" s="298">
        <v>1</v>
      </c>
      <c r="L29" s="298">
        <v>0.86</v>
      </c>
      <c r="M29" s="290">
        <v>14</v>
      </c>
      <c r="N29" s="291">
        <v>14</v>
      </c>
      <c r="O29" s="292">
        <v>12.04</v>
      </c>
    </row>
    <row r="30" spans="2:21" ht="16" thickBot="1">
      <c r="B30" s="33"/>
      <c r="F30" s="31"/>
      <c r="G30" s="321"/>
      <c r="H30" s="87" t="str" cm="1">
        <f t="array" aca="1" ref="H30" ca="1">IFERROR(
  INDEX(
    tblStrings[],
    MATCH(
      1,
      (tblStrings[Cell]=SUBSTITUTE(CELL("adress",INDIRECT("RC",FALSE)),"$","")) *
      (tblStrings[Sheet]=AllStrings!$C$491),
      0
    ),
    MATCH(Språkval, tblStrings[#Headers], 0)
  ),
)</f>
        <v>Kök</v>
      </c>
      <c r="I30" s="308">
        <v>9</v>
      </c>
      <c r="J30" s="298">
        <v>1</v>
      </c>
      <c r="K30" s="298">
        <v>1</v>
      </c>
      <c r="L30" s="298">
        <v>1</v>
      </c>
      <c r="M30" s="290">
        <v>18</v>
      </c>
      <c r="N30" s="291">
        <v>18</v>
      </c>
      <c r="O30" s="293">
        <v>18</v>
      </c>
      <c r="Q30" s="28" t="s">
        <v>410</v>
      </c>
      <c r="R30" s="28" t="s">
        <v>414</v>
      </c>
      <c r="S30" s="28" t="s">
        <v>415</v>
      </c>
      <c r="T30" s="28" t="s">
        <v>416</v>
      </c>
    </row>
    <row r="31" spans="2:21" ht="16" thickBot="1">
      <c r="B31" s="33"/>
      <c r="F31" s="31"/>
      <c r="G31" s="87"/>
      <c r="H31" s="87" t="str" cm="1">
        <f t="array" aca="1" ref="H31" ca="1">IFERROR(
  INDEX(
    tblStrings[],
    MATCH(
      1,
      (tblStrings[Cell]=SUBSTITUTE(CELL("adress",INDIRECT("RC",FALSE)),"$","")) *
      (tblStrings[Sheet]=AllStrings!$C$491),
      0
    ),
    MATCH(Språkval, tblStrings[#Headers], 0)
  ),
)</f>
        <v>Kök/förråd</v>
      </c>
      <c r="I31" s="308">
        <v>6</v>
      </c>
      <c r="J31" s="298">
        <v>0.7</v>
      </c>
      <c r="K31" s="298">
        <v>0.86</v>
      </c>
      <c r="L31" s="298">
        <v>1</v>
      </c>
      <c r="M31" s="290">
        <v>8.3999999999999986</v>
      </c>
      <c r="N31" s="291">
        <v>7.2239999999999984</v>
      </c>
      <c r="O31" s="293">
        <v>7.2239999999999984</v>
      </c>
      <c r="Q31" s="560" t="s">
        <v>1608</v>
      </c>
      <c r="R31" s="560" t="s">
        <v>1608</v>
      </c>
      <c r="S31" s="560" t="s">
        <v>1609</v>
      </c>
      <c r="T31" s="560" t="s">
        <v>1610</v>
      </c>
    </row>
    <row r="32" spans="2:21" ht="16" thickBot="1">
      <c r="B32" s="33"/>
      <c r="F32" s="31"/>
      <c r="G32" s="310"/>
      <c r="H32" s="87" t="str" cm="1">
        <f t="array" aca="1" ref="H32" ca="1">IFERROR(
  INDEX(
    tblStrings[],
    MATCH(
      1,
      (tblStrings[Cell]=SUBSTITUTE(CELL("adress",INDIRECT("RC",FALSE)),"$","")) *
      (tblStrings[Sheet]=AllStrings!$C$491),
      0
    ),
    MATCH(Språkval, tblStrings[#Headers], 0)
  ),
)</f>
        <v>Personalrum &lt; 30 kvm</v>
      </c>
      <c r="I32" s="308">
        <v>7</v>
      </c>
      <c r="J32" s="300">
        <v>0.7</v>
      </c>
      <c r="K32" s="300">
        <v>0.86</v>
      </c>
      <c r="L32" s="300">
        <v>0.81</v>
      </c>
      <c r="M32" s="294">
        <v>9.7999999999999989</v>
      </c>
      <c r="N32" s="295">
        <v>8.427999999999999</v>
      </c>
      <c r="O32" s="296">
        <v>6.8266799999999996</v>
      </c>
      <c r="Q32" s="560" t="s">
        <v>1611</v>
      </c>
      <c r="R32" s="560" t="s">
        <v>1612</v>
      </c>
      <c r="S32" s="560" t="s">
        <v>1613</v>
      </c>
      <c r="T32" s="560" t="s">
        <v>1614</v>
      </c>
    </row>
    <row r="33" spans="2:20" ht="16" thickBot="1">
      <c r="B33" s="33"/>
      <c r="F33" s="31"/>
      <c r="G33" s="304" t="str" cm="1">
        <f t="array" aca="1" ref="G33" ca="1">IFERROR(
  INDEX(
    tblStrings[],
    MATCH(
      1,
      (tblStrings[Cell]=SUBSTITUTE(CELL("adress",INDIRECT("RC",FALSE)),"$","")) *
      (tblStrings[Sheet]=AllStrings!$C$491),
      0
    ),
    MATCH(Språkval, tblStrings[#Headers], 0)
  ),
)</f>
        <v>SPORTHALL</v>
      </c>
      <c r="H33" s="565" t="str" cm="1">
        <f t="array" aca="1" ref="H33" ca="1">IFERROR(
  INDEX(
    tblStrings[],
    MATCH(
      1,
      (tblStrings[Cell]=SUBSTITUTE(CELL("adress",INDIRECT("RC",FALSE)),"$","")) *
      (tblStrings[Sheet]=AllStrings!$C$491),
      0
    ),
    MATCH(Språkval, tblStrings[#Headers], 0)
  ),
)</f>
        <v>Sporthall</v>
      </c>
      <c r="I33" s="312">
        <v>11</v>
      </c>
      <c r="J33" s="298">
        <v>1</v>
      </c>
      <c r="K33" s="298">
        <v>0.7</v>
      </c>
      <c r="L33" s="298">
        <v>0.84</v>
      </c>
      <c r="M33" s="283">
        <v>44</v>
      </c>
      <c r="N33" s="284">
        <v>31</v>
      </c>
      <c r="O33" s="289">
        <v>26</v>
      </c>
      <c r="Q33" s="560" t="s">
        <v>276</v>
      </c>
      <c r="R33" s="560" t="s">
        <v>1545</v>
      </c>
      <c r="S33" s="560" t="s">
        <v>1546</v>
      </c>
      <c r="T33" s="560" t="s">
        <v>1547</v>
      </c>
    </row>
    <row r="34" spans="2:20" ht="16" thickBot="1">
      <c r="B34" s="33"/>
      <c r="F34" s="31"/>
      <c r="G34" s="656" t="s">
        <v>277</v>
      </c>
      <c r="H34" s="87" t="str" cm="1">
        <f t="array" aca="1" ref="H34" ca="1">IFERROR(
  INDEX(
    tblStrings[],
    MATCH(
      1,
      (tblStrings[Cell]=SUBSTITUTE(CELL("adress",INDIRECT("RC",FALSE)),"$","")) *
      (tblStrings[Sheet]=AllStrings!$C$491),
      0
    ),
    MATCH(Språkval, tblStrings[#Headers], 0)
  ),
)</f>
        <v>Omklädning</v>
      </c>
      <c r="I34" s="308">
        <v>6</v>
      </c>
      <c r="J34" s="298">
        <v>0.7</v>
      </c>
      <c r="K34" s="298">
        <v>0.86</v>
      </c>
      <c r="L34" s="298">
        <v>1</v>
      </c>
      <c r="M34" s="283">
        <v>17</v>
      </c>
      <c r="N34" s="284">
        <v>14</v>
      </c>
      <c r="O34" s="86">
        <v>14</v>
      </c>
      <c r="Q34" s="560" t="s">
        <v>1615</v>
      </c>
      <c r="R34" s="560" t="s">
        <v>1616</v>
      </c>
      <c r="S34" s="560" t="s">
        <v>1617</v>
      </c>
      <c r="T34" s="560" t="s">
        <v>1618</v>
      </c>
    </row>
    <row r="35" spans="2:20" ht="16" thickBot="1">
      <c r="F35" s="31"/>
      <c r="G35" s="657"/>
      <c r="H35" s="87" t="str" cm="1">
        <f t="array" aca="1" ref="H35" ca="1">IFERROR(
  INDEX(
    tblStrings[],
    MATCH(
      1,
      (tblStrings[Cell]=SUBSTITUTE(CELL("adress",INDIRECT("RC",FALSE)),"$","")) *
      (tblStrings[Sheet]=AllStrings!$C$491),
      0
    ),
    MATCH(Språkval, tblStrings[#Headers], 0)
  ),
)</f>
        <v>Förråd</v>
      </c>
      <c r="I35" s="308">
        <v>6</v>
      </c>
      <c r="J35" s="298">
        <v>0.3</v>
      </c>
      <c r="K35" s="298">
        <v>0.33</v>
      </c>
      <c r="L35" s="298">
        <v>1</v>
      </c>
      <c r="M35" s="283">
        <v>7</v>
      </c>
      <c r="N35" s="284">
        <v>2</v>
      </c>
      <c r="O35" s="86">
        <v>2</v>
      </c>
      <c r="Q35" s="560" t="s">
        <v>1619</v>
      </c>
      <c r="R35" s="560" t="s">
        <v>1619</v>
      </c>
      <c r="S35" s="560" t="s">
        <v>1620</v>
      </c>
      <c r="T35" s="560" t="s">
        <v>1621</v>
      </c>
    </row>
    <row r="36" spans="2:20" ht="15">
      <c r="F36" s="31"/>
      <c r="G36" s="87"/>
      <c r="H36" s="87" t="str" cm="1">
        <f t="array" aca="1" ref="H36" ca="1">IFERROR(
  INDEX(
    tblStrings[],
    MATCH(
      1,
      (tblStrings[Cell]=SUBSTITUTE(CELL("adress",INDIRECT("RC",FALSE)),"$","")) *
      (tblStrings[Sheet]=AllStrings!$C$491),
      0
    ),
    MATCH(Språkval, tblStrings[#Headers], 0)
  ),
)</f>
        <v>Kommunikationsytor &lt; 3 m höjd</v>
      </c>
      <c r="I36" s="308">
        <v>8</v>
      </c>
      <c r="J36" s="298">
        <v>1</v>
      </c>
      <c r="K36" s="298">
        <v>0.75</v>
      </c>
      <c r="L36" s="298">
        <v>0.71</v>
      </c>
      <c r="M36" s="283">
        <v>32</v>
      </c>
      <c r="N36" s="284">
        <v>24</v>
      </c>
      <c r="O36" s="86">
        <v>17</v>
      </c>
    </row>
    <row r="37" spans="2:20" ht="15">
      <c r="F37" s="31"/>
      <c r="G37" s="310"/>
      <c r="H37" s="87" t="str" cm="1">
        <f t="array" aca="1" ref="H37" ca="1">IFERROR(
  INDEX(
    tblStrings[],
    MATCH(
      1,
      (tblStrings[Cell]=SUBSTITUTE(CELL("adress",INDIRECT("RC",FALSE)),"$","")) *
      (tblStrings[Sheet]=AllStrings!$C$491),
      0
    ),
    MATCH(Språkval, tblStrings[#Headers], 0)
  ),
)</f>
        <v>Kommunikationsytor &lt; 6 m höjd</v>
      </c>
      <c r="I37" s="308">
        <v>10</v>
      </c>
      <c r="J37" s="300">
        <v>1</v>
      </c>
      <c r="K37" s="300">
        <v>0.75</v>
      </c>
      <c r="L37" s="300">
        <v>0.71</v>
      </c>
      <c r="M37" s="286">
        <v>40</v>
      </c>
      <c r="N37" s="287">
        <v>30</v>
      </c>
      <c r="O37" s="288">
        <v>21</v>
      </c>
      <c r="Q37" s="28" t="str">
        <f>UPPER(SUBSTITUTE(Q31," ","_"))</f>
        <v>KONTOR</v>
      </c>
      <c r="R37" s="28" t="str">
        <f t="shared" ref="R37:T37" si="0">UPPER(SUBSTITUTE(R31," ","_"))</f>
        <v>KONTOR</v>
      </c>
      <c r="S37" s="28" t="str">
        <f t="shared" si="0"/>
        <v>BÜRO</v>
      </c>
      <c r="T37" s="28" t="str">
        <f t="shared" si="0"/>
        <v>OFFICE</v>
      </c>
    </row>
    <row r="38" spans="2:20" ht="15">
      <c r="F38" s="31"/>
      <c r="G38" s="304" t="str" cm="1">
        <f t="array" aca="1" ref="G38" ca="1">IFERROR(
  INDEX(
    tblStrings[],
    MATCH(
      1,
      (tblStrings[Cell]=SUBSTITUTE(CELL("adress",INDIRECT("RC",FALSE)),"$","")) *
      (tblStrings[Sheet]=AllStrings!$C$491),
      0
    ),
    MATCH(Språkval, tblStrings[#Headers], 0)
  ),
)</f>
        <v>SJUKHUS</v>
      </c>
      <c r="H38" s="565" t="str" cm="1">
        <f t="array" aca="1" ref="H38" ca="1">IFERROR(
  INDEX(
    tblStrings[],
    MATCH(
      1,
      (tblStrings[Cell]=SUBSTITUTE(CELL("adress",INDIRECT("RC",FALSE)),"$","")) *
      (tblStrings[Sheet]=AllStrings!$C$491),
      0
    ),
    MATCH(Språkval, tblStrings[#Headers], 0)
  ),
)</f>
        <v>Vård/patientrum, multifunktion</v>
      </c>
      <c r="I38" s="312">
        <v>18</v>
      </c>
      <c r="J38" s="298">
        <v>1</v>
      </c>
      <c r="K38" s="298">
        <v>0.64</v>
      </c>
      <c r="L38" s="298">
        <v>0.9</v>
      </c>
      <c r="M38" s="297">
        <v>90</v>
      </c>
      <c r="N38" s="298">
        <v>58</v>
      </c>
      <c r="O38" s="289">
        <v>52</v>
      </c>
      <c r="Q38" s="28" t="str">
        <f t="shared" ref="Q38:T38" si="1">UPPER(SUBSTITUTE(Q32," ","_"))</f>
        <v>SKOLA_OCH_RESTAURANG</v>
      </c>
      <c r="R38" s="28" t="str">
        <f t="shared" si="1"/>
        <v>SKOLE_OG_RESTAURANT</v>
      </c>
      <c r="S38" s="28" t="str">
        <f t="shared" si="1"/>
        <v>SCHULE_UND_RESTAURANT</v>
      </c>
      <c r="T38" s="28" t="str">
        <f t="shared" si="1"/>
        <v>SCHOOL_AND_RESTAURANT</v>
      </c>
    </row>
    <row r="39" spans="2:20" ht="15">
      <c r="F39" s="31"/>
      <c r="G39" s="656" t="s">
        <v>282</v>
      </c>
      <c r="H39" s="87" t="str" cm="1">
        <f t="array" aca="1" ref="H39" ca="1">IFERROR(
  INDEX(
    tblStrings[],
    MATCH(
      1,
      (tblStrings[Cell]=SUBSTITUTE(CELL("adress",INDIRECT("RC",FALSE)),"$","")) *
      (tblStrings[Sheet]=AllStrings!$C$491),
      0
    ),
    MATCH(Språkval, tblStrings[#Headers], 0)
  ),
)</f>
        <v>Vård/patientrum</v>
      </c>
      <c r="I39" s="308">
        <v>9</v>
      </c>
      <c r="J39" s="298">
        <v>1</v>
      </c>
      <c r="K39" s="298">
        <v>1</v>
      </c>
      <c r="L39" s="298">
        <v>0.75</v>
      </c>
      <c r="M39" s="297">
        <v>45</v>
      </c>
      <c r="N39" s="298">
        <v>45</v>
      </c>
      <c r="O39" s="86">
        <v>34</v>
      </c>
      <c r="Q39" s="28" t="str">
        <f t="shared" ref="Q39:T39" si="2">UPPER(SUBSTITUTE(Q33," ","_"))</f>
        <v>SPORTHALL</v>
      </c>
      <c r="R39" s="28" t="str">
        <f t="shared" si="2"/>
        <v>IDRETTSHALL</v>
      </c>
      <c r="S39" s="28" t="str">
        <f t="shared" si="2"/>
        <v>SPORTHALLE</v>
      </c>
      <c r="T39" s="28" t="str">
        <f t="shared" si="2"/>
        <v>SPORTS_HALL</v>
      </c>
    </row>
    <row r="40" spans="2:20" ht="15">
      <c r="F40" s="31"/>
      <c r="G40" s="657"/>
      <c r="H40" s="87" t="str" cm="1">
        <f t="array" aca="1" ref="H40" ca="1">IFERROR(
  INDEX(
    tblStrings[],
    MATCH(
      1,
      (tblStrings[Cell]=SUBSTITUTE(CELL("adress",INDIRECT("RC",FALSE)),"$","")) *
      (tblStrings[Sheet]=AllStrings!$C$491),
      0
    ),
    MATCH(Språkval, tblStrings[#Headers], 0)
  ),
)</f>
        <v>Undersökning 500 lux</v>
      </c>
      <c r="I40" s="308">
        <v>12</v>
      </c>
      <c r="J40" s="298">
        <v>0.8</v>
      </c>
      <c r="K40" s="298">
        <v>0.88</v>
      </c>
      <c r="L40" s="298">
        <v>0.75</v>
      </c>
      <c r="M40" s="297">
        <v>48</v>
      </c>
      <c r="N40" s="298">
        <v>42</v>
      </c>
      <c r="O40" s="86">
        <v>31</v>
      </c>
      <c r="Q40" s="28" t="str">
        <f t="shared" ref="Q40:T40" si="3">UPPER(SUBSTITUTE(Q34," ","_"))</f>
        <v>SJUKHUS</v>
      </c>
      <c r="R40" s="28" t="str">
        <f t="shared" si="3"/>
        <v>SYKEHUS</v>
      </c>
      <c r="S40" s="28" t="str">
        <f t="shared" si="3"/>
        <v>KRANKENHAUS</v>
      </c>
      <c r="T40" s="28" t="str">
        <f t="shared" si="3"/>
        <v>HOSPITAL</v>
      </c>
    </row>
    <row r="41" spans="2:20" ht="15">
      <c r="F41" s="31"/>
      <c r="G41" s="87"/>
      <c r="H41" s="87" t="str" cm="1">
        <f t="array" aca="1" ref="H41" ca="1">IFERROR(
  INDEX(
    tblStrings[],
    MATCH(
      1,
      (tblStrings[Cell]=SUBSTITUTE(CELL("adress",INDIRECT("RC",FALSE)),"$","")) *
      (tblStrings[Sheet]=AllStrings!$C$491),
      0
    ),
    MATCH(Språkval, tblStrings[#Headers], 0)
  ),
)</f>
        <v>Operation</v>
      </c>
      <c r="I41" s="308">
        <v>17</v>
      </c>
      <c r="J41" s="298">
        <v>1</v>
      </c>
      <c r="K41" s="298">
        <v>1</v>
      </c>
      <c r="L41" s="298">
        <v>1</v>
      </c>
      <c r="M41" s="297">
        <v>85</v>
      </c>
      <c r="N41" s="298">
        <v>85</v>
      </c>
      <c r="O41" s="86">
        <v>85</v>
      </c>
      <c r="Q41" s="28" t="str">
        <f t="shared" ref="Q41:T41" si="4">UPPER(SUBSTITUTE(Q35," ","_"))</f>
        <v>INDUSTRI</v>
      </c>
      <c r="R41" s="28" t="str">
        <f t="shared" si="4"/>
        <v>INDUSTRI</v>
      </c>
      <c r="S41" s="28" t="str">
        <f t="shared" si="4"/>
        <v>INDUSTRIE</v>
      </c>
      <c r="T41" s="28" t="str">
        <f t="shared" si="4"/>
        <v>INDUSTRY</v>
      </c>
    </row>
    <row r="42" spans="2:20" ht="15">
      <c r="F42" s="31"/>
      <c r="G42" s="87"/>
      <c r="H42" s="87" t="str" cm="1">
        <f t="array" aca="1" ref="H42" ca="1">IFERROR(
  INDEX(
    tblStrings[],
    MATCH(
      1,
      (tblStrings[Cell]=SUBSTITUTE(CELL("adress",INDIRECT("RC",FALSE)),"$","")) *
      (tblStrings[Sheet]=AllStrings!$C$491),
      0
    ),
    MATCH(Språkval, tblStrings[#Headers], 0)
  ),
)</f>
        <v>Korridor, normal samt städning</v>
      </c>
      <c r="I42" s="308">
        <v>5</v>
      </c>
      <c r="J42" s="298">
        <v>1</v>
      </c>
      <c r="K42" s="298">
        <v>1</v>
      </c>
      <c r="L42" s="298">
        <v>1</v>
      </c>
      <c r="M42" s="297">
        <v>25</v>
      </c>
      <c r="N42" s="298">
        <v>25</v>
      </c>
      <c r="O42" s="86">
        <v>25</v>
      </c>
      <c r="Q42" s="28" t="str">
        <f t="shared" ref="Q42:T42" si="5">UPPER(SUBSTITUTE(Q36," ","_"))</f>
        <v/>
      </c>
      <c r="R42" s="28" t="str">
        <f t="shared" si="5"/>
        <v/>
      </c>
      <c r="S42" s="28" t="str">
        <f t="shared" si="5"/>
        <v/>
      </c>
      <c r="T42" s="28" t="str">
        <f t="shared" si="5"/>
        <v/>
      </c>
    </row>
    <row r="43" spans="2:20" ht="15">
      <c r="F43" s="31"/>
      <c r="G43" s="87"/>
      <c r="H43" s="87" t="str" cm="1">
        <f t="array" aca="1" ref="H43" ca="1">IFERROR(
  INDEX(
    tblStrings[],
    MATCH(
      1,
      (tblStrings[Cell]=SUBSTITUTE(CELL("adress",INDIRECT("RC",FALSE)),"$","")) *
      (tblStrings[Sheet]=AllStrings!$C$491),
      0
    ),
    MATCH(Språkval, tblStrings[#Headers], 0)
  ),
)</f>
        <v>Korridor, OP‑avdelning</v>
      </c>
      <c r="I43" s="308">
        <v>10</v>
      </c>
      <c r="J43" s="298">
        <v>1</v>
      </c>
      <c r="K43" s="298">
        <v>1</v>
      </c>
      <c r="L43" s="298">
        <v>1</v>
      </c>
      <c r="M43" s="297">
        <v>50</v>
      </c>
      <c r="N43" s="298">
        <v>50</v>
      </c>
      <c r="O43" s="86">
        <v>50</v>
      </c>
    </row>
    <row r="44" spans="2:20" ht="15">
      <c r="F44" s="31"/>
      <c r="G44" s="87"/>
      <c r="H44" s="87" t="str" cm="1">
        <f t="array" aca="1" ref="H44" ca="1">IFERROR(
  INDEX(
    tblStrings[],
    MATCH(
      1,
      (tblStrings[Cell]=SUBSTITUTE(CELL("adress",INDIRECT("RC",FALSE)),"$","")) *
      (tblStrings[Sheet]=AllStrings!$C$491),
      0
    ),
    MATCH(Språkval, tblStrings[#Headers], 0)
  ),
)</f>
        <v>Väntrum</v>
      </c>
      <c r="I44" s="313">
        <v>7</v>
      </c>
      <c r="J44" s="298">
        <v>1</v>
      </c>
      <c r="K44" s="298">
        <v>1</v>
      </c>
      <c r="L44" s="298">
        <v>1</v>
      </c>
      <c r="M44" s="297">
        <v>35</v>
      </c>
      <c r="N44" s="298">
        <v>35</v>
      </c>
      <c r="O44" s="86">
        <v>35</v>
      </c>
    </row>
    <row r="45" spans="2:20" ht="15">
      <c r="F45" s="31"/>
      <c r="G45" s="310"/>
      <c r="H45" s="87" t="str" cm="1">
        <f t="array" aca="1" ref="H45" ca="1">IFERROR(
  INDEX(
    tblStrings[],
    MATCH(
      1,
      (tblStrings[Cell]=SUBSTITUTE(CELL("adress",INDIRECT("RC",FALSE)),"$","")) *
      (tblStrings[Sheet]=AllStrings!$C$491),
      0
    ),
    MATCH(Språkval, tblStrings[#Headers], 0)
  ),
)</f>
        <v>Kulvert</v>
      </c>
      <c r="I45" s="311">
        <v>5</v>
      </c>
      <c r="J45" s="300">
        <v>1</v>
      </c>
      <c r="K45" s="300">
        <v>0.45</v>
      </c>
      <c r="L45" s="300">
        <v>0.9</v>
      </c>
      <c r="M45" s="299">
        <v>25</v>
      </c>
      <c r="N45" s="300">
        <v>11</v>
      </c>
      <c r="O45" s="288">
        <v>10</v>
      </c>
    </row>
    <row r="46" spans="2:20" ht="15">
      <c r="F46" s="31"/>
      <c r="G46" s="322" t="str" cm="1">
        <f t="array" aca="1" ref="G46" ca="1">IFERROR(
  INDEX(
    tblStrings[],
    MATCH(
      1,
      (tblStrings[Cell]=SUBSTITUTE(CELL("adress",INDIRECT("RC",FALSE)),"$","")) *
      (tblStrings[Sheet]=AllStrings!$C$491),
      0
    ),
    MATCH(Språkval, tblStrings[#Headers], 0)
  ),
)</f>
        <v>INDUSTRI</v>
      </c>
      <c r="H46" s="565" t="str" cm="1">
        <f t="array" aca="1" ref="H46" ca="1">IFERROR(
  INDEX(
    tblStrings[],
    MATCH(
      1,
      (tblStrings[Cell]=SUBSTITUTE(CELL("adress",INDIRECT("RC",FALSE)),"$","")) *
      (tblStrings[Sheet]=AllStrings!$C$491),
      0
    ),
    MATCH(Språkval, tblStrings[#Headers], 0)
  ),
)</f>
        <v>Grov, 300 lux</v>
      </c>
      <c r="I46" s="312">
        <v>6</v>
      </c>
      <c r="J46" s="298">
        <v>1</v>
      </c>
      <c r="K46" s="298">
        <v>1</v>
      </c>
      <c r="L46" s="298">
        <v>0.85</v>
      </c>
      <c r="M46" s="283">
        <v>24</v>
      </c>
      <c r="N46" s="284">
        <v>24</v>
      </c>
      <c r="O46" s="289">
        <v>20</v>
      </c>
    </row>
    <row r="47" spans="2:20" ht="15">
      <c r="F47" s="31"/>
      <c r="G47" s="655" t="s">
        <v>277</v>
      </c>
      <c r="H47" s="87" t="str" cm="1">
        <f t="array" aca="1" ref="H47" ca="1">IFERROR(
  INDEX(
    tblStrings[],
    MATCH(
      1,
      (tblStrings[Cell]=SUBSTITUTE(CELL("adress",INDIRECT("RC",FALSE)),"$","")) *
      (tblStrings[Sheet]=AllStrings!$C$491),
      0
    ),
    MATCH(Språkval, tblStrings[#Headers], 0)
  ),
)</f>
        <v>Medel, 500 lux</v>
      </c>
      <c r="I47" s="308">
        <v>10</v>
      </c>
      <c r="J47" s="298">
        <v>1</v>
      </c>
      <c r="K47" s="298">
        <v>1</v>
      </c>
      <c r="L47" s="298">
        <v>0.86</v>
      </c>
      <c r="M47" s="283">
        <v>40</v>
      </c>
      <c r="N47" s="284">
        <v>40</v>
      </c>
      <c r="O47" s="86">
        <v>34</v>
      </c>
    </row>
    <row r="48" spans="2:20" ht="15">
      <c r="F48" s="31"/>
      <c r="G48" s="655"/>
      <c r="H48" s="87" t="str" cm="1">
        <f t="array" aca="1" ref="H48" ca="1">IFERROR(
  INDEX(
    tblStrings[],
    MATCH(
      1,
      (tblStrings[Cell]=SUBSTITUTE(CELL("adress",INDIRECT("RC",FALSE)),"$","")) *
      (tblStrings[Sheet]=AllStrings!$C$491),
      0
    ),
    MATCH(Språkval, tblStrings[#Headers], 0)
  ),
)</f>
        <v>Fin, 750 lux</v>
      </c>
      <c r="I48" s="308">
        <v>15</v>
      </c>
      <c r="J48" s="298">
        <v>1</v>
      </c>
      <c r="K48" s="298">
        <v>1</v>
      </c>
      <c r="L48" s="298">
        <v>0.87</v>
      </c>
      <c r="M48" s="283">
        <v>60</v>
      </c>
      <c r="N48" s="284">
        <v>60</v>
      </c>
      <c r="O48" s="86">
        <v>52</v>
      </c>
    </row>
    <row r="49" spans="6:15" ht="15">
      <c r="F49" s="31"/>
      <c r="G49" s="321"/>
      <c r="H49" s="87" t="str" cm="1">
        <f t="array" aca="1" ref="H49" ca="1">IFERROR(
  INDEX(
    tblStrings[],
    MATCH(
      1,
      (tblStrings[Cell]=SUBSTITUTE(CELL("adress",INDIRECT("RC",FALSE)),"$","")) *
      (tblStrings[Sheet]=AllStrings!$C$491),
      0
    ),
    MATCH(Språkval, tblStrings[#Headers], 0)
  ),
)</f>
        <v>Mindre lokal, 300 lux</v>
      </c>
      <c r="I49" s="308">
        <v>6</v>
      </c>
      <c r="J49" s="298">
        <v>1</v>
      </c>
      <c r="K49" s="298">
        <v>0.9</v>
      </c>
      <c r="L49" s="298">
        <v>0.85</v>
      </c>
      <c r="M49" s="283">
        <v>24</v>
      </c>
      <c r="N49" s="284">
        <v>22</v>
      </c>
      <c r="O49" s="86">
        <v>18</v>
      </c>
    </row>
    <row r="50" spans="6:15" ht="15">
      <c r="F50" s="31"/>
      <c r="G50" s="87"/>
      <c r="H50" s="87" t="str" cm="1">
        <f t="array" aca="1" ref="H50" ca="1">IFERROR(
  INDEX(
    tblStrings[],
    MATCH(
      1,
      (tblStrings[Cell]=SUBSTITUTE(CELL("adress",INDIRECT("RC",FALSE)),"$","")) *
      (tblStrings[Sheet]=AllStrings!$C$491),
      0
    ),
    MATCH(Språkval, tblStrings[#Headers], 0)
  ),
)</f>
        <v>Måleri</v>
      </c>
      <c r="I50" s="308">
        <v>14</v>
      </c>
      <c r="J50" s="298">
        <v>1</v>
      </c>
      <c r="K50" s="298">
        <v>0.9</v>
      </c>
      <c r="L50" s="298">
        <v>1</v>
      </c>
      <c r="M50" s="283">
        <v>56</v>
      </c>
      <c r="N50" s="284">
        <v>50</v>
      </c>
      <c r="O50" s="86">
        <v>50</v>
      </c>
    </row>
    <row r="51" spans="6:15" ht="15">
      <c r="F51" s="31"/>
      <c r="G51" s="321"/>
      <c r="H51" s="87" t="str" cm="1">
        <f t="array" aca="1" ref="H51" ca="1">IFERROR(
  INDEX(
    tblStrings[],
    MATCH(
      1,
      (tblStrings[Cell]=SUBSTITUTE(CELL("adress",INDIRECT("RC",FALSE)),"$","")) *
      (tblStrings[Sheet]=AllStrings!$C$491),
      0
    ),
    MATCH(Språkval, tblStrings[#Headers], 0)
  ),
)</f>
        <v>Lager packning, 300 lux</v>
      </c>
      <c r="I51" s="308">
        <v>6</v>
      </c>
      <c r="J51" s="298">
        <v>1</v>
      </c>
      <c r="K51" s="298">
        <v>0.95</v>
      </c>
      <c r="L51" s="298">
        <v>0.9</v>
      </c>
      <c r="M51" s="290">
        <v>24</v>
      </c>
      <c r="N51" s="291">
        <v>23</v>
      </c>
      <c r="O51" s="292">
        <v>21</v>
      </c>
    </row>
    <row r="52" spans="6:15" ht="15">
      <c r="F52" s="31"/>
      <c r="G52" s="321"/>
      <c r="H52" s="87" t="str" cm="1">
        <f t="array" aca="1" ref="H52" ca="1">IFERROR(
  INDEX(
    tblStrings[],
    MATCH(
      1,
      (tblStrings[Cell]=SUBSTITUTE(CELL("adress",INDIRECT("RC",FALSE)),"$","")) *
      (tblStrings[Sheet]=AllStrings!$C$491),
      0
    ),
    MATCH(Språkval, tblStrings[#Headers], 0)
  ),
)</f>
        <v>Lager lastning, 200 lux</v>
      </c>
      <c r="I52" s="308">
        <v>4</v>
      </c>
      <c r="J52" s="298">
        <v>1</v>
      </c>
      <c r="K52" s="298">
        <v>0.95</v>
      </c>
      <c r="L52" s="298">
        <v>0.9</v>
      </c>
      <c r="M52" s="290">
        <v>16</v>
      </c>
      <c r="N52" s="291">
        <v>15</v>
      </c>
      <c r="O52" s="293">
        <v>14</v>
      </c>
    </row>
    <row r="53" spans="6:15" ht="15">
      <c r="F53" s="31"/>
      <c r="G53" s="87"/>
      <c r="H53" s="87" t="str" cm="1">
        <f t="array" aca="1" ref="H53" ca="1">IFERROR(
  INDEX(
    tblStrings[],
    MATCH(
      1,
      (tblStrings[Cell]=SUBSTITUTE(CELL("adress",INDIRECT("RC",FALSE)),"$","")) *
      (tblStrings[Sheet]=AllStrings!$C$491),
      0
    ),
    MATCH(Språkval, tblStrings[#Headers], 0)
  ),
)</f>
        <v>Lagergång höglager</v>
      </c>
      <c r="I53" s="308">
        <v>14</v>
      </c>
      <c r="J53" s="298">
        <v>1</v>
      </c>
      <c r="K53" s="298">
        <v>0.75</v>
      </c>
      <c r="L53" s="298">
        <v>0.9</v>
      </c>
      <c r="M53" s="290">
        <v>56</v>
      </c>
      <c r="N53" s="291">
        <v>42</v>
      </c>
      <c r="O53" s="293">
        <v>38</v>
      </c>
    </row>
    <row r="54" spans="6:15" ht="15">
      <c r="G54" s="87"/>
      <c r="H54" s="87" t="str" cm="1">
        <f t="array" aca="1" ref="H54" ca="1">IFERROR(
  INDEX(
    tblStrings[],
    MATCH(
      1,
      (tblStrings[Cell]=SUBSTITUTE(CELL("adress",INDIRECT("RC",FALSE)),"$","")) *
      (tblStrings[Sheet]=AllStrings!$C$491),
      0
    ),
    MATCH(Språkval, tblStrings[#Headers], 0)
  ),
)</f>
        <v>Lagergång låglager</v>
      </c>
      <c r="I54" s="308">
        <v>7</v>
      </c>
      <c r="J54" s="298">
        <v>1</v>
      </c>
      <c r="K54" s="298">
        <v>0.75</v>
      </c>
      <c r="L54" s="298">
        <v>0.9</v>
      </c>
      <c r="M54" s="290">
        <v>28</v>
      </c>
      <c r="N54" s="291">
        <v>21</v>
      </c>
      <c r="O54" s="523">
        <v>19</v>
      </c>
    </row>
    <row r="55" spans="6:15">
      <c r="G55" s="524"/>
      <c r="H55" s="524"/>
      <c r="I55" s="524"/>
      <c r="J55" s="524"/>
      <c r="K55" s="524"/>
      <c r="L55" s="524"/>
      <c r="M55" s="524"/>
      <c r="N55" s="524"/>
      <c r="O55" s="524"/>
    </row>
    <row r="56" spans="6:15">
      <c r="G56" s="524"/>
      <c r="H56" s="524"/>
      <c r="I56" s="524"/>
      <c r="J56" s="524"/>
      <c r="K56" s="524"/>
      <c r="L56" s="524"/>
      <c r="M56" s="524"/>
      <c r="N56" s="524"/>
      <c r="O56" s="524"/>
    </row>
    <row r="57" spans="6:15">
      <c r="G57" s="524"/>
      <c r="H57" s="524"/>
      <c r="I57" s="524"/>
      <c r="J57" s="524"/>
      <c r="K57" s="524"/>
      <c r="L57" s="524"/>
      <c r="M57" s="524"/>
      <c r="N57" s="524"/>
      <c r="O57" s="524"/>
    </row>
    <row r="58" spans="6:15">
      <c r="G58" s="524"/>
      <c r="H58" s="524"/>
      <c r="I58" s="524"/>
      <c r="J58" s="524"/>
      <c r="K58" s="524"/>
      <c r="L58" s="524"/>
      <c r="M58" s="524"/>
      <c r="N58" s="524"/>
      <c r="O58" s="524"/>
    </row>
    <row r="59" spans="6:15">
      <c r="G59" s="524"/>
      <c r="H59" s="524"/>
      <c r="I59" s="524"/>
      <c r="J59" s="524"/>
      <c r="K59" s="524"/>
      <c r="L59" s="524"/>
      <c r="M59" s="524"/>
      <c r="N59" s="524"/>
      <c r="O59" s="524"/>
    </row>
    <row r="60" spans="6:15">
      <c r="G60" s="524"/>
      <c r="H60" s="524"/>
      <c r="I60" s="524"/>
      <c r="J60" s="524"/>
      <c r="K60" s="524"/>
      <c r="L60" s="524"/>
      <c r="M60" s="524"/>
      <c r="N60" s="524"/>
      <c r="O60" s="524"/>
    </row>
    <row r="61" spans="6:15">
      <c r="G61" s="524"/>
      <c r="H61" s="524"/>
      <c r="I61" s="524"/>
      <c r="J61" s="524"/>
      <c r="K61" s="524"/>
      <c r="L61" s="524"/>
      <c r="M61" s="524"/>
      <c r="N61" s="524"/>
      <c r="O61" s="524"/>
    </row>
    <row r="62" spans="6:15">
      <c r="G62" s="524"/>
      <c r="H62" s="524"/>
      <c r="I62" s="524"/>
      <c r="J62" s="524"/>
      <c r="K62" s="524"/>
      <c r="L62" s="524"/>
      <c r="M62" s="524"/>
      <c r="N62" s="524"/>
      <c r="O62" s="524"/>
    </row>
    <row r="63" spans="6:15" ht="15">
      <c r="G63" s="559" t="s">
        <v>410</v>
      </c>
      <c r="H63" s="558" t="s">
        <v>414</v>
      </c>
      <c r="I63" s="558" t="s">
        <v>415</v>
      </c>
      <c r="J63" s="558" t="s">
        <v>416</v>
      </c>
      <c r="K63" s="524"/>
      <c r="L63" s="524"/>
      <c r="M63" s="524"/>
      <c r="N63" s="524"/>
      <c r="O63" s="524"/>
    </row>
    <row r="64" spans="6:15" ht="15">
      <c r="G64" s="558" t="s">
        <v>1489</v>
      </c>
      <c r="H64" s="558" t="s">
        <v>1490</v>
      </c>
      <c r="I64" s="558" t="s">
        <v>1491</v>
      </c>
      <c r="J64" s="558" t="s">
        <v>1492</v>
      </c>
    </row>
    <row r="65" spans="7:10" ht="15">
      <c r="G65" s="558" t="s">
        <v>1493</v>
      </c>
      <c r="H65" s="558" t="s">
        <v>1494</v>
      </c>
      <c r="I65" s="558" t="s">
        <v>1495</v>
      </c>
      <c r="J65" s="558" t="s">
        <v>1496</v>
      </c>
    </row>
    <row r="66" spans="7:10" ht="15">
      <c r="G66" s="558" t="s">
        <v>1497</v>
      </c>
      <c r="H66" s="558" t="s">
        <v>1498</v>
      </c>
      <c r="I66" s="558" t="s">
        <v>1499</v>
      </c>
      <c r="J66" s="558" t="s">
        <v>1500</v>
      </c>
    </row>
    <row r="67" spans="7:10" ht="15">
      <c r="G67" s="558" t="s">
        <v>258</v>
      </c>
      <c r="H67" s="558" t="s">
        <v>258</v>
      </c>
      <c r="I67" s="558" t="s">
        <v>1501</v>
      </c>
      <c r="J67" s="558" t="s">
        <v>1502</v>
      </c>
    </row>
    <row r="68" spans="7:10" ht="15">
      <c r="G68" s="558" t="s">
        <v>259</v>
      </c>
      <c r="H68" s="558" t="s">
        <v>1503</v>
      </c>
      <c r="I68" s="558" t="s">
        <v>1504</v>
      </c>
      <c r="J68" s="558" t="s">
        <v>1505</v>
      </c>
    </row>
    <row r="69" spans="7:10" ht="15">
      <c r="G69" s="558" t="s">
        <v>260</v>
      </c>
      <c r="H69" s="558" t="s">
        <v>1506</v>
      </c>
      <c r="I69" s="558" t="s">
        <v>1507</v>
      </c>
      <c r="J69" s="558" t="s">
        <v>1508</v>
      </c>
    </row>
    <row r="70" spans="7:10" ht="15">
      <c r="G70" s="558" t="s">
        <v>261</v>
      </c>
      <c r="H70" s="558" t="s">
        <v>1509</v>
      </c>
      <c r="I70" s="558" t="s">
        <v>1510</v>
      </c>
      <c r="J70" s="558" t="s">
        <v>1511</v>
      </c>
    </row>
    <row r="71" spans="7:10" ht="15">
      <c r="G71" s="558" t="s">
        <v>262</v>
      </c>
      <c r="H71" s="558" t="s">
        <v>1512</v>
      </c>
      <c r="I71" s="558" t="s">
        <v>1513</v>
      </c>
      <c r="J71" s="558" t="s">
        <v>1514</v>
      </c>
    </row>
    <row r="72" spans="7:10" ht="15">
      <c r="G72" s="558" t="s">
        <v>263</v>
      </c>
      <c r="H72" s="558" t="s">
        <v>263</v>
      </c>
      <c r="I72" s="558" t="s">
        <v>263</v>
      </c>
      <c r="J72" s="558" t="s">
        <v>263</v>
      </c>
    </row>
    <row r="73" spans="7:10" ht="15">
      <c r="G73" s="558" t="s">
        <v>264</v>
      </c>
      <c r="H73" s="558" t="s">
        <v>1515</v>
      </c>
      <c r="I73" s="558" t="s">
        <v>1516</v>
      </c>
      <c r="J73" s="558" t="s">
        <v>1517</v>
      </c>
    </row>
    <row r="74" spans="7:10" ht="15">
      <c r="G74" s="558" t="s">
        <v>1518</v>
      </c>
      <c r="H74" s="558" t="s">
        <v>1519</v>
      </c>
      <c r="I74" s="558" t="s">
        <v>1520</v>
      </c>
      <c r="J74" s="558" t="s">
        <v>1521</v>
      </c>
    </row>
    <row r="75" spans="7:10" ht="15">
      <c r="G75" s="558" t="s">
        <v>266</v>
      </c>
      <c r="H75" s="558" t="s">
        <v>1522</v>
      </c>
      <c r="I75" s="558" t="s">
        <v>1523</v>
      </c>
      <c r="J75" s="558" t="s">
        <v>1524</v>
      </c>
    </row>
    <row r="76" spans="7:10" ht="15">
      <c r="G76" s="558" t="s">
        <v>268</v>
      </c>
      <c r="H76" s="558" t="s">
        <v>1525</v>
      </c>
      <c r="I76" s="558" t="s">
        <v>1526</v>
      </c>
      <c r="J76" s="558" t="s">
        <v>1527</v>
      </c>
    </row>
    <row r="77" spans="7:10" ht="15">
      <c r="G77" s="558" t="s">
        <v>258</v>
      </c>
      <c r="H77" s="558" t="s">
        <v>258</v>
      </c>
      <c r="I77" s="558" t="s">
        <v>1501</v>
      </c>
      <c r="J77" s="558" t="s">
        <v>1502</v>
      </c>
    </row>
    <row r="78" spans="7:10" ht="15">
      <c r="G78" s="558" t="s">
        <v>269</v>
      </c>
      <c r="H78" s="558" t="s">
        <v>269</v>
      </c>
      <c r="I78" s="558" t="s">
        <v>269</v>
      </c>
      <c r="J78" s="558" t="s">
        <v>1528</v>
      </c>
    </row>
    <row r="79" spans="7:10" ht="15">
      <c r="G79" s="558" t="s">
        <v>270</v>
      </c>
      <c r="H79" s="558" t="s">
        <v>1529</v>
      </c>
      <c r="I79" s="558" t="s">
        <v>1530</v>
      </c>
      <c r="J79" s="558" t="s">
        <v>1531</v>
      </c>
    </row>
    <row r="80" spans="7:10" ht="15">
      <c r="G80" s="558" t="s">
        <v>271</v>
      </c>
      <c r="H80" s="558" t="s">
        <v>1532</v>
      </c>
      <c r="I80" s="558" t="s">
        <v>1533</v>
      </c>
      <c r="J80" s="558" t="s">
        <v>1534</v>
      </c>
    </row>
    <row r="81" spans="7:10" ht="15">
      <c r="G81" s="558" t="s">
        <v>272</v>
      </c>
      <c r="H81" s="558" t="s">
        <v>1535</v>
      </c>
      <c r="I81" s="558" t="s">
        <v>1536</v>
      </c>
      <c r="J81" s="558" t="s">
        <v>1537</v>
      </c>
    </row>
    <row r="82" spans="7:10" ht="15">
      <c r="G82" s="558" t="s">
        <v>273</v>
      </c>
      <c r="H82" s="558" t="s">
        <v>1538</v>
      </c>
      <c r="I82" s="558" t="s">
        <v>1539</v>
      </c>
      <c r="J82" s="558" t="s">
        <v>1540</v>
      </c>
    </row>
    <row r="83" spans="7:10" ht="15">
      <c r="G83" s="558" t="s">
        <v>1541</v>
      </c>
      <c r="H83" s="558" t="s">
        <v>1542</v>
      </c>
      <c r="I83" s="558" t="s">
        <v>1543</v>
      </c>
      <c r="J83" s="558" t="s">
        <v>1544</v>
      </c>
    </row>
    <row r="84" spans="7:10" ht="15">
      <c r="G84" s="558" t="s">
        <v>276</v>
      </c>
      <c r="H84" s="558" t="s">
        <v>1545</v>
      </c>
      <c r="I84" s="558" t="s">
        <v>1546</v>
      </c>
      <c r="J84" s="558" t="s">
        <v>1547</v>
      </c>
    </row>
    <row r="85" spans="7:10" ht="15">
      <c r="G85" s="558" t="s">
        <v>278</v>
      </c>
      <c r="H85" s="558" t="s">
        <v>1548</v>
      </c>
      <c r="I85" s="558" t="s">
        <v>1549</v>
      </c>
      <c r="J85" s="558" t="s">
        <v>1550</v>
      </c>
    </row>
    <row r="86" spans="7:10" ht="15">
      <c r="G86" s="558" t="s">
        <v>262</v>
      </c>
      <c r="H86" s="558" t="s">
        <v>1512</v>
      </c>
      <c r="I86" s="558" t="s">
        <v>1513</v>
      </c>
      <c r="J86" s="558" t="s">
        <v>1514</v>
      </c>
    </row>
    <row r="87" spans="7:10" ht="15">
      <c r="G87" s="558" t="s">
        <v>1551</v>
      </c>
      <c r="H87" s="558" t="s">
        <v>1552</v>
      </c>
      <c r="I87" s="558" t="s">
        <v>1553</v>
      </c>
      <c r="J87" s="558" t="s">
        <v>1554</v>
      </c>
    </row>
    <row r="88" spans="7:10" ht="15">
      <c r="G88" s="558" t="s">
        <v>1555</v>
      </c>
      <c r="H88" s="558" t="s">
        <v>1556</v>
      </c>
      <c r="I88" s="558" t="s">
        <v>1557</v>
      </c>
      <c r="J88" s="558" t="s">
        <v>1558</v>
      </c>
    </row>
    <row r="89" spans="7:10" ht="15">
      <c r="G89" s="558" t="s">
        <v>281</v>
      </c>
      <c r="H89" s="558" t="s">
        <v>1559</v>
      </c>
      <c r="I89" s="558" t="s">
        <v>1560</v>
      </c>
      <c r="J89" s="558" t="s">
        <v>1561</v>
      </c>
    </row>
    <row r="90" spans="7:10" ht="15">
      <c r="G90" s="558" t="s">
        <v>283</v>
      </c>
      <c r="H90" s="558" t="s">
        <v>1562</v>
      </c>
      <c r="I90" s="558" t="s">
        <v>1563</v>
      </c>
      <c r="J90" s="558" t="s">
        <v>1564</v>
      </c>
    </row>
    <row r="91" spans="7:10" ht="15">
      <c r="G91" s="558" t="s">
        <v>284</v>
      </c>
      <c r="H91" s="558" t="s">
        <v>1565</v>
      </c>
      <c r="I91" s="558" t="s">
        <v>1566</v>
      </c>
      <c r="J91" s="558" t="s">
        <v>1567</v>
      </c>
    </row>
    <row r="92" spans="7:10" ht="15">
      <c r="G92" s="558" t="s">
        <v>285</v>
      </c>
      <c r="H92" s="558" t="s">
        <v>1568</v>
      </c>
      <c r="I92" s="558" t="s">
        <v>1569</v>
      </c>
      <c r="J92" s="558" t="s">
        <v>1570</v>
      </c>
    </row>
    <row r="93" spans="7:10" ht="15">
      <c r="G93" s="558" t="s">
        <v>286</v>
      </c>
      <c r="H93" s="558" t="s">
        <v>1571</v>
      </c>
      <c r="I93" s="558" t="s">
        <v>1572</v>
      </c>
      <c r="J93" s="558" t="s">
        <v>1573</v>
      </c>
    </row>
    <row r="94" spans="7:10" ht="15">
      <c r="G94" s="558" t="s">
        <v>1574</v>
      </c>
      <c r="H94" s="558" t="s">
        <v>1575</v>
      </c>
      <c r="I94" s="558" t="s">
        <v>1576</v>
      </c>
      <c r="J94" s="558" t="s">
        <v>1577</v>
      </c>
    </row>
    <row r="95" spans="7:10" ht="15">
      <c r="G95" s="558" t="s">
        <v>288</v>
      </c>
      <c r="H95" s="558" t="s">
        <v>1578</v>
      </c>
      <c r="I95" s="558" t="s">
        <v>1579</v>
      </c>
      <c r="J95" s="558" t="s">
        <v>1580</v>
      </c>
    </row>
    <row r="96" spans="7:10" ht="15">
      <c r="G96" s="558" t="s">
        <v>52</v>
      </c>
      <c r="H96" s="558" t="s">
        <v>52</v>
      </c>
      <c r="I96" s="558" t="s">
        <v>1581</v>
      </c>
      <c r="J96" s="558" t="s">
        <v>1582</v>
      </c>
    </row>
    <row r="97" spans="7:10" ht="15">
      <c r="G97" s="558" t="s">
        <v>289</v>
      </c>
      <c r="H97" s="558" t="s">
        <v>289</v>
      </c>
      <c r="I97" s="558" t="s">
        <v>1583</v>
      </c>
      <c r="J97" s="558" t="s">
        <v>1584</v>
      </c>
    </row>
    <row r="98" spans="7:10" ht="15">
      <c r="G98" s="558" t="s">
        <v>290</v>
      </c>
      <c r="H98" s="558" t="s">
        <v>1585</v>
      </c>
      <c r="I98" s="558" t="s">
        <v>1586</v>
      </c>
      <c r="J98" s="558" t="s">
        <v>1587</v>
      </c>
    </row>
    <row r="99" spans="7:10" ht="15">
      <c r="G99" s="558" t="s">
        <v>51</v>
      </c>
      <c r="H99" s="558" t="s">
        <v>51</v>
      </c>
      <c r="I99" s="558" t="s">
        <v>1588</v>
      </c>
      <c r="J99" s="558" t="s">
        <v>1589</v>
      </c>
    </row>
    <row r="100" spans="7:10" ht="15">
      <c r="G100" s="558" t="s">
        <v>291</v>
      </c>
      <c r="H100" s="558" t="s">
        <v>1590</v>
      </c>
      <c r="I100" s="558" t="s">
        <v>1591</v>
      </c>
      <c r="J100" s="558" t="s">
        <v>1592</v>
      </c>
    </row>
    <row r="101" spans="7:10" ht="15">
      <c r="G101" s="558" t="s">
        <v>292</v>
      </c>
      <c r="H101" s="558" t="s">
        <v>1593</v>
      </c>
      <c r="I101" s="558" t="s">
        <v>1594</v>
      </c>
      <c r="J101" s="558" t="s">
        <v>1595</v>
      </c>
    </row>
    <row r="102" spans="7:10" ht="15">
      <c r="G102" s="558" t="s">
        <v>293</v>
      </c>
      <c r="H102" s="558" t="s">
        <v>1596</v>
      </c>
      <c r="I102" s="558" t="s">
        <v>1597</v>
      </c>
      <c r="J102" s="558" t="s">
        <v>1598</v>
      </c>
    </row>
    <row r="103" spans="7:10" ht="15">
      <c r="G103" s="558" t="s">
        <v>294</v>
      </c>
      <c r="H103" s="558" t="s">
        <v>1599</v>
      </c>
      <c r="I103" s="558" t="s">
        <v>1600</v>
      </c>
      <c r="J103" s="558" t="s">
        <v>1601</v>
      </c>
    </row>
    <row r="104" spans="7:10" ht="15">
      <c r="G104" s="558" t="s">
        <v>295</v>
      </c>
      <c r="H104" s="558" t="s">
        <v>1602</v>
      </c>
      <c r="I104" s="558" t="s">
        <v>1603</v>
      </c>
      <c r="J104" s="558" t="s">
        <v>1604</v>
      </c>
    </row>
    <row r="105" spans="7:10" ht="15">
      <c r="G105" s="558" t="s">
        <v>296</v>
      </c>
      <c r="H105" s="558" t="s">
        <v>1605</v>
      </c>
      <c r="I105" s="558" t="s">
        <v>1606</v>
      </c>
      <c r="J105" s="558" t="s">
        <v>1607</v>
      </c>
    </row>
  </sheetData>
  <sheetProtection algorithmName="SHA-512" hashValue="eugOwbicxThViHp7irWAxSKBx+9r6Rs5OoTLAbWPKIfO4NrOjnKQ0DmhWlGBvzcCgKNk0YjFR1iMEoQM2hzqjg==" saltValue="o/clGP6+IGsgOVCscDNHGg==" spinCount="100000" sheet="1" objects="1" scenarios="1"/>
  <mergeCells count="12">
    <mergeCell ref="S6:V6"/>
    <mergeCell ref="G9:O9"/>
    <mergeCell ref="B10:D26"/>
    <mergeCell ref="M11:O11"/>
    <mergeCell ref="G14:G15"/>
    <mergeCell ref="G25:G26"/>
    <mergeCell ref="Q11:T11"/>
    <mergeCell ref="G47:G48"/>
    <mergeCell ref="G34:G35"/>
    <mergeCell ref="G39:G40"/>
    <mergeCell ref="D6:F6"/>
    <mergeCell ref="G6:H6"/>
  </mergeCells>
  <pageMargins left="0.7" right="0.7" top="0.75" bottom="0.75" header="0.3" footer="0.3"/>
  <pageSetup paperSize="9" orientation="portrait" verticalDpi="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91">
    <tabColor rgb="FF6B2879"/>
  </sheetPr>
  <dimension ref="A1:S34"/>
  <sheetViews>
    <sheetView workbookViewId="0">
      <selection activeCell="G10" sqref="G10:I10"/>
    </sheetView>
  </sheetViews>
  <sheetFormatPr baseColWidth="10" defaultColWidth="9.1640625" defaultRowHeight="14"/>
  <cols>
    <col min="1" max="6" width="8.5" style="13" customWidth="1"/>
    <col min="7" max="7" width="24.5" style="13" customWidth="1"/>
    <col min="8" max="8" width="31" style="13" customWidth="1"/>
    <col min="9" max="9" width="41.83203125" style="13" customWidth="1"/>
    <col min="10" max="20" width="31" style="13" customWidth="1"/>
    <col min="21" max="39" width="8.5" style="13" customWidth="1"/>
    <col min="40" max="16384" width="9.1640625" style="13"/>
  </cols>
  <sheetData>
    <row r="1" spans="1:19">
      <c r="A1" s="269" t="s">
        <v>0</v>
      </c>
    </row>
    <row r="2" spans="1:19" ht="38">
      <c r="G2" s="1" t="s">
        <v>1</v>
      </c>
    </row>
    <row r="3" spans="1:19">
      <c r="G3" s="28" t="str">
        <f>'1. Introduktion'!G3</f>
        <v>Version 3.0</v>
      </c>
    </row>
    <row r="4" spans="1:19">
      <c r="G4" s="28" t="str">
        <f>'1. Introduktion'!G4</f>
        <v>Datum: 2024-12-17</v>
      </c>
      <c r="I4" s="28"/>
    </row>
    <row r="6" spans="1:19" s="6" customFormat="1" ht="41.25" customHeight="1">
      <c r="B6" s="5"/>
      <c r="C6" s="5"/>
      <c r="D6" s="631"/>
      <c r="E6" s="631"/>
      <c r="F6" s="631"/>
      <c r="G6" s="631"/>
      <c r="H6" s="631"/>
      <c r="I6" s="9"/>
      <c r="J6" s="2"/>
      <c r="K6" s="2"/>
      <c r="P6" s="668"/>
      <c r="Q6" s="668"/>
      <c r="R6" s="668"/>
      <c r="S6" s="668"/>
    </row>
    <row r="9" spans="1:19" ht="26">
      <c r="B9" s="36" t="s">
        <v>102</v>
      </c>
      <c r="C9" s="36"/>
      <c r="D9" s="36"/>
      <c r="E9" s="36"/>
    </row>
    <row r="10" spans="1:19" ht="33.75" customHeight="1">
      <c r="B10" s="36"/>
      <c r="C10" s="36"/>
      <c r="D10" s="36"/>
      <c r="E10" s="36"/>
      <c r="G10" s="669" t="s">
        <v>297</v>
      </c>
      <c r="H10" s="670"/>
      <c r="I10" s="274" t="s">
        <v>298</v>
      </c>
      <c r="J10" s="37"/>
      <c r="K10" s="37"/>
    </row>
    <row r="11" spans="1:19" ht="15">
      <c r="B11" s="671" t="s">
        <v>299</v>
      </c>
      <c r="C11" s="662"/>
      <c r="D11" s="662"/>
      <c r="E11" s="672"/>
      <c r="F11" s="38"/>
      <c r="G11" s="317" t="s">
        <v>300</v>
      </c>
      <c r="H11" s="318">
        <v>0.09</v>
      </c>
      <c r="I11" s="319" t="s">
        <v>301</v>
      </c>
    </row>
    <row r="12" spans="1:19" ht="15">
      <c r="B12" s="662"/>
      <c r="C12" s="662"/>
      <c r="D12" s="662"/>
      <c r="E12" s="672"/>
      <c r="F12" s="38"/>
      <c r="G12" s="317" t="s">
        <v>302</v>
      </c>
      <c r="H12" s="318">
        <v>3.6999999999999998E-2</v>
      </c>
      <c r="I12" s="319" t="s">
        <v>303</v>
      </c>
    </row>
    <row r="13" spans="1:19" ht="15">
      <c r="B13" s="662"/>
      <c r="C13" s="662"/>
      <c r="D13" s="662"/>
      <c r="E13" s="672"/>
      <c r="F13" s="38"/>
      <c r="G13" s="317" t="s">
        <v>304</v>
      </c>
      <c r="H13" s="320">
        <v>0</v>
      </c>
      <c r="I13" s="319"/>
    </row>
    <row r="14" spans="1:19" ht="15">
      <c r="B14" s="645"/>
      <c r="C14" s="645"/>
      <c r="D14" s="645"/>
      <c r="E14" s="673"/>
      <c r="F14" s="38"/>
      <c r="G14" s="317" t="s">
        <v>305</v>
      </c>
      <c r="H14" s="318">
        <v>0.52400000000000002</v>
      </c>
      <c r="I14" s="319" t="s">
        <v>306</v>
      </c>
      <c r="J14" s="42"/>
      <c r="K14" s="42"/>
    </row>
    <row r="15" spans="1:19" ht="16.25" customHeight="1">
      <c r="B15" s="599" t="s">
        <v>307</v>
      </c>
      <c r="C15" s="599"/>
      <c r="D15" s="599"/>
      <c r="E15" s="674"/>
      <c r="F15" s="38"/>
      <c r="G15" s="317" t="s">
        <v>308</v>
      </c>
      <c r="H15" s="318">
        <v>0.26500000000000001</v>
      </c>
      <c r="I15" s="319" t="s">
        <v>309</v>
      </c>
      <c r="J15" s="42"/>
      <c r="K15" s="42"/>
    </row>
    <row r="16" spans="1:19" ht="16.25" customHeight="1">
      <c r="B16" s="599"/>
      <c r="C16" s="599"/>
      <c r="D16" s="599"/>
      <c r="E16" s="674"/>
      <c r="F16" s="38"/>
      <c r="G16" s="317"/>
      <c r="H16" s="318"/>
      <c r="I16" s="318"/>
      <c r="J16" s="42"/>
      <c r="K16" s="42"/>
    </row>
    <row r="17" spans="2:11" ht="64.5" customHeight="1">
      <c r="B17" s="599"/>
      <c r="C17" s="599"/>
      <c r="D17" s="599"/>
      <c r="E17" s="674"/>
      <c r="F17" s="38"/>
      <c r="G17" s="675" t="s">
        <v>310</v>
      </c>
      <c r="H17" s="675"/>
      <c r="I17" s="675"/>
      <c r="J17" s="42"/>
      <c r="K17" s="42"/>
    </row>
    <row r="18" spans="2:11" ht="14" customHeight="1">
      <c r="B18" s="599"/>
      <c r="C18" s="599"/>
      <c r="D18" s="599"/>
      <c r="E18" s="674"/>
      <c r="F18" s="38"/>
      <c r="G18" s="676" t="s">
        <v>311</v>
      </c>
      <c r="H18" s="676"/>
      <c r="I18" s="676"/>
      <c r="J18" s="42"/>
      <c r="K18" s="42"/>
    </row>
    <row r="19" spans="2:11" ht="43.5" customHeight="1">
      <c r="B19" s="32"/>
      <c r="F19" s="38"/>
      <c r="G19" s="40"/>
      <c r="H19" s="43"/>
      <c r="I19" s="598"/>
      <c r="J19" s="598"/>
      <c r="K19" s="598"/>
    </row>
    <row r="20" spans="2:11" ht="43.5" customHeight="1">
      <c r="B20" s="32"/>
      <c r="F20" s="38"/>
      <c r="G20" s="40"/>
      <c r="H20" s="43"/>
      <c r="I20" s="605"/>
      <c r="J20" s="605"/>
      <c r="K20" s="605"/>
    </row>
    <row r="21" spans="2:11" ht="69.75" customHeight="1">
      <c r="B21" s="32"/>
      <c r="F21" s="38"/>
      <c r="G21" s="40"/>
      <c r="H21" s="43"/>
      <c r="I21" s="598"/>
      <c r="J21" s="598"/>
      <c r="K21" s="598"/>
    </row>
    <row r="22" spans="2:11" ht="43.5" customHeight="1">
      <c r="B22" s="32"/>
      <c r="F22" s="38"/>
      <c r="G22" s="40"/>
      <c r="H22" s="43"/>
      <c r="I22" s="605"/>
      <c r="J22" s="605"/>
      <c r="K22" s="605"/>
    </row>
    <row r="23" spans="2:11" ht="43.5" customHeight="1">
      <c r="B23" s="32"/>
      <c r="F23" s="38"/>
      <c r="G23" s="40"/>
      <c r="H23" s="43"/>
      <c r="I23" s="605"/>
      <c r="J23" s="605"/>
      <c r="K23" s="605"/>
    </row>
    <row r="24" spans="2:11" ht="66" customHeight="1">
      <c r="B24" s="32"/>
      <c r="F24" s="38"/>
      <c r="G24" s="44"/>
      <c r="H24" s="43"/>
      <c r="I24" s="598"/>
      <c r="J24" s="598"/>
      <c r="K24" s="598"/>
    </row>
    <row r="25" spans="2:11" ht="43.5" customHeight="1">
      <c r="B25" s="32"/>
      <c r="F25" s="38"/>
      <c r="G25" s="40"/>
      <c r="H25" s="43"/>
      <c r="I25" s="598"/>
      <c r="J25" s="598"/>
      <c r="K25" s="598"/>
    </row>
    <row r="26" spans="2:11" ht="60.75" customHeight="1">
      <c r="B26" s="32"/>
      <c r="F26" s="38"/>
      <c r="G26" s="40"/>
      <c r="H26" s="43"/>
      <c r="I26" s="605"/>
      <c r="J26" s="605"/>
      <c r="K26" s="605"/>
    </row>
    <row r="27" spans="2:11">
      <c r="B27" s="32"/>
      <c r="F27" s="38"/>
      <c r="G27" s="45"/>
      <c r="H27" s="43"/>
      <c r="I27" s="42"/>
      <c r="J27" s="42"/>
      <c r="K27" s="42"/>
    </row>
    <row r="28" spans="2:11" ht="100.5" customHeight="1">
      <c r="B28" s="32"/>
      <c r="F28" s="38"/>
      <c r="G28" s="46"/>
      <c r="H28" s="44"/>
      <c r="I28" s="605"/>
      <c r="J28" s="605"/>
      <c r="K28" s="605"/>
    </row>
    <row r="29" spans="2:11" ht="15">
      <c r="F29" s="38"/>
      <c r="G29" s="47"/>
      <c r="H29" s="48"/>
      <c r="I29" s="49"/>
      <c r="J29" s="49"/>
      <c r="K29" s="49"/>
    </row>
    <row r="30" spans="2:11">
      <c r="G30" s="40"/>
      <c r="H30" s="50"/>
      <c r="I30" s="677"/>
      <c r="J30" s="677"/>
      <c r="K30" s="677"/>
    </row>
    <row r="31" spans="2:11">
      <c r="G31" s="40"/>
      <c r="H31" s="50"/>
      <c r="I31" s="677"/>
      <c r="J31" s="677"/>
      <c r="K31" s="677"/>
    </row>
    <row r="32" spans="2:11" ht="45.75" customHeight="1">
      <c r="G32" s="51"/>
      <c r="H32" s="41"/>
      <c r="I32" s="605"/>
      <c r="J32" s="605"/>
      <c r="K32" s="605"/>
    </row>
    <row r="33" spans="7:11" ht="76.5" customHeight="1">
      <c r="G33" s="40"/>
      <c r="H33" s="43"/>
      <c r="I33" s="605"/>
      <c r="J33" s="605"/>
      <c r="K33" s="605"/>
    </row>
    <row r="34" spans="7:11" ht="63.75" customHeight="1">
      <c r="G34" s="40"/>
      <c r="H34" s="42"/>
      <c r="I34" s="605"/>
      <c r="J34" s="605"/>
      <c r="K34" s="605"/>
    </row>
  </sheetData>
  <sheetProtection algorithmName="SHA-512" hashValue="ZQnx4cbhipkmsCI8+YmayASDxlGH0tG/4dVkSTU9aWRZhfZzmLmPuG7J0LXudPjean0nSsLQUaXOs7LL5clKQQ==" saltValue="H0QEB8jL3ofhIWmVpiQ+xA==" spinCount="100000" sheet="1" objects="1" scenarios="1"/>
  <mergeCells count="22">
    <mergeCell ref="I23:K23"/>
    <mergeCell ref="I19:K19"/>
    <mergeCell ref="I20:K20"/>
    <mergeCell ref="I21:K21"/>
    <mergeCell ref="I34:K34"/>
    <mergeCell ref="I24:K24"/>
    <mergeCell ref="I25:K25"/>
    <mergeCell ref="I26:K26"/>
    <mergeCell ref="I28:K28"/>
    <mergeCell ref="I30:K30"/>
    <mergeCell ref="I31:K31"/>
    <mergeCell ref="I32:K32"/>
    <mergeCell ref="I33:K33"/>
    <mergeCell ref="P6:S6"/>
    <mergeCell ref="G10:H10"/>
    <mergeCell ref="B11:E14"/>
    <mergeCell ref="I22:K22"/>
    <mergeCell ref="D6:F6"/>
    <mergeCell ref="G6:H6"/>
    <mergeCell ref="B15:E18"/>
    <mergeCell ref="G17:I17"/>
    <mergeCell ref="G18:I18"/>
  </mergeCells>
  <hyperlinks>
    <hyperlink ref="I11" r:id="rId1" xr:uid="{11195F75-A483-4EBD-A206-48B0A29C339E}"/>
    <hyperlink ref="I12" r:id="rId2" xr:uid="{0348AEE4-15CB-43E1-92E9-AECA5930DA1F}"/>
    <hyperlink ref="I14" r:id="rId3" display="https://eur02.safelinks.protection.outlook.com/?url=https%3A%2F%2Fei.se%2Fbransch%2Fursprungsmarkning-av-el%2Fresidualmix&amp;data=05%7C02%7Cemma.karlsson%40wsp.com%7C1538c83fc5dc43b3ad7d08dcf36e6fb2%7C3d234255e20f420588a59658a402999b%7C1%7C0%7C638652902846330502%7CUnknown%7CTWFpbGZsb3d8eyJWIjoiMC4wLjAwMDAiLCJQIjoiV2luMzIiLCJBTiI6Ik1haWwiLCJXVCI6Mn0%3D%7C0%7C%7C%7C&amp;sdata=oa8c10bmbziwiJcIEUo5YolYIMSfOUJemQT1dvxMMXA%3D&amp;reserved=0" xr:uid="{957F8679-2828-432D-BF08-BF6908C7DC56}"/>
    <hyperlink ref="I15" r:id="rId4" display="https://eur02.safelinks.protection.outlook.com/?url=https%3A%2F%2Fwww.eea.europa.eu%2Fen%2Fanalysis%2Findicators%2Fgreenhouse-gas-emission-intensity-of-1&amp;data=05%7C02%7Cemma.karlsson%40wsp.com%7C1538c83fc5dc43b3ad7d08dcf36e6fb2%7C3d234255e20f420588a59658a402999b%7C1%7C0%7C638652902846344004%7CUnknown%7CTWFpbGZsb3d8eyJWIjoiMC4wLjAwMDAiLCJQIjoiV2luMzIiLCJBTiI6Ik1haWwiLCJXVCI6Mn0%3D%7C0%7C%7C%7C&amp;sdata=mhCt8fxAHqgfx4kn%2BJr7TyOanPrPyqq5yzeqp%2FjdB28%3D&amp;reserved=0" xr:uid="{B3986E70-E4DD-4676-80BC-BE2448BF2ACC}"/>
    <hyperlink ref="G18:I18" r:id="rId5" display="Anvisningar för LCA-beräkning av byggprojekt, IVL (Version 2024-06)" xr:uid="{B28A6D55-6329-4C20-8ACB-BA05BAF45B64}"/>
  </hyperlinks>
  <pageMargins left="0.7" right="0.7" top="0.75" bottom="0.75" header="0.3" footer="0.3"/>
  <pageSetup paperSize="9" orientation="portrait" verticalDpi="0" r:id="rId6"/>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1B770-4543-4CD7-BFE2-4B0803B5FBE7}">
  <sheetPr codeName="Blad13">
    <tabColor rgb="FF92D050"/>
    <pageSetUpPr fitToPage="1"/>
  </sheetPr>
  <dimension ref="B3:Z44"/>
  <sheetViews>
    <sheetView topLeftCell="A51" zoomScaleNormal="100" workbookViewId="0">
      <selection activeCell="Y29" sqref="Y29"/>
    </sheetView>
  </sheetViews>
  <sheetFormatPr baseColWidth="10" defaultColWidth="9.1640625" defaultRowHeight="14"/>
  <cols>
    <col min="1" max="23" width="8.5" style="13" customWidth="1"/>
    <col min="24" max="16384" width="9.1640625" style="13"/>
  </cols>
  <sheetData>
    <row r="3" spans="2:26" ht="23">
      <c r="B3" s="14" t="s">
        <v>312</v>
      </c>
      <c r="S3" s="13" t="s">
        <v>313</v>
      </c>
    </row>
    <row r="4" spans="2:26">
      <c r="B4" s="679" t="s">
        <v>314</v>
      </c>
      <c r="C4" s="679"/>
      <c r="D4" s="680">
        <f>'1. LCC Befintlig Installation'!F5</f>
        <v>0</v>
      </c>
      <c r="E4" s="680"/>
      <c r="F4" s="680"/>
      <c r="G4" s="680"/>
      <c r="H4" s="680"/>
      <c r="I4" s="680"/>
      <c r="J4" s="680"/>
    </row>
    <row r="5" spans="2:26">
      <c r="B5" s="679" t="s">
        <v>315</v>
      </c>
      <c r="C5" s="679"/>
      <c r="D5" s="681">
        <f>'1. LCC Befintlig Installation'!F6</f>
        <v>0</v>
      </c>
      <c r="E5" s="680"/>
      <c r="F5" s="680"/>
      <c r="G5" s="680"/>
      <c r="H5" s="680"/>
      <c r="I5" s="680"/>
      <c r="J5" s="680"/>
    </row>
    <row r="6" spans="2:26">
      <c r="B6" s="679" t="s">
        <v>316</v>
      </c>
      <c r="C6" s="679"/>
      <c r="D6" s="680">
        <f>'1. LCC Befintlig Installation'!F7</f>
        <v>0</v>
      </c>
      <c r="E6" s="680"/>
      <c r="F6" s="680"/>
      <c r="G6" s="680"/>
      <c r="H6" s="680"/>
      <c r="I6" s="680"/>
      <c r="J6" s="680"/>
    </row>
    <row r="7" spans="2:26" ht="14.25" customHeight="1">
      <c r="I7" s="14"/>
      <c r="J7" s="14"/>
    </row>
    <row r="8" spans="2:26" ht="16">
      <c r="B8" s="682" t="s">
        <v>317</v>
      </c>
      <c r="C8" s="682"/>
      <c r="D8" s="682"/>
      <c r="E8" s="15">
        <f>'1. LCC Befintlig Installation'!H9</f>
        <v>20</v>
      </c>
      <c r="F8" s="15"/>
      <c r="G8" s="16" t="s">
        <v>27</v>
      </c>
      <c r="I8" s="16" t="s">
        <v>29</v>
      </c>
      <c r="J8" s="17"/>
      <c r="K8" s="93">
        <f>'1. LCC Befintlig Installation'!H10</f>
        <v>5</v>
      </c>
      <c r="M8" s="65" t="s">
        <v>318</v>
      </c>
    </row>
    <row r="9" spans="2:26" ht="23">
      <c r="B9" s="14"/>
      <c r="G9" s="14"/>
      <c r="H9" s="14"/>
      <c r="I9" s="14"/>
      <c r="J9" s="14"/>
    </row>
    <row r="10" spans="2:26" ht="15">
      <c r="B10" s="20" t="s">
        <v>319</v>
      </c>
      <c r="C10" s="19"/>
      <c r="D10" s="19"/>
      <c r="E10" s="20"/>
      <c r="F10" s="20"/>
      <c r="G10" s="683" t="str">
        <f>'1. LCC Befintlig Installation'!E2</f>
        <v>Befintlig Installation</v>
      </c>
      <c r="H10" s="683"/>
      <c r="I10" s="683"/>
      <c r="J10" s="683" t="str">
        <f>("Ny installation "&amp;'2. LCC Ny Installation'!E2)</f>
        <v>Ny installation Aura Light</v>
      </c>
      <c r="K10" s="683"/>
      <c r="L10" s="683"/>
      <c r="M10" s="678"/>
      <c r="N10" s="678"/>
      <c r="O10" s="678"/>
      <c r="P10" s="678"/>
      <c r="Q10" s="678"/>
      <c r="R10" s="678"/>
      <c r="S10" s="678"/>
      <c r="T10" s="678"/>
      <c r="U10" s="678"/>
      <c r="V10" s="94"/>
      <c r="W10" s="29"/>
      <c r="Z10" s="323">
        <f>(2500-2342)/2342</f>
        <v>6.7463706233988049E-2</v>
      </c>
    </row>
    <row r="11" spans="2:26" ht="14.25" customHeight="1">
      <c r="B11" s="16" t="s">
        <v>105</v>
      </c>
      <c r="C11" s="16"/>
      <c r="D11" s="16"/>
      <c r="E11" s="18"/>
      <c r="F11" s="18"/>
      <c r="G11" s="684">
        <f>'1. LCC Befintlig Installation'!I176</f>
        <v>0</v>
      </c>
      <c r="H11" s="684"/>
      <c r="I11" s="684"/>
      <c r="J11" s="684" t="e">
        <f>'2. LCC Ny Installation'!I176</f>
        <v>#VALUE!</v>
      </c>
      <c r="K11" s="684"/>
      <c r="L11" s="684"/>
      <c r="M11" s="685"/>
      <c r="N11" s="685"/>
      <c r="O11" s="685"/>
      <c r="P11" s="684"/>
      <c r="Q11" s="684"/>
      <c r="R11" s="684"/>
      <c r="S11" s="684"/>
      <c r="T11" s="684"/>
      <c r="U11" s="684"/>
      <c r="V11" s="94"/>
      <c r="W11" s="64"/>
    </row>
    <row r="12" spans="2:26" ht="14.25" customHeight="1">
      <c r="B12" s="16" t="s">
        <v>320</v>
      </c>
      <c r="C12" s="16"/>
      <c r="D12" s="16"/>
      <c r="E12" s="18"/>
      <c r="F12" s="18"/>
      <c r="G12" s="684">
        <f ca="1">'1. LCC Befintlig Installation'!I197</f>
        <v>0</v>
      </c>
      <c r="H12" s="684"/>
      <c r="I12" s="684"/>
      <c r="J12" s="684">
        <f>'2. LCC Ny Installation'!I197</f>
        <v>0</v>
      </c>
      <c r="K12" s="684"/>
      <c r="L12" s="684"/>
      <c r="M12" s="685" t="e">
        <f ca="1">(J12-G12)/G12</f>
        <v>#DIV/0!</v>
      </c>
      <c r="N12" s="685"/>
      <c r="O12" s="685"/>
      <c r="P12" s="684"/>
      <c r="Q12" s="684"/>
      <c r="R12" s="684"/>
      <c r="S12" s="684"/>
      <c r="T12" s="684"/>
      <c r="U12" s="684"/>
      <c r="V12" s="94"/>
      <c r="W12" s="64"/>
    </row>
    <row r="13" spans="2:26" ht="14.25" customHeight="1">
      <c r="B13" s="19" t="s">
        <v>80</v>
      </c>
      <c r="C13" s="21"/>
      <c r="D13" s="21"/>
      <c r="E13" s="20"/>
      <c r="F13" s="20"/>
      <c r="G13" s="686">
        <f>'1. LCC Befintlig Installation'!I213</f>
        <v>0</v>
      </c>
      <c r="H13" s="686"/>
      <c r="I13" s="686"/>
      <c r="J13" s="686">
        <f>'2. LCC Ny Installation'!I213</f>
        <v>0</v>
      </c>
      <c r="K13" s="686"/>
      <c r="L13" s="686"/>
      <c r="M13" s="685"/>
      <c r="N13" s="685"/>
      <c r="O13" s="685"/>
      <c r="P13" s="684"/>
      <c r="Q13" s="684"/>
      <c r="R13" s="684"/>
      <c r="S13" s="684"/>
      <c r="T13" s="684"/>
      <c r="U13" s="684"/>
      <c r="V13" s="94"/>
      <c r="W13" s="95"/>
    </row>
    <row r="14" spans="2:26" ht="15">
      <c r="B14" s="18" t="s">
        <v>321</v>
      </c>
      <c r="C14" s="16"/>
      <c r="D14" s="16"/>
      <c r="E14" s="18"/>
      <c r="F14" s="18"/>
      <c r="G14" s="684">
        <f ca="1">SUM(G11:I13)</f>
        <v>0</v>
      </c>
      <c r="H14" s="684"/>
      <c r="I14" s="684"/>
      <c r="J14" s="684" t="e">
        <f t="shared" ref="J14" si="0">SUM(J11:L13)</f>
        <v>#VALUE!</v>
      </c>
      <c r="K14" s="684"/>
      <c r="L14" s="684"/>
      <c r="M14" s="685" t="e">
        <f t="shared" ref="M14" ca="1" si="1">(J14-G14)/G14</f>
        <v>#VALUE!</v>
      </c>
      <c r="N14" s="685"/>
      <c r="O14" s="685"/>
      <c r="P14" s="684"/>
      <c r="Q14" s="684"/>
      <c r="R14" s="684"/>
      <c r="S14" s="684"/>
      <c r="T14" s="684"/>
      <c r="U14" s="684"/>
      <c r="V14" s="94"/>
      <c r="W14" s="64"/>
    </row>
    <row r="15" spans="2:26" ht="12.75" customHeight="1">
      <c r="E15" s="18"/>
      <c r="F15" s="18"/>
      <c r="G15" s="18"/>
      <c r="H15" s="18"/>
      <c r="I15" s="18"/>
      <c r="J15" s="18"/>
    </row>
    <row r="16" spans="2:26" ht="15">
      <c r="B16" s="687" t="s">
        <v>322</v>
      </c>
      <c r="C16" s="687"/>
      <c r="D16" s="687"/>
      <c r="E16" s="687"/>
      <c r="F16" s="687"/>
      <c r="G16" s="683" t="str">
        <f>G10</f>
        <v>Befintlig Installation</v>
      </c>
      <c r="H16" s="683"/>
      <c r="I16" s="683"/>
      <c r="J16" s="683" t="str">
        <f t="shared" ref="J16" si="2">J10</f>
        <v>Ny installation Aura Light</v>
      </c>
      <c r="K16" s="683"/>
      <c r="L16" s="683"/>
      <c r="M16" s="678"/>
      <c r="N16" s="678"/>
      <c r="O16" s="678"/>
      <c r="P16" s="678"/>
      <c r="Q16" s="678"/>
      <c r="R16" s="678"/>
      <c r="S16" s="678"/>
      <c r="T16" s="678"/>
      <c r="U16" s="678"/>
      <c r="V16" s="29"/>
      <c r="W16" s="29"/>
    </row>
    <row r="17" spans="2:23" ht="15">
      <c r="B17" s="16"/>
      <c r="C17" s="96"/>
      <c r="D17" s="96"/>
      <c r="E17" s="96"/>
      <c r="F17" s="96"/>
      <c r="G17" s="688"/>
      <c r="H17" s="688"/>
      <c r="I17" s="688"/>
      <c r="J17" s="688"/>
      <c r="K17" s="688"/>
      <c r="L17" s="688"/>
      <c r="M17" s="678"/>
      <c r="N17" s="678"/>
      <c r="O17" s="678"/>
      <c r="P17" s="678"/>
      <c r="Q17" s="678"/>
      <c r="R17" s="678"/>
      <c r="S17" s="29"/>
      <c r="T17" s="29"/>
      <c r="U17" s="29"/>
      <c r="V17" s="29"/>
      <c r="W17" s="29"/>
    </row>
    <row r="18" spans="2:23" ht="15">
      <c r="B18" s="16" t="s">
        <v>323</v>
      </c>
      <c r="C18" s="16"/>
      <c r="D18" s="16"/>
      <c r="E18" s="22" t="s">
        <v>324</v>
      </c>
      <c r="F18" s="22"/>
      <c r="G18" s="684">
        <f ca="1">'1. LCC Befintlig Installation'!I192</f>
        <v>0</v>
      </c>
      <c r="H18" s="684"/>
      <c r="I18" s="684"/>
      <c r="J18" s="684">
        <f>'2. LCC Ny Installation'!I192</f>
        <v>0</v>
      </c>
      <c r="K18" s="684"/>
      <c r="L18" s="684"/>
      <c r="M18" s="689" t="e">
        <f ca="1">(J18-G18)/G18</f>
        <v>#DIV/0!</v>
      </c>
      <c r="N18" s="689"/>
      <c r="O18" s="689"/>
      <c r="P18" s="684"/>
      <c r="Q18" s="684"/>
      <c r="R18" s="684"/>
      <c r="S18" s="684"/>
      <c r="T18" s="684"/>
      <c r="U18" s="684"/>
      <c r="V18" s="97"/>
      <c r="W18" s="97"/>
    </row>
    <row r="19" spans="2:23" ht="15">
      <c r="B19" s="16" t="s">
        <v>102</v>
      </c>
      <c r="C19" s="16"/>
      <c r="D19" s="16"/>
      <c r="E19" s="22" t="s">
        <v>325</v>
      </c>
      <c r="F19" s="22"/>
      <c r="G19" s="684">
        <f ca="1">'1. LCC Befintlig Installation'!I215</f>
        <v>0</v>
      </c>
      <c r="H19" s="684"/>
      <c r="I19" s="684"/>
      <c r="J19" s="684">
        <f>'2. LCC Ny Installation'!I215</f>
        <v>0</v>
      </c>
      <c r="K19" s="684"/>
      <c r="L19" s="684"/>
      <c r="M19" s="689" t="e">
        <f ca="1">(J19-G19)/G19</f>
        <v>#DIV/0!</v>
      </c>
      <c r="N19" s="689"/>
      <c r="O19" s="689"/>
      <c r="P19" s="684"/>
      <c r="Q19" s="684"/>
      <c r="R19" s="684"/>
      <c r="S19" s="684"/>
      <c r="T19" s="684"/>
      <c r="U19" s="684"/>
      <c r="V19" s="97"/>
      <c r="W19" s="97"/>
    </row>
    <row r="44" spans="7:23" ht="15">
      <c r="G44" s="678"/>
      <c r="H44" s="678"/>
      <c r="I44" s="678"/>
      <c r="J44" s="678"/>
      <c r="K44" s="678"/>
      <c r="L44" s="678"/>
      <c r="M44" s="678"/>
      <c r="N44" s="678"/>
      <c r="O44" s="678"/>
      <c r="P44" s="678"/>
      <c r="Q44" s="678"/>
      <c r="R44" s="678"/>
      <c r="S44" s="678"/>
      <c r="T44" s="678"/>
      <c r="U44" s="678"/>
      <c r="V44" s="29"/>
      <c r="W44" s="29"/>
    </row>
  </sheetData>
  <mergeCells count="57">
    <mergeCell ref="G44:I44"/>
    <mergeCell ref="J44:L44"/>
    <mergeCell ref="M44:O44"/>
    <mergeCell ref="P44:R44"/>
    <mergeCell ref="S44:U44"/>
    <mergeCell ref="S18:U18"/>
    <mergeCell ref="G19:I19"/>
    <mergeCell ref="J19:L19"/>
    <mergeCell ref="M19:O19"/>
    <mergeCell ref="P19:R19"/>
    <mergeCell ref="S19:U19"/>
    <mergeCell ref="G17:I17"/>
    <mergeCell ref="J17:L17"/>
    <mergeCell ref="M17:O17"/>
    <mergeCell ref="P17:R17"/>
    <mergeCell ref="G18:I18"/>
    <mergeCell ref="J18:L18"/>
    <mergeCell ref="M18:O18"/>
    <mergeCell ref="P18:R18"/>
    <mergeCell ref="B16:F16"/>
    <mergeCell ref="G16:I16"/>
    <mergeCell ref="J16:L16"/>
    <mergeCell ref="M16:O16"/>
    <mergeCell ref="P16:R16"/>
    <mergeCell ref="S16:U16"/>
    <mergeCell ref="G13:I13"/>
    <mergeCell ref="J13:L13"/>
    <mergeCell ref="M13:O13"/>
    <mergeCell ref="P13:R13"/>
    <mergeCell ref="S13:U13"/>
    <mergeCell ref="G14:I14"/>
    <mergeCell ref="J14:L14"/>
    <mergeCell ref="M14:O14"/>
    <mergeCell ref="P14:R14"/>
    <mergeCell ref="S14:U14"/>
    <mergeCell ref="G11:I11"/>
    <mergeCell ref="J11:L11"/>
    <mergeCell ref="M11:O11"/>
    <mergeCell ref="P11:R11"/>
    <mergeCell ref="S11:U11"/>
    <mergeCell ref="G12:I12"/>
    <mergeCell ref="J12:L12"/>
    <mergeCell ref="M12:O12"/>
    <mergeCell ref="P12:R12"/>
    <mergeCell ref="S12:U12"/>
    <mergeCell ref="S10:U10"/>
    <mergeCell ref="B4:C4"/>
    <mergeCell ref="D4:J4"/>
    <mergeCell ref="B5:C5"/>
    <mergeCell ref="D5:J5"/>
    <mergeCell ref="B6:C6"/>
    <mergeCell ref="D6:J6"/>
    <mergeCell ref="B8:D8"/>
    <mergeCell ref="G10:I10"/>
    <mergeCell ref="J10:L10"/>
    <mergeCell ref="M10:O10"/>
    <mergeCell ref="P10:R10"/>
  </mergeCells>
  <pageMargins left="0.25" right="0.25" top="0.75" bottom="0.75" header="0.3" footer="0.3"/>
  <pageSetup paperSize="9" scale="52" fitToHeight="0"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6830-0F84-E648-A5BB-DE615B57A771}">
  <sheetPr codeName="Blad10">
    <tabColor rgb="FF00656C"/>
    <pageSetUpPr fitToPage="1"/>
  </sheetPr>
  <dimension ref="B1:AN182"/>
  <sheetViews>
    <sheetView showGridLines="0" zoomScale="55" zoomScaleNormal="55" zoomScaleSheetLayoutView="40" zoomScalePageLayoutView="87" workbookViewId="0">
      <selection activeCell="B474" sqref="B474"/>
    </sheetView>
  </sheetViews>
  <sheetFormatPr baseColWidth="10" defaultColWidth="9.1640625" defaultRowHeight="14"/>
  <cols>
    <col min="1" max="1" width="0.6640625" style="326" customWidth="1"/>
    <col min="2" max="2" width="4.83203125" style="326" customWidth="1"/>
    <col min="3" max="3" width="10.33203125" style="326" customWidth="1"/>
    <col min="4" max="4" width="24.33203125" style="326" customWidth="1"/>
    <col min="5" max="5" width="12.6640625" style="326" customWidth="1"/>
    <col min="6" max="6" width="14.1640625" style="326" customWidth="1"/>
    <col min="7" max="7" width="13.1640625" style="326" customWidth="1"/>
    <col min="8" max="8" width="22.6640625" style="326" customWidth="1"/>
    <col min="9" max="10" width="13.6640625" style="326" customWidth="1"/>
    <col min="11" max="11" width="16.33203125" style="326" customWidth="1"/>
    <col min="12" max="12" width="8.5" style="326" customWidth="1"/>
    <col min="13" max="13" width="19.1640625" style="326" customWidth="1"/>
    <col min="14" max="14" width="17.33203125" style="326" customWidth="1"/>
    <col min="15" max="15" width="7.6640625" style="326" customWidth="1"/>
    <col min="16" max="16" width="8.5" style="326" customWidth="1"/>
    <col min="17" max="17" width="14.1640625" style="326" customWidth="1"/>
    <col min="18" max="21" width="8.5" style="326" customWidth="1"/>
    <col min="22" max="22" width="12.1640625" style="326" customWidth="1"/>
    <col min="23" max="25" width="8.5" style="326" customWidth="1"/>
    <col min="26" max="26" width="9.1640625" style="326"/>
    <col min="27" max="27" width="17.6640625" style="326" customWidth="1"/>
    <col min="28" max="16384" width="9.1640625" style="326"/>
  </cols>
  <sheetData>
    <row r="1" spans="2:40" ht="187.5" customHeight="1"/>
    <row r="3" spans="2:40" ht="134.25" customHeight="1">
      <c r="B3" s="335"/>
      <c r="C3" s="335"/>
      <c r="D3" s="336"/>
      <c r="E3" s="337"/>
      <c r="F3" s="335"/>
      <c r="G3" s="335"/>
      <c r="H3" s="335"/>
      <c r="I3" s="335"/>
      <c r="J3" s="335"/>
      <c r="K3" s="335"/>
      <c r="L3" s="335"/>
      <c r="M3" s="335"/>
      <c r="N3" s="335"/>
      <c r="O3" s="335"/>
      <c r="P3" s="335"/>
      <c r="Q3" s="335"/>
      <c r="R3" s="335"/>
      <c r="S3" s="335"/>
      <c r="T3" s="335"/>
      <c r="U3" s="338"/>
      <c r="V3" s="335"/>
    </row>
    <row r="4" spans="2:40" ht="54" customHeight="1">
      <c r="B4" s="442"/>
      <c r="C4" s="442"/>
      <c r="D4" s="464" t="str">
        <f ca="1">IF(Förutsättningar!S20&lt;&gt;"",Förutsättningar!S20,Förutsättningar!P20)</f>
        <v>Projekt:</v>
      </c>
      <c r="E4" s="442"/>
      <c r="F4" s="442"/>
      <c r="G4" s="442"/>
      <c r="H4" s="442"/>
      <c r="I4" s="442"/>
      <c r="J4" s="442"/>
      <c r="K4" s="442"/>
      <c r="L4" s="442"/>
      <c r="M4" s="442"/>
      <c r="N4" s="442"/>
      <c r="O4" s="442"/>
      <c r="P4" s="442"/>
      <c r="Q4" s="442"/>
      <c r="R4" s="442"/>
      <c r="S4" s="442"/>
      <c r="T4" s="442"/>
      <c r="U4" s="442"/>
      <c r="V4" s="442"/>
    </row>
    <row r="5" spans="2:40" ht="37.5" customHeight="1">
      <c r="B5" s="442"/>
      <c r="C5" s="442"/>
      <c r="D5" s="464"/>
      <c r="E5" s="442"/>
      <c r="F5" s="442"/>
      <c r="G5" s="442"/>
      <c r="H5" s="442"/>
      <c r="I5" s="442"/>
      <c r="J5" s="442"/>
      <c r="K5" s="442"/>
      <c r="L5" s="442"/>
      <c r="M5" s="442"/>
      <c r="N5" s="442"/>
      <c r="O5" s="442"/>
      <c r="P5" s="442"/>
      <c r="Q5" s="442"/>
      <c r="R5" s="442"/>
      <c r="S5" s="442"/>
      <c r="T5" s="442"/>
      <c r="U5" s="442"/>
      <c r="V5" s="442"/>
    </row>
    <row r="6" spans="2:40" ht="19.5" customHeight="1"/>
    <row r="7" spans="2:40" ht="391.5" customHeight="1">
      <c r="D7" s="711" t="str" cm="1">
        <f t="array" aca="1" ref="D7" ca="1">IFERROR(
  INDEX(
    tblStrings[],
    MATCH(
      1,
      (tblStrings[Cell]=SUBSTITUTE(CELL("adress",INDIRECT("RC",FALSE)),"$","")) *
      (tblStrings[Sheet]=AllStrings!$C$142),
      0
    ),
    MATCH(Språkval, tblStrings[#Headers], 0)
  ),
)</f>
        <v>Förord
Visste du att en av de enklaste vägarna till lägre driftskostnader och ett starkare hållbarhetsavtryck går genom belysningen? Många företag missar de dolda besparingsmöjligheter som gömmer sig i traditionella belysningssystem – något som vi på Aura Light gärna hjälper till att synliggöra.
I den bifogade energibesparingsrapporten visar vi hur ett byte till våra smarta och energieffektiva LED-lösningar kan skapa både omedelbara vinster och långsiktigt värde. Med data från vår genomgång av era lokaler tillsammans med ert team, lyfter vi fram konkreta åtgärder och tydliga effekter – ekonomiskt, miljömässigt och funktionellt.
Vårt mål är att leverera en modern helhetslösning som gör skillnad – för användaren, verksamheten och planeten. Rapporten är framtagen för att stödja ert beslutsfattande och inspirera till nästa steg mot en smartare belysningsframtid. Tveka inte att höra av dig om du vill veta mer – vi ser fram emot att göra resan tillsammans!</v>
      </c>
      <c r="E7" s="711"/>
      <c r="F7" s="711"/>
      <c r="G7" s="711"/>
      <c r="H7" s="711"/>
      <c r="I7" s="711"/>
      <c r="J7" s="711"/>
      <c r="K7" s="711"/>
      <c r="L7" s="711"/>
      <c r="M7" s="711"/>
      <c r="N7" s="711"/>
      <c r="O7" s="711"/>
      <c r="P7" s="711"/>
      <c r="Q7" s="711"/>
      <c r="R7" s="711"/>
      <c r="S7" s="711"/>
      <c r="T7" s="711"/>
    </row>
    <row r="8" spans="2:40" ht="67.5" customHeight="1">
      <c r="D8" s="711"/>
      <c r="E8" s="711"/>
      <c r="F8" s="711"/>
      <c r="G8" s="711"/>
      <c r="H8" s="711"/>
      <c r="I8" s="711"/>
      <c r="J8" s="711"/>
      <c r="K8" s="711"/>
      <c r="L8" s="711"/>
      <c r="M8" s="711"/>
      <c r="N8" s="711"/>
      <c r="O8" s="711"/>
      <c r="P8" s="711"/>
      <c r="Q8" s="711"/>
      <c r="R8" s="711"/>
      <c r="S8" s="711"/>
      <c r="T8" s="711"/>
    </row>
    <row r="9" spans="2:40" ht="77.25" customHeight="1">
      <c r="D9" s="485" t="str" cm="1">
        <f t="array" aca="1" ref="D9" ca="1">IFERROR(
  INDEX(
    tblStrings[],
    MATCH(
      1,
      (tblStrings[Cell]=SUBSTITUTE(CELL("adress",INDIRECT("RC",FALSE)),"$","")) *
      (tblStrings[Sheet]=AllStrings!$C$142),
      0
    ),
    MATCH(Språkval, tblStrings[#Headers], 0)
  ),
)</f>
        <v>Resultat LCC-kalkyl</v>
      </c>
      <c r="E9" s="449"/>
      <c r="F9" s="449"/>
      <c r="G9" s="447"/>
      <c r="H9" s="447"/>
      <c r="I9" s="447"/>
      <c r="J9" s="447"/>
      <c r="K9" s="459" t="str" cm="1">
        <f t="array" aca="1" ref="K9" ca="1">IFERROR(
  INDEX(
    tblStrings[],
    MATCH(
      1,
      (tblStrings[Cell]=SUBSTITUTE(CELL("adress",INDIRECT("RC",FALSE)),"$","")) *
      (tblStrings[Sheet]=AllStrings!$C$142),
      0
    ),
    MATCH(Språkval, tblStrings[#Headers], 0)
  ),
)</f>
        <v>Resultaten är beräknade enligt nuvärdesmetoden.</v>
      </c>
      <c r="L9" s="447"/>
      <c r="M9" s="447"/>
      <c r="N9" s="447"/>
      <c r="O9" s="447"/>
      <c r="P9" s="447"/>
      <c r="Q9" s="447"/>
      <c r="R9" s="447"/>
      <c r="S9" s="447"/>
      <c r="T9" s="447"/>
    </row>
    <row r="10" spans="2:40">
      <c r="D10" s="447"/>
      <c r="E10" s="447"/>
      <c r="F10" s="447"/>
      <c r="G10" s="447"/>
      <c r="H10" s="447"/>
      <c r="I10" s="447"/>
      <c r="J10" s="447"/>
      <c r="K10" s="447"/>
      <c r="L10" s="447"/>
      <c r="M10" s="447"/>
      <c r="N10" s="447"/>
      <c r="O10" s="447"/>
      <c r="P10" s="447"/>
      <c r="Q10" s="447"/>
      <c r="R10" s="447"/>
      <c r="S10" s="447"/>
      <c r="T10" s="447"/>
    </row>
    <row r="11" spans="2:40" ht="25">
      <c r="D11" s="736" t="str">
        <f ca="1">Förutsättningar!P20</f>
        <v>Projekt:</v>
      </c>
      <c r="E11" s="736"/>
      <c r="F11" s="737" t="str">
        <f>IF(Förutsättningar!S20&lt;&gt;"",Förutsättningar!S20,"")</f>
        <v/>
      </c>
      <c r="G11" s="737"/>
      <c r="H11" s="737"/>
      <c r="I11" s="737"/>
      <c r="J11" s="737"/>
      <c r="K11" s="737"/>
      <c r="L11" s="737"/>
      <c r="M11" s="448"/>
      <c r="N11" s="448"/>
      <c r="O11" s="448"/>
      <c r="P11" s="447"/>
      <c r="Q11" s="447"/>
      <c r="R11" s="447"/>
      <c r="S11" s="447"/>
      <c r="T11" s="447"/>
    </row>
    <row r="12" spans="2:40" ht="25">
      <c r="D12" s="736" t="str">
        <f ca="1">Förutsättningar!P21</f>
        <v>Datum:</v>
      </c>
      <c r="E12" s="736"/>
      <c r="F12" s="737" t="str">
        <f>IF(Förutsättningar!S21&lt;&gt;"",Förutsättningar!S21,"")</f>
        <v/>
      </c>
      <c r="G12" s="737"/>
      <c r="H12" s="737"/>
      <c r="I12" s="737"/>
      <c r="J12" s="737"/>
      <c r="K12" s="737"/>
      <c r="L12" s="737"/>
      <c r="M12" s="448"/>
      <c r="N12" s="448"/>
      <c r="O12" s="448"/>
      <c r="P12" s="447"/>
      <c r="Q12" s="447"/>
      <c r="R12" s="447"/>
      <c r="S12" s="447"/>
      <c r="T12" s="447"/>
      <c r="AN12" s="330"/>
    </row>
    <row r="13" spans="2:40" ht="26.25" customHeight="1">
      <c r="D13" s="736" t="str">
        <f ca="1">Förutsättningar!P22</f>
        <v>Handläggare:</v>
      </c>
      <c r="E13" s="736"/>
      <c r="F13" s="737" t="str">
        <f>IF(Förutsättningar!S22&lt;&gt;"",Förutsättningar!S22,"")</f>
        <v/>
      </c>
      <c r="G13" s="737"/>
      <c r="H13" s="737"/>
      <c r="I13" s="737"/>
      <c r="J13" s="737"/>
      <c r="K13" s="737"/>
      <c r="L13" s="737"/>
      <c r="N13" s="448"/>
      <c r="O13" s="448"/>
      <c r="P13" s="447"/>
      <c r="Q13" s="447"/>
      <c r="R13" s="447"/>
      <c r="S13" s="447"/>
      <c r="T13" s="447"/>
    </row>
    <row r="14" spans="2:40" ht="44.25" customHeight="1">
      <c r="D14" s="736" t="str">
        <f ca="1">Förutsättningar!P24</f>
        <v>Tid kalkylen omfattar</v>
      </c>
      <c r="E14" s="736"/>
      <c r="F14" s="736"/>
      <c r="G14" s="489"/>
      <c r="H14" s="487"/>
      <c r="I14" s="490"/>
      <c r="J14" s="491" t="str">
        <f>IF(Förutsättningar!S24&lt;&gt;"",Förutsättningar!S24,"")</f>
        <v/>
      </c>
      <c r="K14" s="492" t="str" cm="1">
        <f t="array" aca="1" ref="K14" ca="1">IFERROR(
  INDEX(
    tblStrings[],
    MATCH(
      1,
      (tblStrings[Cell]=SUBSTITUTE(CELL("adress",INDIRECT("RC",FALSE)),"$","")) *
      (tblStrings[Sheet]=AllStrings!$C$142),
      0
    ),
    MATCH(Språkval, tblStrings[#Headers], 0)
  ),
)</f>
        <v>års användning</v>
      </c>
      <c r="L14" s="493"/>
      <c r="M14" s="448"/>
      <c r="N14" s="448"/>
      <c r="O14" s="448"/>
      <c r="P14" s="447"/>
      <c r="Q14" s="447"/>
      <c r="R14" s="447"/>
      <c r="S14" s="447"/>
      <c r="T14" s="447"/>
    </row>
    <row r="15" spans="2:40" ht="25.5" customHeight="1">
      <c r="D15" s="736" t="str">
        <f ca="1">Förutsättningar!P25</f>
        <v>Kalkylränta</v>
      </c>
      <c r="E15" s="736"/>
      <c r="F15" s="736"/>
      <c r="G15" s="736"/>
      <c r="H15" s="487"/>
      <c r="I15" s="488"/>
      <c r="J15" s="491" t="str">
        <f>IF(Förutsättningar!S25&lt;&gt;"",Förutsättningar!S25,"")</f>
        <v/>
      </c>
      <c r="K15" s="494" t="s">
        <v>30</v>
      </c>
      <c r="L15" s="493"/>
      <c r="M15" s="448"/>
      <c r="N15" s="448"/>
      <c r="O15" s="448"/>
      <c r="P15" s="447"/>
      <c r="Q15" s="447"/>
      <c r="R15" s="447"/>
      <c r="S15" s="447"/>
      <c r="T15" s="447"/>
    </row>
    <row r="16" spans="2:40" ht="25.5" customHeight="1">
      <c r="D16" s="739" t="str">
        <f ca="1">Förutsättningar!P26</f>
        <v>Elpris</v>
      </c>
      <c r="E16" s="739"/>
      <c r="F16" s="739"/>
      <c r="G16" s="495"/>
      <c r="H16" s="495"/>
      <c r="I16" s="496"/>
      <c r="J16" s="491" t="str">
        <f>IF(Förutsättningar!S26&lt;&gt;"",Förutsättningar!S26,"")</f>
        <v/>
      </c>
      <c r="K16" s="494" t="str">
        <f ca="1">Förutsättningar!V26</f>
        <v>kr/kWh</v>
      </c>
      <c r="L16" s="493"/>
      <c r="M16" s="448"/>
      <c r="N16" s="448"/>
      <c r="O16" s="448"/>
      <c r="P16" s="447"/>
      <c r="Q16" s="447"/>
      <c r="R16" s="447"/>
      <c r="S16" s="447"/>
      <c r="T16" s="447"/>
    </row>
    <row r="17" spans="2:25" ht="25.5" customHeight="1">
      <c r="D17" s="495" t="str">
        <f ca="1">Förutsättningar!P27</f>
        <v>Årlig prisförändring energi (frivillig)</v>
      </c>
      <c r="E17" s="495"/>
      <c r="F17" s="495"/>
      <c r="G17" s="495"/>
      <c r="H17" s="495"/>
      <c r="I17" s="496"/>
      <c r="J17" s="491" t="str">
        <f>IF(Förutsättningar!S27&lt;&gt;"",Förutsättningar!S27,"")</f>
        <v/>
      </c>
      <c r="K17" s="494" t="s">
        <v>30</v>
      </c>
      <c r="L17" s="493"/>
      <c r="M17" s="448"/>
      <c r="N17" s="448"/>
      <c r="O17" s="448"/>
      <c r="P17" s="447"/>
      <c r="Q17" s="447"/>
      <c r="R17" s="447"/>
      <c r="S17" s="447"/>
      <c r="T17" s="447"/>
    </row>
    <row r="18" spans="2:25" ht="25.5" customHeight="1">
      <c r="D18" s="739" t="str">
        <f ca="1">Förutsättningar!P28</f>
        <v>Klimatpåverkan energianvändning (frivillig)</v>
      </c>
      <c r="E18" s="739"/>
      <c r="F18" s="739"/>
      <c r="G18" s="739"/>
      <c r="H18" s="739"/>
      <c r="I18" s="496"/>
      <c r="J18" s="491" t="str">
        <f>IF(Förutsättningar!S28&lt;&gt;"",Förutsättningar!S28,"")</f>
        <v/>
      </c>
      <c r="K18" s="494" t="str">
        <f ca="1">Förutsättningar!V28</f>
        <v>kgCO₂/kwh</v>
      </c>
      <c r="L18" s="493"/>
      <c r="M18" s="448"/>
      <c r="N18" s="448"/>
      <c r="O18" s="448"/>
      <c r="P18" s="447"/>
      <c r="Q18" s="447"/>
      <c r="R18" s="447"/>
      <c r="S18" s="447"/>
      <c r="T18" s="447"/>
    </row>
    <row r="19" spans="2:25" ht="25.5" customHeight="1">
      <c r="D19" s="739" t="str">
        <f ca="1">Förutsättningar!P29</f>
        <v>Drifttid</v>
      </c>
      <c r="E19" s="739"/>
      <c r="F19" s="739"/>
      <c r="G19" s="739"/>
      <c r="H19" s="739"/>
      <c r="I19" s="496"/>
      <c r="J19" s="491" t="str">
        <f>IF(Förutsättningar!S29&lt;&gt;"",Förutsättningar!S29,"")</f>
        <v/>
      </c>
      <c r="K19" s="494" t="str">
        <f ca="1">Förutsättningar!V29</f>
        <v>h/år</v>
      </c>
      <c r="L19" s="493"/>
      <c r="M19" s="448"/>
      <c r="N19" s="448"/>
      <c r="O19" s="448"/>
      <c r="P19" s="447"/>
      <c r="Q19" s="447"/>
      <c r="R19" s="447"/>
      <c r="S19" s="447"/>
      <c r="T19" s="447"/>
    </row>
    <row r="20" spans="2:25" ht="88" customHeight="1">
      <c r="D20" s="448"/>
      <c r="E20" s="447"/>
      <c r="F20" s="447"/>
      <c r="G20" s="447"/>
      <c r="H20" s="447"/>
      <c r="I20" s="448"/>
      <c r="J20" s="448"/>
      <c r="K20" s="448"/>
      <c r="L20" s="448"/>
      <c r="M20" s="447"/>
      <c r="N20" s="447"/>
      <c r="O20" s="447"/>
      <c r="P20" s="447"/>
      <c r="Q20" s="447"/>
      <c r="R20" s="447"/>
      <c r="S20" s="447"/>
      <c r="T20" s="447"/>
    </row>
    <row r="21" spans="2:25" ht="34.5" customHeight="1">
      <c r="D21" s="497" t="str" cm="1">
        <f t="array" aca="1" ref="D21" ca="1">IFERROR(
  INDEX(
    tblStrings[],
    MATCH(
      1,
      (tblStrings[Cell]=SUBSTITUTE(CELL("adress",INDIRECT("RC",FALSE)),"$","")) *
      (tblStrings[Sheet]=AllStrings!$C$142),
      0
    ),
    MATCH(Språkval, tblStrings[#Headers], 0)
  ),
)</f>
        <v>LCC-kostnader (SEK/år)</v>
      </c>
      <c r="E21" s="497"/>
      <c r="F21" s="497"/>
      <c r="G21" s="497"/>
      <c r="H21" s="497"/>
      <c r="I21" s="738" t="str" cm="1">
        <f t="array" aca="1" ref="I21" ca="1">IFERROR(
  INDEX(
    tblStrings[],
    MATCH(
      1,
      (tblStrings[Cell]=SUBSTITUTE(CELL("adress",INDIRECT("RC",FALSE)),"$","")) *
      (tblStrings[Sheet]=AllStrings!$C$142),
      0
    ),
    MATCH(Språkval, tblStrings[#Headers], 0)
  ),
)</f>
        <v>Befintlig Installation</v>
      </c>
      <c r="J21" s="738"/>
      <c r="K21" s="738"/>
      <c r="L21" s="738" t="str" cm="1">
        <f t="array" aca="1" ref="L21" ca="1">IFERROR(
  INDEX(
    tblStrings[],
    MATCH(
      1,
      (tblStrings[Cell]=SUBSTITUTE(CELL("adress",INDIRECT("RC",FALSE)),"$","")) *
      (tblStrings[Sheet]=AllStrings!$C$142),
      0
    ),
    MATCH(Språkval, tblStrings[#Headers], 0)
  ),
)</f>
        <v>Vårt förslag</v>
      </c>
      <c r="M21" s="738"/>
      <c r="N21" s="738"/>
      <c r="O21" s="738" t="str" cm="1">
        <f t="array" aca="1" ref="O21" ca="1">IFERROR(
  INDEX(
    tblStrings[],
    MATCH(
      1,
      (tblStrings[Cell]=SUBSTITUTE(CELL("adress",INDIRECT("RC",FALSE)),"$","")) *
      (tblStrings[Sheet]=AllStrings!$C$142),
      0
    ),
    MATCH(Språkval, tblStrings[#Headers], 0)
  ),
)</f>
        <v>Jämförelse %</v>
      </c>
      <c r="P21" s="738"/>
      <c r="Q21" s="738"/>
      <c r="R21" s="738" t="str" cm="1">
        <f t="array" aca="1" ref="R21" ca="1">IFERROR(
  INDEX(
    tblStrings[],
    MATCH(
      1,
      (tblStrings[Cell]=SUBSTITUTE(CELL("adress",INDIRECT("RC",FALSE)),"$","")) *
      (tblStrings[Sheet]=AllStrings!$C$142),
      0
    ),
    MATCH(Språkval, tblStrings[#Headers], 0)
  ),
)</f>
        <v>Besparing</v>
      </c>
      <c r="S21" s="738"/>
      <c r="T21" s="738"/>
      <c r="U21" s="727"/>
      <c r="V21" s="727"/>
      <c r="W21" s="727"/>
      <c r="X21" s="329"/>
      <c r="Y21" s="328"/>
    </row>
    <row r="22" spans="2:25" ht="28.5" customHeight="1">
      <c r="C22" s="442"/>
      <c r="D22" s="498" t="str" cm="1">
        <f t="array" aca="1" ref="D22" ca="1">IFERROR(
  INDEX(
    tblStrings[],
    MATCH(
      1,
      (tblStrings[Cell]=SUBSTITUTE(CELL("adress",INDIRECT("RC",FALSE)),"$","")) *
      (tblStrings[Sheet]=AllStrings!$C$142),
      0
    ),
    MATCH(Språkval, tblStrings[#Headers], 0)
  ),
)</f>
        <v xml:space="preserve">Investeringskostnader </v>
      </c>
      <c r="E22" s="498"/>
      <c r="F22" s="498"/>
      <c r="G22" s="499"/>
      <c r="H22" s="500"/>
      <c r="I22" s="695">
        <f>'1. LCC Befintlig Installation'!I176</f>
        <v>0</v>
      </c>
      <c r="J22" s="695"/>
      <c r="K22" s="696"/>
      <c r="L22" s="697" t="e">
        <f>'2. LCC Ny Installation'!I176</f>
        <v>#VALUE!</v>
      </c>
      <c r="M22" s="698"/>
      <c r="N22" s="699"/>
      <c r="O22" s="700"/>
      <c r="P22" s="701"/>
      <c r="Q22" s="702"/>
      <c r="R22" s="710"/>
      <c r="S22" s="710"/>
      <c r="T22" s="710"/>
      <c r="U22" s="712"/>
      <c r="V22" s="712"/>
      <c r="W22" s="712"/>
      <c r="X22" s="329"/>
      <c r="Y22" s="331"/>
    </row>
    <row r="23" spans="2:25" ht="28.5" customHeight="1">
      <c r="C23" s="442"/>
      <c r="D23" s="498" t="str" cm="1">
        <f t="array" aca="1" ref="D23" ca="1">IFERROR(
  INDEX(
    tblStrings[],
    MATCH(
      1,
      (tblStrings[Cell]=SUBSTITUTE(CELL("adress",INDIRECT("RC",FALSE)),"$","")) *
      (tblStrings[Sheet]=AllStrings!$C$142),
      0
    ),
    MATCH(Språkval, tblStrings[#Headers], 0)
  ),
)</f>
        <v>Energikostnader</v>
      </c>
      <c r="E23" s="498"/>
      <c r="F23" s="498"/>
      <c r="G23" s="499"/>
      <c r="H23" s="500"/>
      <c r="I23" s="698">
        <f ca="1">'1. LCC Befintlig Installation'!I195</f>
        <v>0</v>
      </c>
      <c r="J23" s="698"/>
      <c r="K23" s="699"/>
      <c r="L23" s="697">
        <f>'2. LCC Ny Installation'!I195</f>
        <v>0</v>
      </c>
      <c r="M23" s="698"/>
      <c r="N23" s="699"/>
      <c r="O23" s="706" t="e">
        <f ca="1">(L23-I23)/I23*100</f>
        <v>#DIV/0!</v>
      </c>
      <c r="P23" s="707"/>
      <c r="Q23" s="708"/>
      <c r="R23" s="710">
        <f ca="1">(I23-L23)</f>
        <v>0</v>
      </c>
      <c r="S23" s="710"/>
      <c r="T23" s="710"/>
      <c r="U23" s="712"/>
      <c r="V23" s="712"/>
      <c r="W23" s="712"/>
      <c r="X23" s="329"/>
      <c r="Y23" s="331"/>
    </row>
    <row r="24" spans="2:25" ht="28.5" customHeight="1">
      <c r="C24" s="442"/>
      <c r="D24" s="501" t="str" cm="1">
        <f t="array" aca="1" ref="D24" ca="1">IFERROR(
  INDEX(
    tblStrings[],
    MATCH(
      1,
      (tblStrings[Cell]=SUBSTITUTE(CELL("adress",INDIRECT("RC",FALSE)),"$","")) *
      (tblStrings[Sheet]=AllStrings!$C$142),
      0
    ),
    MATCH(Språkval, tblStrings[#Headers], 0)
  ),
)</f>
        <v>Underhållskostnader</v>
      </c>
      <c r="E24" s="501"/>
      <c r="F24" s="501"/>
      <c r="G24" s="502"/>
      <c r="H24" s="503"/>
      <c r="I24" s="704" t="str">
        <f>IF('1. LCC Befintlig Installation'!I211 = 0,"Inget underhåll kalkylerat",'1. LCC Befintlig Installation'!I211)</f>
        <v>Inget underhåll kalkylerat</v>
      </c>
      <c r="J24" s="704"/>
      <c r="K24" s="705"/>
      <c r="L24" s="703"/>
      <c r="M24" s="704"/>
      <c r="N24" s="705"/>
      <c r="O24" s="706" t="e">
        <f>(L24-I24)/I24*100</f>
        <v>#VALUE!</v>
      </c>
      <c r="P24" s="707"/>
      <c r="Q24" s="708"/>
      <c r="R24" s="728" t="e">
        <f>(I24-L24)</f>
        <v>#VALUE!</v>
      </c>
      <c r="S24" s="729"/>
      <c r="T24" s="729"/>
      <c r="U24" s="712"/>
      <c r="V24" s="712"/>
      <c r="W24" s="712"/>
      <c r="X24" s="329"/>
      <c r="Y24" s="332"/>
    </row>
    <row r="25" spans="2:25" ht="36.75" customHeight="1">
      <c r="D25" s="501" t="str" cm="1">
        <f t="array" aca="1" ref="D25" ca="1">IFERROR(
  INDEX(
    tblStrings[],
    MATCH(
      1,
      (tblStrings[Cell]=SUBSTITUTE(CELL("adress",INDIRECT("RC",FALSE)),"$","")) *
      (tblStrings[Sheet]=AllStrings!$C$142),
      0
    ),
    MATCH(Språkval, tblStrings[#Headers], 0)
  ),
)</f>
        <v>Total Kostnad</v>
      </c>
      <c r="E25" s="510"/>
      <c r="F25" s="510"/>
      <c r="G25" s="510"/>
      <c r="H25" s="511"/>
      <c r="I25" s="730">
        <f ca="1">SUM(I22:K24)</f>
        <v>0</v>
      </c>
      <c r="J25" s="730"/>
      <c r="K25" s="731"/>
      <c r="L25" s="732" t="e">
        <f>SUM(L22:N24)</f>
        <v>#VALUE!</v>
      </c>
      <c r="M25" s="730"/>
      <c r="N25" s="731"/>
      <c r="O25" s="733"/>
      <c r="P25" s="734"/>
      <c r="Q25" s="735"/>
      <c r="R25" s="730" t="e">
        <f ca="1">(I25-L25)</f>
        <v>#VALUE!</v>
      </c>
      <c r="S25" s="730"/>
      <c r="T25" s="730"/>
      <c r="U25" s="712"/>
      <c r="V25" s="712"/>
      <c r="W25" s="712"/>
      <c r="X25" s="329"/>
      <c r="Y25" s="331"/>
    </row>
    <row r="26" spans="2:25" ht="33" customHeight="1">
      <c r="D26" s="504"/>
      <c r="E26" s="504"/>
      <c r="F26" s="504"/>
      <c r="G26" s="505"/>
      <c r="H26" s="505"/>
      <c r="J26" s="505"/>
      <c r="K26" s="505"/>
      <c r="L26" s="505"/>
      <c r="M26" s="504"/>
      <c r="N26" s="504"/>
      <c r="O26" s="506"/>
      <c r="P26" s="506"/>
      <c r="Q26" s="506"/>
      <c r="R26" s="507"/>
      <c r="S26" s="507"/>
      <c r="T26" s="507"/>
    </row>
    <row r="27" spans="2:25" ht="35.25" customHeight="1">
      <c r="B27" s="326" t="e" vm="1">
        <v>#VALUE!</v>
      </c>
      <c r="D27" s="693" t="str" cm="1">
        <f t="array" aca="1" ref="D27" ca="1">IFERROR(
  INDEX(
    tblStrings[],
    MATCH(
      1,
      (tblStrings[Cell]=SUBSTITUTE(CELL("adress",INDIRECT("RC",FALSE)),"$","")) *
      (tblStrings[Sheet]=AllStrings!$C$142),
      0
    ),
    MATCH(Språkval, tblStrings[#Headers], 0)
  ),
)</f>
        <v xml:space="preserve">Energianvändning &amp; klimatpåverkan </v>
      </c>
      <c r="E27" s="693"/>
      <c r="F27" s="693"/>
      <c r="G27" s="693"/>
      <c r="H27" s="693"/>
      <c r="I27" s="694"/>
      <c r="J27" s="694"/>
      <c r="K27" s="694"/>
      <c r="L27" s="694"/>
      <c r="M27" s="694"/>
      <c r="N27" s="694"/>
      <c r="O27" s="694"/>
      <c r="P27" s="694"/>
      <c r="Q27" s="694"/>
      <c r="R27" s="709"/>
      <c r="S27" s="709"/>
      <c r="T27" s="709"/>
      <c r="U27" s="727"/>
      <c r="V27" s="727"/>
      <c r="W27" s="727"/>
      <c r="X27" s="328"/>
      <c r="Y27" s="328"/>
    </row>
    <row r="28" spans="2:25" ht="35.25" customHeight="1">
      <c r="C28" s="443"/>
      <c r="D28" s="498" t="str" cm="1">
        <f t="array" aca="1" ref="D28" ca="1">IFERROR(
  INDEX(
    tblStrings[],
    MATCH(
      1,
      (tblStrings[Cell]=SUBSTITUTE(CELL("adress",INDIRECT("RC",FALSE)),"$","")) *
      (tblStrings[Sheet]=AllStrings!$C$142),
      0
    ),
    MATCH(Språkval, tblStrings[#Headers], 0)
  ),
)</f>
        <v>Energianvändning (kWh/år)</v>
      </c>
      <c r="E28" s="498"/>
      <c r="F28" s="498"/>
      <c r="G28" s="508"/>
      <c r="H28" s="509"/>
      <c r="I28" s="719" t="str">
        <f ca="1">CONCATENATE(TEXT(Uträkningar!D12,"# ##0"))</f>
        <v>0</v>
      </c>
      <c r="J28" s="719"/>
      <c r="K28" s="720"/>
      <c r="L28" s="721" t="str">
        <f>CONCATENATE(TEXT(Uträkningar!H12,"# ##0"),)</f>
        <v>0</v>
      </c>
      <c r="M28" s="722"/>
      <c r="N28" s="723"/>
      <c r="O28" s="724" t="e">
        <f ca="1">(Uträkningar!H12-Uträkningar!D12)/Uträkningar!D12*100</f>
        <v>#DIV/0!</v>
      </c>
      <c r="P28" s="725"/>
      <c r="Q28" s="726"/>
      <c r="R28" s="721" t="str">
        <f ca="1">CONCATENATE(TEXT(Uträkningar!H12-Uträkningar!D12,"# ##0"),)</f>
        <v>0</v>
      </c>
      <c r="S28" s="722"/>
      <c r="T28" s="722"/>
      <c r="U28" s="712"/>
      <c r="V28" s="712"/>
      <c r="W28" s="712"/>
      <c r="X28" s="333"/>
      <c r="Y28" s="333"/>
    </row>
    <row r="29" spans="2:25" ht="35.25" customHeight="1">
      <c r="C29" s="442"/>
      <c r="D29" s="501" t="str" cm="1">
        <f t="array" aca="1" ref="D29" ca="1">IFERROR(
  INDEX(
    tblStrings[],
    MATCH(
      1,
      (tblStrings[Cell]=SUBSTITUTE(CELL("adress",INDIRECT("RC",FALSE)),"$","")) *
      (tblStrings[Sheet]=AllStrings!$C$142),
      0
    ),
    MATCH(Språkval, tblStrings[#Headers], 0)
  ),
)</f>
        <v>Klimatpåverkan (kgC02-e/år)</v>
      </c>
      <c r="E29" s="501"/>
      <c r="F29" s="501"/>
      <c r="G29" s="512"/>
      <c r="H29" s="513"/>
      <c r="I29" s="713" t="str">
        <f ca="1">CONCATENATE(TEXT(Uträkningar!F12,"# ##0"))</f>
        <v>0</v>
      </c>
      <c r="J29" s="713"/>
      <c r="K29" s="714"/>
      <c r="L29" s="715" t="str">
        <f>CONCATENATE(TEXT(Uträkningar!J12,"# ##0"),)</f>
        <v>0</v>
      </c>
      <c r="M29" s="713"/>
      <c r="N29" s="714"/>
      <c r="O29" s="716" t="e">
        <f ca="1">(Uträkningar!J12-Uträkningar!F12)/Uträkningar!F12*100</f>
        <v>#DIV/0!</v>
      </c>
      <c r="P29" s="717"/>
      <c r="Q29" s="718"/>
      <c r="R29" s="715" t="str">
        <f ca="1">CONCATENATE(TEXT(Uträkningar!J12-Uträkningar!F12,"# ##0"),)</f>
        <v>0</v>
      </c>
      <c r="S29" s="713"/>
      <c r="T29" s="713"/>
      <c r="U29" s="712"/>
      <c r="V29" s="712"/>
      <c r="W29" s="712"/>
      <c r="X29" s="333"/>
      <c r="Y29" s="333"/>
    </row>
    <row r="30" spans="2:25">
      <c r="O30" s="334"/>
      <c r="P30" s="334"/>
      <c r="Q30" s="334"/>
    </row>
    <row r="35" spans="27:27" ht="131" customHeight="1"/>
    <row r="42" spans="27:27"/>
    <row r="52" ht="76" customHeight="1"/>
    <row r="53" ht="370" customHeight="1"/>
    <row r="58" ht="11" customHeight="1"/>
    <row r="59" ht="191" customHeight="1"/>
    <row r="67" ht="21.75" customHeight="1"/>
    <row r="68" ht="22.5" customHeight="1"/>
    <row r="92" ht="130" customHeight="1"/>
    <row r="116" spans="5:6">
      <c r="E116" s="327"/>
      <c r="F116" s="327"/>
    </row>
    <row r="117" spans="5:6" ht="19">
      <c r="E117" s="445"/>
      <c r="F117" s="445"/>
    </row>
    <row r="118" spans="5:6" ht="18">
      <c r="E118" s="446"/>
      <c r="F118" s="446"/>
    </row>
    <row r="134" spans="4:14" ht="20">
      <c r="D134" s="460" t="str" cm="1">
        <f t="array" aca="1" ref="D134" ca="1">IFERROR(
  INDEX(
    tblStrings[],
    MATCH(
      1,
      (tblStrings[Cell]=SUBSTITUTE(CELL("adress",INDIRECT("RC",FALSE)),"$","")) *
      (tblStrings[Sheet]=AllStrings!$C$142),
      0
    ),
    MATCH(Språkval, tblStrings[#Headers], 0)
  ),
)</f>
        <v>Ackumulerad energibesparing över tid</v>
      </c>
    </row>
    <row r="135" spans="4:14" ht="20">
      <c r="D135" s="456" t="str" cm="1">
        <f t="array" aca="1" ref="D135" ca="1">IFERROR(
  INDEX(
    tblStrings[],
    MATCH(
      1,
      (tblStrings[Cell]=SUBSTITUTE(CELL("adress",INDIRECT("RC",FALSE)),"$","")) *
      (tblStrings[Sheet]=AllStrings!$C$142),
      0
    ),
    MATCH(Språkval, tblStrings[#Headers], 0)
  ),
)</f>
        <v>Beräknad återbetalningstid på investering:</v>
      </c>
    </row>
    <row r="137" spans="4:14" ht="15" customHeight="1"/>
    <row r="138" spans="4:14" ht="16" customHeight="1"/>
    <row r="139" spans="4:14" ht="14" customHeight="1"/>
    <row r="140" spans="4:14" ht="14" customHeight="1">
      <c r="J140" s="441"/>
    </row>
    <row r="142" spans="4:14">
      <c r="J142" s="442"/>
      <c r="K142" s="442"/>
      <c r="L142" s="442"/>
      <c r="M142" s="442"/>
      <c r="N142" s="442"/>
    </row>
    <row r="143" spans="4:14">
      <c r="J143" s="442"/>
      <c r="K143" s="442"/>
      <c r="L143" s="442"/>
      <c r="M143" s="442"/>
      <c r="N143" s="442"/>
    </row>
    <row r="144" spans="4:14">
      <c r="M144" s="442"/>
      <c r="N144" s="442"/>
    </row>
    <row r="145" spans="4:17">
      <c r="L145" s="442"/>
      <c r="M145" s="442"/>
      <c r="N145" s="442"/>
    </row>
    <row r="146" spans="4:17">
      <c r="L146" s="442"/>
      <c r="M146" s="442"/>
      <c r="N146" s="442"/>
    </row>
    <row r="147" spans="4:17">
      <c r="L147" s="442"/>
      <c r="M147" s="442"/>
      <c r="N147" s="442"/>
    </row>
    <row r="148" spans="4:17">
      <c r="L148" s="442"/>
      <c r="M148" s="442"/>
      <c r="N148" s="442"/>
    </row>
    <row r="149" spans="4:17" ht="221" customHeight="1">
      <c r="E149" s="442"/>
      <c r="F149" s="442"/>
      <c r="G149" s="442"/>
      <c r="H149" s="442"/>
      <c r="I149" s="442"/>
      <c r="L149" s="442"/>
      <c r="M149" s="442"/>
      <c r="N149" s="442"/>
    </row>
    <row r="150" spans="4:17">
      <c r="E150" s="442"/>
      <c r="F150" s="442"/>
      <c r="G150" s="442"/>
      <c r="L150" s="442"/>
      <c r="M150" s="442"/>
      <c r="N150" s="442"/>
    </row>
    <row r="151" spans="4:17">
      <c r="E151" s="442"/>
      <c r="F151" s="442"/>
      <c r="G151" s="442"/>
      <c r="H151" s="442"/>
      <c r="I151" s="442"/>
      <c r="L151" s="442"/>
      <c r="M151" s="442"/>
      <c r="N151" s="442"/>
    </row>
    <row r="152" spans="4:17" ht="61" customHeight="1">
      <c r="E152" s="442"/>
      <c r="F152" s="442"/>
      <c r="G152" s="442"/>
      <c r="H152" s="442"/>
      <c r="I152" s="442"/>
      <c r="L152" s="442"/>
      <c r="M152" s="442"/>
      <c r="N152" s="442"/>
    </row>
    <row r="153" spans="4:17" ht="68.25" customHeight="1">
      <c r="D153" s="515" t="str" cm="1">
        <f t="array" aca="1" ref="D153" ca="1">IFERROR(
  INDEX(
    tblStrings[],
    MATCH(
      1,
      (tblStrings[Cell]=SUBSTITUTE(CELL("adress",INDIRECT("RC",FALSE)),"$","")) *
      (tblStrings[Sheet]=AllStrings!$C$142),
      0
    ),
    MATCH(Språkval, tblStrings[#Headers], 0)
  ),
)</f>
        <v>Summering besparing/år</v>
      </c>
      <c r="E153" s="447"/>
      <c r="F153" s="447"/>
      <c r="G153" s="447"/>
      <c r="H153" s="447"/>
      <c r="I153" s="447"/>
      <c r="J153" s="447"/>
      <c r="K153" s="447"/>
      <c r="L153" s="450"/>
      <c r="M153" s="450"/>
      <c r="N153" s="450"/>
      <c r="O153" s="447"/>
      <c r="P153" s="447"/>
      <c r="Q153" s="447"/>
    </row>
    <row r="154" spans="4:17" ht="22" customHeight="1">
      <c r="D154" s="447"/>
      <c r="E154" s="447"/>
      <c r="F154" s="448"/>
      <c r="G154" s="447"/>
      <c r="H154" s="451"/>
      <c r="I154" s="451"/>
      <c r="J154" s="447"/>
      <c r="K154" s="451"/>
      <c r="L154" s="451"/>
      <c r="M154" s="450"/>
      <c r="N154" s="452"/>
      <c r="O154" s="452"/>
      <c r="P154" s="447"/>
      <c r="Q154" s="447"/>
    </row>
    <row r="155" spans="4:17" ht="69" customHeight="1">
      <c r="D155" s="690" t="str" cm="1">
        <f t="array" aca="1" ref="D155" ca="1">IFERROR(
  INDEX(
    tblStrings[],
    MATCH(
      1,
      (tblStrings[Cell]=SUBSTITUTE(CELL("adress",INDIRECT("RC",FALSE)),"$","")) *
      (tblStrings[Sheet]=AllStrings!$C$142),
      0
    ),
    MATCH(Språkval, tblStrings[#Headers], 0)
  ),
)</f>
        <v>Co2-fotavtryck</v>
      </c>
      <c r="E155" s="690"/>
      <c r="F155" s="447"/>
      <c r="G155" s="447"/>
      <c r="P155" s="447"/>
      <c r="Q155" s="447"/>
    </row>
    <row r="156" spans="4:17" ht="31">
      <c r="D156" s="517">
        <f ca="1">(Uträkningar!F12-Uträkningar!J12)*Förutsättningar!U24</f>
        <v>0</v>
      </c>
      <c r="E156" s="516" t="s">
        <v>337</v>
      </c>
      <c r="F156" s="447"/>
      <c r="G156" s="447"/>
      <c r="H156" s="461"/>
      <c r="I156" s="520"/>
      <c r="P156" s="447"/>
      <c r="Q156" s="447"/>
    </row>
    <row r="157" spans="4:17">
      <c r="D157" s="447"/>
      <c r="E157" s="447"/>
      <c r="F157" s="447"/>
      <c r="G157" s="447"/>
      <c r="H157" s="447"/>
      <c r="I157" s="447"/>
      <c r="J157" s="447"/>
      <c r="K157" s="451"/>
      <c r="L157" s="447"/>
      <c r="M157" s="447"/>
      <c r="N157" s="447"/>
      <c r="O157" s="447"/>
      <c r="P157" s="447"/>
      <c r="Q157" s="447"/>
    </row>
    <row r="158" spans="4:17" ht="47.25" customHeight="1">
      <c r="D158" s="690" t="str" cm="1">
        <f t="array" aca="1" ref="D158" ca="1">IFERROR(
  INDEX(
    tblStrings[],
    MATCH(
      1,
      (tblStrings[Cell]=SUBSTITUTE(CELL("adress",INDIRECT("RC",FALSE)),"$","")) *
      (tblStrings[Sheet]=AllStrings!$C$142),
      0
    ),
    MATCH(Språkval, tblStrings[#Headers], 0)
  ),
)</f>
        <v>Energiförbrukning</v>
      </c>
      <c r="E158" s="690"/>
      <c r="G158" s="453"/>
      <c r="H158" s="457"/>
      <c r="I158" s="448"/>
      <c r="J158" s="448"/>
      <c r="K158" s="457"/>
      <c r="L158" s="457"/>
      <c r="M158" s="457"/>
      <c r="N158" s="457"/>
      <c r="O158" s="448"/>
      <c r="P158" s="448"/>
      <c r="Q158" s="447"/>
    </row>
    <row r="159" spans="4:17" ht="26.25" customHeight="1">
      <c r="D159" s="518">
        <f ca="1">(Uträkningar!D12-Uträkningar!H12)</f>
        <v>0</v>
      </c>
      <c r="E159" s="488" t="s">
        <v>121</v>
      </c>
      <c r="G159" s="453"/>
      <c r="H159" s="463"/>
      <c r="I159" s="520"/>
      <c r="J159" s="448"/>
      <c r="K159" s="457"/>
      <c r="L159" s="457"/>
      <c r="M159" s="457"/>
      <c r="N159" s="457"/>
      <c r="O159" s="448"/>
      <c r="P159" s="448"/>
      <c r="Q159" s="447"/>
    </row>
    <row r="160" spans="4:17" ht="18" customHeight="1">
      <c r="D160" s="447"/>
      <c r="E160" s="447"/>
      <c r="F160" s="447"/>
      <c r="G160" s="453"/>
      <c r="H160" s="457"/>
      <c r="I160" s="448"/>
      <c r="J160" s="448"/>
      <c r="K160" s="457"/>
      <c r="L160" s="457"/>
      <c r="M160" s="457"/>
      <c r="N160" s="457"/>
      <c r="O160" s="448"/>
      <c r="P160" s="448"/>
      <c r="Q160" s="447"/>
    </row>
    <row r="161" spans="4:17" ht="40.5" customHeight="1">
      <c r="D161" s="691" t="str" cm="1">
        <f t="array" aca="1" ref="D161" ca="1">IFERROR(
  INDEX(
    tblStrings[],
    MATCH(
      1,
      (tblStrings[Cell]=SUBSTITUTE(CELL("adress",INDIRECT("RC",FALSE)),"$","")) *
      (tblStrings[Sheet]=AllStrings!$C$142),
      0
    ),
    MATCH(Språkval, tblStrings[#Headers], 0)
  ),
)</f>
        <v>Kostnadsbesparing</v>
      </c>
      <c r="E161" s="691"/>
      <c r="F161" s="448"/>
      <c r="G161" s="453"/>
      <c r="J161" s="454"/>
      <c r="K161" s="455"/>
      <c r="L161" s="454"/>
      <c r="M161" s="463"/>
      <c r="N161" s="514"/>
      <c r="O161" s="454"/>
      <c r="P161" s="448"/>
      <c r="Q161" s="447"/>
    </row>
    <row r="162" spans="4:17" ht="25.5" customHeight="1">
      <c r="D162" s="571">
        <f ca="1">R23</f>
        <v>0</v>
      </c>
      <c r="E162" s="490" t="str" cm="1">
        <f t="array" aca="1" ref="E162" ca="1">IFERROR(
  INDEX(
    tblStrings[],
    MATCH(
      1,
      (tblStrings[Cell]=SUBSTITUTE(CELL("adress",INDIRECT("RC",FALSE)),"$","")) *
      (tblStrings[Sheet]=AllStrings!$C$142),
      0
    ),
    MATCH(Språkval, tblStrings[#Headers], 0)
  ),
)</f>
        <v>SEK</v>
      </c>
      <c r="F162" s="447"/>
      <c r="G162" s="453"/>
      <c r="H162" s="458"/>
      <c r="I162" s="454"/>
      <c r="J162" s="454"/>
      <c r="K162" s="455"/>
      <c r="L162" s="455"/>
      <c r="M162" s="455"/>
      <c r="N162" s="455"/>
      <c r="O162" s="454"/>
      <c r="P162" s="448"/>
      <c r="Q162" s="447"/>
    </row>
    <row r="163" spans="4:17" ht="17" customHeight="1">
      <c r="D163" s="447"/>
      <c r="F163" s="447"/>
      <c r="G163" s="453"/>
      <c r="H163" s="458"/>
      <c r="I163" s="454"/>
      <c r="J163" s="454"/>
      <c r="K163" s="455"/>
      <c r="L163" s="455"/>
      <c r="M163" s="455"/>
      <c r="N163" s="455"/>
      <c r="O163" s="454"/>
      <c r="P163" s="448"/>
      <c r="Q163" s="447"/>
    </row>
    <row r="164" spans="4:17" ht="24" customHeight="1">
      <c r="D164" s="447"/>
      <c r="E164" s="447"/>
      <c r="F164" s="447"/>
      <c r="G164" s="453"/>
      <c r="H164" s="461"/>
      <c r="I164" s="455"/>
      <c r="J164" s="454"/>
      <c r="K164" s="455"/>
      <c r="L164" s="454"/>
      <c r="O164" s="454"/>
      <c r="P164" s="448"/>
      <c r="Q164" s="447"/>
    </row>
    <row r="165" spans="4:17" ht="17" customHeight="1">
      <c r="D165" s="447"/>
      <c r="E165" s="447"/>
      <c r="F165" s="447"/>
      <c r="G165" s="453"/>
      <c r="H165" s="458"/>
      <c r="I165" s="454"/>
      <c r="J165" s="454"/>
      <c r="K165" s="455"/>
      <c r="L165" s="455"/>
      <c r="M165" s="448"/>
      <c r="N165" s="448"/>
      <c r="O165" s="454"/>
      <c r="P165" s="448"/>
      <c r="Q165" s="447"/>
    </row>
    <row r="166" spans="4:17" ht="14.25" customHeight="1">
      <c r="D166" s="447"/>
      <c r="E166" s="447"/>
      <c r="F166" s="447"/>
      <c r="G166" s="453"/>
      <c r="H166" s="458"/>
      <c r="I166" s="454"/>
      <c r="J166" s="454"/>
      <c r="K166" s="455"/>
      <c r="L166" s="455"/>
      <c r="M166" s="455"/>
      <c r="N166" s="455"/>
      <c r="O166" s="454"/>
      <c r="P166" s="448"/>
      <c r="Q166" s="447"/>
    </row>
    <row r="167" spans="4:17" ht="21.75" customHeight="1">
      <c r="D167" s="447"/>
      <c r="E167" s="447"/>
      <c r="F167" s="447"/>
      <c r="G167" s="453"/>
      <c r="H167" s="462"/>
      <c r="I167" s="454"/>
      <c r="J167" s="454"/>
      <c r="K167" s="455"/>
      <c r="L167" s="454"/>
      <c r="M167" s="461"/>
      <c r="N167" s="454"/>
      <c r="O167" s="454"/>
      <c r="P167" s="448"/>
      <c r="Q167" s="447"/>
    </row>
    <row r="168" spans="4:17" ht="15" customHeight="1">
      <c r="D168" s="447"/>
      <c r="E168" s="447"/>
      <c r="F168" s="447"/>
      <c r="G168" s="453"/>
      <c r="H168" s="450"/>
      <c r="I168" s="447"/>
      <c r="J168" s="447"/>
      <c r="K168" s="450"/>
      <c r="L168" s="450"/>
      <c r="M168" s="447"/>
      <c r="N168" s="447"/>
      <c r="O168" s="447"/>
      <c r="P168" s="447"/>
      <c r="Q168" s="447"/>
    </row>
    <row r="169" spans="4:17">
      <c r="G169" s="444"/>
      <c r="H169" s="442"/>
      <c r="K169" s="442"/>
      <c r="L169" s="442"/>
      <c r="M169" s="442"/>
      <c r="N169" s="442"/>
    </row>
    <row r="170" spans="4:17" ht="140" customHeight="1">
      <c r="K170" s="442"/>
      <c r="L170" s="442"/>
      <c r="M170" s="442"/>
      <c r="N170" s="442"/>
    </row>
    <row r="171" spans="4:17" ht="136.5" customHeight="1">
      <c r="D171" s="515" t="s">
        <v>340</v>
      </c>
      <c r="E171" s="447"/>
      <c r="F171" s="447"/>
      <c r="G171" s="453"/>
      <c r="H171" s="450"/>
      <c r="I171" s="447"/>
      <c r="J171" s="447"/>
      <c r="K171" s="450"/>
      <c r="L171" s="450"/>
      <c r="M171" s="450"/>
      <c r="N171" s="450"/>
      <c r="O171" s="447"/>
      <c r="P171" s="447"/>
    </row>
    <row r="172" spans="4:17" ht="250.5" customHeight="1">
      <c r="D172" s="692" t="s">
        <v>341</v>
      </c>
      <c r="E172" s="692"/>
      <c r="F172" s="692"/>
      <c r="G172" s="692"/>
      <c r="H172" s="692"/>
      <c r="I172" s="692"/>
      <c r="J172" s="692"/>
      <c r="K172" s="692"/>
      <c r="L172" s="692"/>
      <c r="M172" s="519"/>
      <c r="N172" s="519"/>
      <c r="O172" s="519"/>
      <c r="P172" s="519"/>
    </row>
    <row r="173" spans="4:17">
      <c r="G173" s="444"/>
      <c r="H173" s="442"/>
      <c r="K173" s="442"/>
      <c r="L173" s="442"/>
      <c r="M173" s="442"/>
      <c r="N173" s="442"/>
    </row>
    <row r="174" spans="4:17">
      <c r="G174" s="444"/>
      <c r="H174" s="442"/>
    </row>
    <row r="176" spans="4:17">
      <c r="G176" s="442"/>
      <c r="H176" s="442"/>
      <c r="I176" s="442"/>
      <c r="J176" s="442"/>
    </row>
    <row r="177" spans="6:10">
      <c r="I177" s="442"/>
      <c r="J177" s="442"/>
    </row>
    <row r="178" spans="6:10">
      <c r="G178" s="442"/>
    </row>
    <row r="179" spans="6:10">
      <c r="F179" s="442"/>
      <c r="I179" s="442"/>
      <c r="J179" s="442"/>
    </row>
    <row r="180" spans="6:10">
      <c r="F180" s="442"/>
      <c r="G180" s="442"/>
      <c r="H180" s="442"/>
      <c r="I180" s="442"/>
      <c r="J180" s="442"/>
    </row>
    <row r="181" spans="6:10">
      <c r="F181" s="442"/>
      <c r="G181" s="442"/>
      <c r="H181" s="442"/>
      <c r="I181" s="442"/>
      <c r="J181" s="442"/>
    </row>
    <row r="182" spans="6:10">
      <c r="F182" s="442"/>
      <c r="G182" s="442"/>
      <c r="H182" s="442"/>
      <c r="I182" s="442"/>
      <c r="J182" s="442"/>
    </row>
  </sheetData>
  <sheetProtection algorithmName="SHA-512" hashValue="JCsrRZZ3vbuvUpbeceDys00GyVwQuxL1V4UXWdcF6mbywFVmui4pSk5Cu9H3VtSDPYvcKA5QYura/qvd9kmxFw==" saltValue="bH1JZ+DfSpkbsoL/9TjiHg==" spinCount="100000" sheet="1" objects="1" scenarios="1" selectLockedCells="1" selectUnlockedCells="1"/>
  <mergeCells count="57">
    <mergeCell ref="D14:F14"/>
    <mergeCell ref="I21:K21"/>
    <mergeCell ref="L21:N21"/>
    <mergeCell ref="O21:Q21"/>
    <mergeCell ref="R21:T21"/>
    <mergeCell ref="D15:G15"/>
    <mergeCell ref="D16:F16"/>
    <mergeCell ref="D18:H18"/>
    <mergeCell ref="D19:H19"/>
    <mergeCell ref="D11:E11"/>
    <mergeCell ref="F11:L11"/>
    <mergeCell ref="D12:E12"/>
    <mergeCell ref="F12:L12"/>
    <mergeCell ref="D13:E13"/>
    <mergeCell ref="F13:L13"/>
    <mergeCell ref="U21:W21"/>
    <mergeCell ref="U24:W24"/>
    <mergeCell ref="I25:K25"/>
    <mergeCell ref="L25:N25"/>
    <mergeCell ref="O25:Q25"/>
    <mergeCell ref="R25:T25"/>
    <mergeCell ref="U25:W25"/>
    <mergeCell ref="U22:W22"/>
    <mergeCell ref="I23:K23"/>
    <mergeCell ref="L23:N23"/>
    <mergeCell ref="O23:Q23"/>
    <mergeCell ref="R23:T23"/>
    <mergeCell ref="U23:W23"/>
    <mergeCell ref="R27:T27"/>
    <mergeCell ref="R22:T22"/>
    <mergeCell ref="D7:T8"/>
    <mergeCell ref="U28:W28"/>
    <mergeCell ref="I29:K29"/>
    <mergeCell ref="L29:N29"/>
    <mergeCell ref="O29:Q29"/>
    <mergeCell ref="R29:T29"/>
    <mergeCell ref="U29:W29"/>
    <mergeCell ref="I28:K28"/>
    <mergeCell ref="L28:N28"/>
    <mergeCell ref="O28:Q28"/>
    <mergeCell ref="R28:T28"/>
    <mergeCell ref="U27:W27"/>
    <mergeCell ref="I24:K24"/>
    <mergeCell ref="R24:T24"/>
    <mergeCell ref="O27:Q27"/>
    <mergeCell ref="I22:K22"/>
    <mergeCell ref="L22:N22"/>
    <mergeCell ref="O22:Q22"/>
    <mergeCell ref="L24:N24"/>
    <mergeCell ref="O24:Q24"/>
    <mergeCell ref="D158:E158"/>
    <mergeCell ref="D161:E161"/>
    <mergeCell ref="D172:L172"/>
    <mergeCell ref="D27:H27"/>
    <mergeCell ref="I27:K27"/>
    <mergeCell ref="L27:N27"/>
    <mergeCell ref="D155:E155"/>
  </mergeCells>
  <dataValidations disablePrompts="1" count="1">
    <dataValidation allowBlank="1" showInputMessage="1" showErrorMessage="1" prompt="Markera cell till vänster för att välja pris i dropdown-menyn" sqref="I16" xr:uid="{3F821FC9-5B9C-4663-B03C-99CD9F528175}"/>
  </dataValidations>
  <pageMargins left="0.33611111111111114" right="0.3392857142857143" top="0.75" bottom="0.75" header="0.3" footer="0.3"/>
  <pageSetup paperSize="9" scale="37" fitToHeight="0" orientation="portrait" r:id="rId1"/>
  <headerFooter>
    <oddHeader>&amp;L&amp;"KievitPro-Regular,Normal"&amp;20&amp;F&amp;R&amp;"KievitPro-Regular,Normal"&amp;20&amp;D</oddHeader>
    <oddFooter>&amp;L&amp;"KievitPro-Light,Normal"&amp;20Aura Light AB, Box 8, 598 21 Vimmerby, Sweden
info@auralight.com, www.auralight.com, Order +46 20-32 30 30&amp;C&amp;"KievitPro-Regular,Normal"&amp;9
&amp;P&amp;R&amp;G</oddFooter>
  </headerFooter>
  <rowBreaks count="3" manualBreakCount="3">
    <brk id="51" max="16383" man="1"/>
    <brk id="137" min="1" max="21" man="1"/>
    <brk id="197" min="1" max="21" man="1"/>
  </rowBreaks>
  <colBreaks count="1" manualBreakCount="1">
    <brk id="13" max="1048575" man="1"/>
  </colBreaks>
  <drawing r:id="rId2"/>
  <legacyDrawing r:id="rId3"/>
  <legacyDrawingHF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AC6A8-B5A6-4E76-B8FD-4F96B2F41437}">
  <dimension ref="A1:E16"/>
  <sheetViews>
    <sheetView workbookViewId="0">
      <selection activeCell="I18" sqref="I18"/>
    </sheetView>
  </sheetViews>
  <sheetFormatPr baseColWidth="10" defaultColWidth="8.83203125" defaultRowHeight="13"/>
  <cols>
    <col min="1" max="1" width="30.33203125" customWidth="1"/>
    <col min="2" max="2" width="9.5" customWidth="1"/>
    <col min="3" max="3" width="22.6640625" customWidth="1"/>
    <col min="4" max="4" width="15" customWidth="1"/>
  </cols>
  <sheetData>
    <row r="1" spans="1:5">
      <c r="A1" s="521" t="s">
        <v>342</v>
      </c>
      <c r="B1" s="521" t="s">
        <v>343</v>
      </c>
      <c r="C1" s="521" t="s">
        <v>344</v>
      </c>
      <c r="D1" s="521" t="s">
        <v>345</v>
      </c>
      <c r="E1" s="521" t="s">
        <v>346</v>
      </c>
    </row>
    <row r="2" spans="1:5">
      <c r="A2" t="s">
        <v>347</v>
      </c>
      <c r="B2" t="s">
        <v>348</v>
      </c>
      <c r="C2" t="s">
        <v>349</v>
      </c>
      <c r="D2" t="s">
        <v>350</v>
      </c>
      <c r="E2" t="s">
        <v>350</v>
      </c>
    </row>
    <row r="3" spans="1:5">
      <c r="A3" t="s">
        <v>351</v>
      </c>
    </row>
    <row r="6" spans="1:5">
      <c r="A6" s="341" t="s">
        <v>1641</v>
      </c>
      <c r="B6" t="str" cm="1">
        <f t="array" aca="1" ref="B6" ca="1">IFERROR(
  INDEX(
    tblStrings[],
    MATCH(
      1,
      (tblStrings[Cell]=SUBSTITUTE(CELL("adress",INDIRECT("RC",FALSE)),"$","")) *
      (tblStrings[Sheet]=AllStrings!$C$521),
      0
    ),
    MATCH(Språkval, tblStrings[#Headers], 0)
  ),
)</f>
        <v>Livskostnadskalkyl</v>
      </c>
    </row>
    <row r="7" spans="1:5">
      <c r="A7" s="341" t="s">
        <v>1687</v>
      </c>
      <c r="B7" t="str" cm="1">
        <f t="array" aca="1" ref="B7" ca="1">IFERROR(
  INDEX(
    tblStrings[],
    MATCH(
      1,
      (tblStrings[Cell]=SUBSTITUTE(CELL("adress",INDIRECT("RC",FALSE)),"$","")) *
      (tblStrings[Sheet]=AllStrings!$C$521),
      0
    ),
    MATCH(Språkval, tblStrings[#Headers], 0)
  ),
)</f>
        <v xml:space="preserve">Årlig besparing per rumstyp </v>
      </c>
    </row>
    <row r="8" spans="1:5">
      <c r="A8" s="341" t="s">
        <v>1687</v>
      </c>
      <c r="B8" t="str" cm="1">
        <f t="array" aca="1" ref="B8" ca="1">IFERROR(
  INDEX(
    tblStrings[],
    MATCH(
      1,
      (tblStrings[Cell]=SUBSTITUTE(CELL("adress",INDIRECT("RC",FALSE)),"$","")) *
      (tblStrings[Sheet]=AllStrings!$C$521),
      0
    ),
    MATCH(Språkval, tblStrings[#Headers], 0)
  ),
)</f>
        <v>Återbetalningstid</v>
      </c>
    </row>
    <row r="9" spans="1:5">
      <c r="A9" s="341" t="s">
        <v>1701</v>
      </c>
      <c r="B9" s="341" t="str" cm="1">
        <f t="array" aca="1" ref="B9" ca="1">IFERROR(
  INDEX(
    tblStrings[],
    MATCH(
      1,
      (tblStrings[Cell]=SUBSTITUTE(CELL("adress",INDIRECT("RC",FALSE)),"$","")) *
      (tblStrings[Sheet]=AllStrings!$C$521),
      0
    ),
    MATCH(Språkval, tblStrings[#Headers], 0)
  ),
)</f>
        <v>År</v>
      </c>
    </row>
    <row r="12" spans="1:5">
      <c r="B12" t="s">
        <v>409</v>
      </c>
      <c r="C12" s="341" t="s">
        <v>1707</v>
      </c>
      <c r="D12" s="341" t="s">
        <v>1705</v>
      </c>
    </row>
    <row r="13" spans="1:5">
      <c r="B13" t="s">
        <v>415</v>
      </c>
      <c r="C13">
        <v>0.2</v>
      </c>
      <c r="D13">
        <v>0.36</v>
      </c>
    </row>
    <row r="14" spans="1:5">
      <c r="B14" t="s">
        <v>410</v>
      </c>
      <c r="C14">
        <v>3</v>
      </c>
      <c r="D14">
        <v>0.02</v>
      </c>
    </row>
    <row r="15" spans="1:5">
      <c r="B15" t="s">
        <v>414</v>
      </c>
      <c r="C15">
        <v>0.35</v>
      </c>
      <c r="D15">
        <v>0.02</v>
      </c>
    </row>
    <row r="16" spans="1:5">
      <c r="B16" t="s">
        <v>1706</v>
      </c>
      <c r="C16">
        <v>0.25</v>
      </c>
      <c r="D16">
        <v>0.24199999999999999</v>
      </c>
    </row>
  </sheetData>
  <sheetProtection algorithmName="SHA-512" hashValue="RqnyOZNqcH77djoK7RuEnD3ahmshu6ctJVoxNnbszBdFxTrPXOKiH/SZid2pjnBEso0UFoqPi589DPn7t7dlyg==" saltValue="jGHTrxrMI7V5VXiFMrlMsg==" spinCount="100000" sheet="1" objects="1" scenarios="1"/>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6B951-10F0-4920-8A5B-5388591D76B4}">
  <sheetPr codeName="Blad11">
    <tabColor rgb="FF92D050"/>
  </sheetPr>
  <dimension ref="A1"/>
  <sheetViews>
    <sheetView workbookViewId="0">
      <selection activeCell="Z48" sqref="Z48"/>
    </sheetView>
  </sheetViews>
  <sheetFormatPr baseColWidth="10" defaultColWidth="10.83203125" defaultRowHeight="13"/>
  <cols>
    <col min="1" max="16384" width="10.83203125" style="169"/>
  </cols>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81441-F42C-44BC-BF47-C7DFCD084BF0}">
  <dimension ref="A1:G556"/>
  <sheetViews>
    <sheetView topLeftCell="A437" workbookViewId="0">
      <selection activeCell="B474" sqref="B474"/>
    </sheetView>
  </sheetViews>
  <sheetFormatPr baseColWidth="10" defaultColWidth="9.1640625" defaultRowHeight="15"/>
  <cols>
    <col min="1" max="1" width="45.5" style="527" bestFit="1" customWidth="1"/>
    <col min="2" max="2" width="60.6640625" style="527" customWidth="1"/>
    <col min="3" max="3" width="28.5" style="527" bestFit="1" customWidth="1"/>
    <col min="4" max="4" width="6.6640625" style="527" bestFit="1" customWidth="1"/>
    <col min="5" max="5" width="65.6640625" style="527" customWidth="1"/>
    <col min="6" max="6" width="80.6640625" style="536" customWidth="1"/>
    <col min="7" max="7" width="65.6640625" style="537" customWidth="1"/>
    <col min="8" max="16384" width="9.1640625" style="527"/>
  </cols>
  <sheetData>
    <row r="1" spans="1:7">
      <c r="A1" s="527" t="s">
        <v>411</v>
      </c>
      <c r="B1" s="528" t="s">
        <v>410</v>
      </c>
      <c r="C1" s="527" t="s">
        <v>412</v>
      </c>
      <c r="D1" s="527" t="s">
        <v>413</v>
      </c>
      <c r="E1" s="529" t="s">
        <v>414</v>
      </c>
      <c r="F1" s="530" t="s">
        <v>415</v>
      </c>
      <c r="G1" s="531" t="s">
        <v>416</v>
      </c>
    </row>
    <row r="2" spans="1:7" ht="16">
      <c r="A2" s="532" t="s">
        <v>417</v>
      </c>
      <c r="B2" s="533" t="s">
        <v>0</v>
      </c>
      <c r="C2" s="532" t="s">
        <v>418</v>
      </c>
      <c r="D2" s="532" t="s">
        <v>419</v>
      </c>
      <c r="F2" s="527"/>
      <c r="G2" s="527"/>
    </row>
    <row r="3" spans="1:7" ht="16">
      <c r="A3" s="532" t="s">
        <v>420</v>
      </c>
      <c r="B3" s="533" t="s">
        <v>1</v>
      </c>
      <c r="C3" s="532" t="s">
        <v>418</v>
      </c>
      <c r="D3" s="532" t="s">
        <v>421</v>
      </c>
      <c r="F3" s="527"/>
      <c r="G3" s="527"/>
    </row>
    <row r="4" spans="1:7" ht="16">
      <c r="A4" s="532" t="s">
        <v>422</v>
      </c>
      <c r="B4" s="533" t="s">
        <v>2</v>
      </c>
      <c r="C4" s="532" t="s">
        <v>418</v>
      </c>
      <c r="D4" s="532" t="s">
        <v>423</v>
      </c>
      <c r="F4" s="527"/>
      <c r="G4" s="527"/>
    </row>
    <row r="5" spans="1:7" ht="16">
      <c r="A5" s="532" t="s">
        <v>424</v>
      </c>
      <c r="B5" s="533" t="s">
        <v>3</v>
      </c>
      <c r="C5" s="532" t="s">
        <v>418</v>
      </c>
      <c r="D5" s="532" t="s">
        <v>425</v>
      </c>
      <c r="F5" s="527"/>
      <c r="G5" s="527"/>
    </row>
    <row r="6" spans="1:7" ht="16">
      <c r="A6" s="532" t="s">
        <v>4</v>
      </c>
      <c r="B6" s="533" t="s">
        <v>4</v>
      </c>
      <c r="C6" s="532" t="s">
        <v>418</v>
      </c>
      <c r="D6" s="532" t="s">
        <v>426</v>
      </c>
      <c r="F6" s="527"/>
      <c r="G6" s="527"/>
    </row>
    <row r="7" spans="1:7" ht="16">
      <c r="A7" s="532" t="s">
        <v>427</v>
      </c>
      <c r="B7" s="533" t="s">
        <v>5</v>
      </c>
      <c r="C7" s="532" t="s">
        <v>418</v>
      </c>
      <c r="D7" s="532" t="s">
        <v>428</v>
      </c>
      <c r="F7" s="527"/>
      <c r="G7" s="527"/>
    </row>
    <row r="8" spans="1:7" ht="16">
      <c r="A8" s="532" t="s">
        <v>6</v>
      </c>
      <c r="B8" s="533" t="s">
        <v>6</v>
      </c>
      <c r="C8" s="532" t="s">
        <v>418</v>
      </c>
      <c r="D8" s="532" t="s">
        <v>429</v>
      </c>
      <c r="F8" s="527"/>
      <c r="G8" s="527"/>
    </row>
    <row r="9" spans="1:7" ht="32">
      <c r="A9" s="532" t="s">
        <v>430</v>
      </c>
      <c r="B9" s="533" t="s">
        <v>431</v>
      </c>
      <c r="C9" s="532" t="s">
        <v>418</v>
      </c>
      <c r="D9" s="532" t="s">
        <v>432</v>
      </c>
      <c r="F9" s="527"/>
      <c r="G9" s="527"/>
    </row>
    <row r="10" spans="1:7" ht="176">
      <c r="A10" s="532" t="s">
        <v>433</v>
      </c>
      <c r="B10" s="533" t="s">
        <v>434</v>
      </c>
      <c r="C10" s="532" t="s">
        <v>418</v>
      </c>
      <c r="D10" s="532" t="s">
        <v>435</v>
      </c>
      <c r="F10" s="527"/>
      <c r="G10" s="527"/>
    </row>
    <row r="11" spans="1:7" ht="16">
      <c r="A11" s="532" t="s">
        <v>436</v>
      </c>
      <c r="B11" s="533" t="s">
        <v>437</v>
      </c>
      <c r="C11" s="532" t="s">
        <v>418</v>
      </c>
      <c r="D11" s="532" t="s">
        <v>438</v>
      </c>
      <c r="F11" s="527"/>
      <c r="G11" s="527"/>
    </row>
    <row r="12" spans="1:7" ht="96">
      <c r="A12" s="532" t="s">
        <v>439</v>
      </c>
      <c r="B12" s="533" t="s">
        <v>440</v>
      </c>
      <c r="C12" s="532" t="s">
        <v>418</v>
      </c>
      <c r="D12" s="532" t="s">
        <v>441</v>
      </c>
      <c r="F12" s="527"/>
      <c r="G12" s="527"/>
    </row>
    <row r="13" spans="1:7" ht="16">
      <c r="A13" s="532" t="s">
        <v>442</v>
      </c>
      <c r="B13" s="533" t="s">
        <v>11</v>
      </c>
      <c r="C13" s="532" t="s">
        <v>418</v>
      </c>
      <c r="D13" s="532" t="s">
        <v>443</v>
      </c>
      <c r="F13" s="527"/>
      <c r="G13" s="527"/>
    </row>
    <row r="14" spans="1:7" ht="16">
      <c r="A14" s="532" t="s">
        <v>444</v>
      </c>
      <c r="B14" s="533" t="s">
        <v>12</v>
      </c>
      <c r="C14" s="532" t="s">
        <v>418</v>
      </c>
      <c r="D14" s="532" t="s">
        <v>445</v>
      </c>
      <c r="F14" s="527"/>
      <c r="G14" s="527"/>
    </row>
    <row r="15" spans="1:7" ht="320">
      <c r="A15" s="532" t="s">
        <v>446</v>
      </c>
      <c r="B15" s="533" t="s">
        <v>447</v>
      </c>
      <c r="C15" s="532" t="s">
        <v>418</v>
      </c>
      <c r="D15" s="532" t="s">
        <v>448</v>
      </c>
      <c r="F15" s="527"/>
      <c r="G15" s="527"/>
    </row>
    <row r="16" spans="1:7" ht="64">
      <c r="A16" s="532" t="s">
        <v>449</v>
      </c>
      <c r="B16" s="533" t="s">
        <v>450</v>
      </c>
      <c r="C16" s="532" t="s">
        <v>418</v>
      </c>
      <c r="D16" s="532" t="s">
        <v>451</v>
      </c>
      <c r="F16" s="527"/>
      <c r="G16" s="527"/>
    </row>
    <row r="17" spans="1:7" ht="112">
      <c r="A17" s="532" t="s">
        <v>452</v>
      </c>
      <c r="B17" s="533" t="s">
        <v>453</v>
      </c>
      <c r="C17" s="532" t="s">
        <v>418</v>
      </c>
      <c r="D17" s="532" t="s">
        <v>454</v>
      </c>
      <c r="F17" s="527"/>
      <c r="G17" s="527"/>
    </row>
    <row r="18" spans="1:7" ht="16">
      <c r="A18" s="532" t="s">
        <v>455</v>
      </c>
      <c r="B18" s="533" t="s">
        <v>456</v>
      </c>
      <c r="C18" s="532" t="s">
        <v>418</v>
      </c>
      <c r="D18" s="532" t="s">
        <v>457</v>
      </c>
      <c r="F18" s="527"/>
      <c r="G18" s="527"/>
    </row>
    <row r="19" spans="1:7" ht="16">
      <c r="A19" s="532" t="s">
        <v>458</v>
      </c>
      <c r="B19" s="533" t="s">
        <v>459</v>
      </c>
      <c r="C19" s="532" t="s">
        <v>418</v>
      </c>
      <c r="D19" s="532" t="s">
        <v>460</v>
      </c>
      <c r="F19" s="527"/>
      <c r="G19" s="527"/>
    </row>
    <row r="20" spans="1:7" ht="409.6">
      <c r="A20" s="532" t="s">
        <v>461</v>
      </c>
      <c r="B20" s="533" t="s">
        <v>462</v>
      </c>
      <c r="C20" s="532" t="s">
        <v>418</v>
      </c>
      <c r="D20" s="532" t="s">
        <v>463</v>
      </c>
      <c r="F20" s="527"/>
      <c r="G20" s="527"/>
    </row>
    <row r="21" spans="1:7" ht="16">
      <c r="A21" s="532" t="s">
        <v>19</v>
      </c>
      <c r="B21" s="533" t="s">
        <v>19</v>
      </c>
      <c r="C21" s="532" t="s">
        <v>418</v>
      </c>
      <c r="D21" s="532" t="s">
        <v>464</v>
      </c>
      <c r="F21" s="527"/>
      <c r="G21" s="527"/>
    </row>
    <row r="22" spans="1:7" ht="80">
      <c r="A22" s="532" t="s">
        <v>465</v>
      </c>
      <c r="B22" s="533" t="s">
        <v>20</v>
      </c>
      <c r="C22" s="532" t="s">
        <v>418</v>
      </c>
      <c r="D22" s="532" t="s">
        <v>466</v>
      </c>
      <c r="F22" s="527"/>
      <c r="G22" s="527"/>
    </row>
    <row r="23" spans="1:7" ht="16">
      <c r="A23" s="534" t="s">
        <v>977</v>
      </c>
      <c r="B23" s="535" t="s">
        <v>159</v>
      </c>
      <c r="C23" s="534" t="s">
        <v>971</v>
      </c>
      <c r="D23" s="534" t="s">
        <v>978</v>
      </c>
      <c r="E23" s="527" t="s">
        <v>159</v>
      </c>
      <c r="F23" s="536" t="s">
        <v>979</v>
      </c>
      <c r="G23" s="540" t="s">
        <v>980</v>
      </c>
    </row>
    <row r="24" spans="1:7" ht="16">
      <c r="A24" s="534" t="s">
        <v>650</v>
      </c>
      <c r="B24" s="535" t="s">
        <v>83</v>
      </c>
      <c r="C24" s="534" t="s">
        <v>522</v>
      </c>
      <c r="D24" s="534" t="s">
        <v>651</v>
      </c>
      <c r="E24" s="527" t="s">
        <v>652</v>
      </c>
      <c r="F24" s="536" t="s">
        <v>653</v>
      </c>
      <c r="G24" s="537" t="s">
        <v>654</v>
      </c>
    </row>
    <row r="25" spans="1:7" ht="16">
      <c r="A25" s="534" t="s">
        <v>656</v>
      </c>
      <c r="B25" s="535" t="s">
        <v>85</v>
      </c>
      <c r="C25" s="534" t="s">
        <v>522</v>
      </c>
      <c r="D25" s="534" t="s">
        <v>657</v>
      </c>
      <c r="E25" s="527" t="s">
        <v>658</v>
      </c>
      <c r="F25" s="536" t="s">
        <v>659</v>
      </c>
      <c r="G25" s="537" t="s">
        <v>660</v>
      </c>
    </row>
    <row r="26" spans="1:7" ht="16">
      <c r="A26" s="534" t="s">
        <v>86</v>
      </c>
      <c r="B26" s="535" t="s">
        <v>86</v>
      </c>
      <c r="C26" s="534" t="s">
        <v>522</v>
      </c>
      <c r="D26" s="534" t="s">
        <v>661</v>
      </c>
      <c r="E26" s="527" t="s">
        <v>662</v>
      </c>
      <c r="F26" s="536" t="s">
        <v>663</v>
      </c>
      <c r="G26" s="537" t="s">
        <v>664</v>
      </c>
    </row>
    <row r="27" spans="1:7" s="532" customFormat="1" ht="16">
      <c r="A27" s="532" t="s">
        <v>25</v>
      </c>
      <c r="B27" s="533" t="s">
        <v>25</v>
      </c>
      <c r="C27" s="532" t="s">
        <v>467</v>
      </c>
      <c r="D27" s="532" t="s">
        <v>476</v>
      </c>
    </row>
    <row r="28" spans="1:7" ht="16">
      <c r="A28" s="534" t="s">
        <v>665</v>
      </c>
      <c r="B28" s="535" t="s">
        <v>87</v>
      </c>
      <c r="C28" s="534" t="s">
        <v>522</v>
      </c>
      <c r="D28" s="534" t="s">
        <v>666</v>
      </c>
      <c r="E28" s="527" t="s">
        <v>667</v>
      </c>
      <c r="F28" s="536" t="s">
        <v>668</v>
      </c>
      <c r="G28" s="537" t="s">
        <v>669</v>
      </c>
    </row>
    <row r="29" spans="1:7" ht="16">
      <c r="A29" s="534" t="s">
        <v>671</v>
      </c>
      <c r="B29" s="535" t="s">
        <v>89</v>
      </c>
      <c r="C29" s="534" t="s">
        <v>522</v>
      </c>
      <c r="D29" s="534" t="s">
        <v>672</v>
      </c>
      <c r="E29" s="527" t="s">
        <v>673</v>
      </c>
      <c r="F29" s="536" t="s">
        <v>674</v>
      </c>
      <c r="G29" s="537" t="s">
        <v>675</v>
      </c>
    </row>
    <row r="30" spans="1:7" s="532" customFormat="1" ht="16">
      <c r="A30" s="532" t="s">
        <v>28</v>
      </c>
      <c r="B30" s="533" t="s">
        <v>28</v>
      </c>
      <c r="C30" s="532" t="s">
        <v>467</v>
      </c>
      <c r="D30" s="532" t="s">
        <v>485</v>
      </c>
    </row>
    <row r="31" spans="1:7" ht="16">
      <c r="A31" s="534" t="s">
        <v>982</v>
      </c>
      <c r="B31" s="535" t="s">
        <v>160</v>
      </c>
      <c r="C31" s="534" t="s">
        <v>971</v>
      </c>
      <c r="D31" s="534" t="s">
        <v>672</v>
      </c>
      <c r="E31" s="527" t="s">
        <v>983</v>
      </c>
      <c r="F31" s="536" t="s">
        <v>984</v>
      </c>
      <c r="G31" s="537" t="s">
        <v>985</v>
      </c>
    </row>
    <row r="32" spans="1:7" s="532" customFormat="1" ht="16">
      <c r="A32" s="532" t="s">
        <v>30</v>
      </c>
      <c r="B32" s="533" t="s">
        <v>30</v>
      </c>
      <c r="C32" s="532" t="s">
        <v>467</v>
      </c>
      <c r="D32" s="532" t="s">
        <v>490</v>
      </c>
    </row>
    <row r="33" spans="1:7" s="532" customFormat="1" ht="16">
      <c r="A33" s="532" t="s">
        <v>31</v>
      </c>
      <c r="B33" s="533" t="s">
        <v>31</v>
      </c>
      <c r="C33" s="532" t="s">
        <v>467</v>
      </c>
      <c r="D33" s="532" t="s">
        <v>491</v>
      </c>
    </row>
    <row r="34" spans="1:7" ht="16">
      <c r="A34" s="534" t="s">
        <v>678</v>
      </c>
      <c r="B34" s="535" t="s">
        <v>92</v>
      </c>
      <c r="C34" s="534" t="s">
        <v>522</v>
      </c>
      <c r="D34" s="534" t="s">
        <v>679</v>
      </c>
      <c r="E34" s="527" t="s">
        <v>680</v>
      </c>
      <c r="F34" s="536" t="s">
        <v>681</v>
      </c>
      <c r="G34" s="537" t="s">
        <v>682</v>
      </c>
    </row>
    <row r="35" spans="1:7" ht="16">
      <c r="A35" s="534" t="s">
        <v>689</v>
      </c>
      <c r="B35" s="535" t="s">
        <v>94</v>
      </c>
      <c r="C35" s="534" t="s">
        <v>522</v>
      </c>
      <c r="D35" s="534" t="s">
        <v>690</v>
      </c>
      <c r="E35" s="527" t="s">
        <v>691</v>
      </c>
      <c r="F35" s="536" t="s">
        <v>692</v>
      </c>
      <c r="G35" s="537" t="s">
        <v>693</v>
      </c>
    </row>
    <row r="36" spans="1:7" s="532" customFormat="1" ht="16">
      <c r="A36" s="532" t="s">
        <v>34</v>
      </c>
      <c r="B36" s="533" t="s">
        <v>34</v>
      </c>
      <c r="C36" s="532" t="s">
        <v>467</v>
      </c>
      <c r="D36" s="532" t="s">
        <v>498</v>
      </c>
    </row>
    <row r="37" spans="1:7" ht="16">
      <c r="A37" s="534" t="s">
        <v>695</v>
      </c>
      <c r="B37" s="535" t="s">
        <v>96</v>
      </c>
      <c r="C37" s="534" t="s">
        <v>522</v>
      </c>
      <c r="D37" s="534" t="s">
        <v>696</v>
      </c>
      <c r="E37" s="527" t="s">
        <v>697</v>
      </c>
      <c r="F37" s="536" t="s">
        <v>698</v>
      </c>
      <c r="G37" s="537" t="s">
        <v>699</v>
      </c>
    </row>
    <row r="38" spans="1:7" s="532" customFormat="1" ht="16">
      <c r="A38" s="532" t="s">
        <v>36</v>
      </c>
      <c r="B38" s="533" t="s">
        <v>36</v>
      </c>
      <c r="C38" s="532" t="s">
        <v>467</v>
      </c>
      <c r="D38" s="532" t="s">
        <v>504</v>
      </c>
    </row>
    <row r="39" spans="1:7" ht="16">
      <c r="A39" s="534" t="s">
        <v>702</v>
      </c>
      <c r="B39" s="535" t="s">
        <v>98</v>
      </c>
      <c r="C39" s="534" t="s">
        <v>522</v>
      </c>
      <c r="D39" s="534" t="s">
        <v>703</v>
      </c>
      <c r="E39" s="527" t="s">
        <v>98</v>
      </c>
      <c r="F39" s="536" t="s">
        <v>704</v>
      </c>
      <c r="G39" s="537" t="s">
        <v>701</v>
      </c>
    </row>
    <row r="40" spans="1:7" ht="16">
      <c r="A40" s="534" t="s">
        <v>707</v>
      </c>
      <c r="B40" s="535" t="s">
        <v>100</v>
      </c>
      <c r="C40" s="534" t="s">
        <v>522</v>
      </c>
      <c r="D40" s="534" t="s">
        <v>708</v>
      </c>
      <c r="E40" s="527" t="s">
        <v>709</v>
      </c>
      <c r="F40" s="536" t="s">
        <v>710</v>
      </c>
      <c r="G40" s="537" t="s">
        <v>711</v>
      </c>
    </row>
    <row r="41" spans="1:7" s="532" customFormat="1" ht="16">
      <c r="A41" s="532" t="s">
        <v>39</v>
      </c>
      <c r="B41" s="533" t="s">
        <v>39</v>
      </c>
      <c r="C41" s="532" t="s">
        <v>467</v>
      </c>
      <c r="D41" s="532" t="s">
        <v>513</v>
      </c>
    </row>
    <row r="42" spans="1:7" ht="16">
      <c r="A42" s="534" t="s">
        <v>102</v>
      </c>
      <c r="B42" s="535" t="s">
        <v>102</v>
      </c>
      <c r="C42" s="534" t="s">
        <v>522</v>
      </c>
      <c r="D42" s="534" t="s">
        <v>713</v>
      </c>
      <c r="E42" s="527" t="s">
        <v>714</v>
      </c>
      <c r="F42" s="536" t="s">
        <v>715</v>
      </c>
      <c r="G42" s="537" t="s">
        <v>706</v>
      </c>
    </row>
    <row r="43" spans="1:7" ht="16">
      <c r="A43" s="534" t="s">
        <v>532</v>
      </c>
      <c r="B43" s="535" t="s">
        <v>44</v>
      </c>
      <c r="C43" s="534" t="s">
        <v>522</v>
      </c>
      <c r="D43" s="534" t="s">
        <v>533</v>
      </c>
      <c r="E43" s="527" t="s">
        <v>534</v>
      </c>
      <c r="F43" s="536" t="s">
        <v>535</v>
      </c>
      <c r="G43" s="537" t="s">
        <v>536</v>
      </c>
    </row>
    <row r="44" spans="1:7" ht="16">
      <c r="A44" s="534" t="s">
        <v>104</v>
      </c>
      <c r="B44" s="535" t="s">
        <v>104</v>
      </c>
      <c r="C44" s="534" t="s">
        <v>522</v>
      </c>
      <c r="D44" s="534" t="s">
        <v>718</v>
      </c>
      <c r="E44" s="527" t="s">
        <v>104</v>
      </c>
      <c r="F44" s="536" t="s">
        <v>719</v>
      </c>
      <c r="G44" s="539" t="s">
        <v>720</v>
      </c>
    </row>
    <row r="45" spans="1:7" ht="16">
      <c r="A45" s="534" t="s">
        <v>105</v>
      </c>
      <c r="B45" s="535" t="s">
        <v>105</v>
      </c>
      <c r="C45" s="534" t="s">
        <v>522</v>
      </c>
      <c r="D45" s="534" t="s">
        <v>721</v>
      </c>
      <c r="E45" s="527" t="s">
        <v>105</v>
      </c>
      <c r="F45" s="536" t="s">
        <v>722</v>
      </c>
      <c r="G45" s="539" t="s">
        <v>723</v>
      </c>
    </row>
    <row r="46" spans="1:7" ht="16">
      <c r="A46" s="534" t="s">
        <v>724</v>
      </c>
      <c r="B46" s="535" t="s">
        <v>106</v>
      </c>
      <c r="C46" s="534" t="s">
        <v>522</v>
      </c>
      <c r="D46" s="534" t="s">
        <v>725</v>
      </c>
      <c r="E46" s="527" t="s">
        <v>106</v>
      </c>
      <c r="F46" s="536" t="s">
        <v>726</v>
      </c>
      <c r="G46" s="537" t="s">
        <v>727</v>
      </c>
    </row>
    <row r="47" spans="1:7" ht="16">
      <c r="A47" s="534" t="s">
        <v>728</v>
      </c>
      <c r="B47" s="535" t="s">
        <v>107</v>
      </c>
      <c r="C47" s="534" t="s">
        <v>522</v>
      </c>
      <c r="D47" s="534" t="s">
        <v>729</v>
      </c>
      <c r="E47" s="527" t="s">
        <v>107</v>
      </c>
      <c r="F47" s="536" t="s">
        <v>730</v>
      </c>
      <c r="G47" s="537" t="s">
        <v>731</v>
      </c>
    </row>
    <row r="48" spans="1:7" ht="16">
      <c r="A48" s="534" t="s">
        <v>732</v>
      </c>
      <c r="B48" s="535" t="s">
        <v>108</v>
      </c>
      <c r="C48" s="534" t="s">
        <v>522</v>
      </c>
      <c r="D48" s="534" t="s">
        <v>733</v>
      </c>
      <c r="E48" s="527" t="s">
        <v>108</v>
      </c>
      <c r="F48" s="536" t="s">
        <v>734</v>
      </c>
      <c r="G48" s="537" t="s">
        <v>735</v>
      </c>
    </row>
    <row r="49" spans="1:7" ht="16">
      <c r="A49" s="534" t="s">
        <v>736</v>
      </c>
      <c r="B49" s="535" t="s">
        <v>109</v>
      </c>
      <c r="C49" s="534" t="s">
        <v>522</v>
      </c>
      <c r="D49" s="534" t="s">
        <v>737</v>
      </c>
      <c r="E49" s="527" t="s">
        <v>109</v>
      </c>
      <c r="F49" s="536" t="s">
        <v>738</v>
      </c>
      <c r="G49" s="537" t="s">
        <v>739</v>
      </c>
    </row>
    <row r="50" spans="1:7" ht="15.75" customHeight="1">
      <c r="A50" s="534" t="s">
        <v>740</v>
      </c>
      <c r="B50" s="535" t="s">
        <v>110</v>
      </c>
      <c r="C50" s="534" t="s">
        <v>522</v>
      </c>
      <c r="D50" s="534" t="s">
        <v>741</v>
      </c>
      <c r="E50" s="527" t="s">
        <v>110</v>
      </c>
      <c r="F50" s="536" t="s">
        <v>742</v>
      </c>
      <c r="G50" s="537" t="s">
        <v>743</v>
      </c>
    </row>
    <row r="51" spans="1:7" ht="16">
      <c r="A51" s="534" t="s">
        <v>744</v>
      </c>
      <c r="B51" s="535" t="s">
        <v>111</v>
      </c>
      <c r="C51" s="534" t="s">
        <v>522</v>
      </c>
      <c r="D51" s="534" t="s">
        <v>745</v>
      </c>
      <c r="E51" s="527" t="s">
        <v>111</v>
      </c>
      <c r="F51" s="536" t="s">
        <v>746</v>
      </c>
      <c r="G51" s="537" t="s">
        <v>747</v>
      </c>
    </row>
    <row r="52" spans="1:7" ht="16">
      <c r="A52" s="534" t="s">
        <v>748</v>
      </c>
      <c r="B52" s="535" t="s">
        <v>112</v>
      </c>
      <c r="C52" s="534" t="s">
        <v>522</v>
      </c>
      <c r="D52" s="534" t="s">
        <v>749</v>
      </c>
      <c r="E52" s="527" t="s">
        <v>112</v>
      </c>
      <c r="F52" s="536" t="s">
        <v>750</v>
      </c>
      <c r="G52" s="537" t="s">
        <v>751</v>
      </c>
    </row>
    <row r="53" spans="1:7" ht="16">
      <c r="A53" s="534" t="s">
        <v>752</v>
      </c>
      <c r="B53" s="535" t="s">
        <v>113</v>
      </c>
      <c r="C53" s="534" t="s">
        <v>522</v>
      </c>
      <c r="D53" s="534" t="s">
        <v>753</v>
      </c>
      <c r="E53" s="527" t="s">
        <v>113</v>
      </c>
      <c r="F53" s="536" t="s">
        <v>754</v>
      </c>
      <c r="G53" s="537" t="s">
        <v>755</v>
      </c>
    </row>
    <row r="54" spans="1:7" ht="16">
      <c r="A54" s="534" t="s">
        <v>756</v>
      </c>
      <c r="B54" s="535" t="s">
        <v>114</v>
      </c>
      <c r="C54" s="534" t="s">
        <v>522</v>
      </c>
      <c r="D54" s="534" t="s">
        <v>757</v>
      </c>
      <c r="E54" s="527" t="s">
        <v>114</v>
      </c>
      <c r="F54" s="536" t="s">
        <v>758</v>
      </c>
      <c r="G54" s="537" t="s">
        <v>759</v>
      </c>
    </row>
    <row r="55" spans="1:7" ht="16">
      <c r="A55" s="534" t="s">
        <v>760</v>
      </c>
      <c r="B55" s="535" t="s">
        <v>115</v>
      </c>
      <c r="C55" s="534" t="s">
        <v>522</v>
      </c>
      <c r="D55" s="534" t="s">
        <v>761</v>
      </c>
      <c r="E55" s="527" t="s">
        <v>115</v>
      </c>
      <c r="F55" s="536" t="s">
        <v>762</v>
      </c>
      <c r="G55" s="537" t="s">
        <v>763</v>
      </c>
    </row>
    <row r="56" spans="1:7" ht="16">
      <c r="A56" s="534" t="s">
        <v>764</v>
      </c>
      <c r="B56" s="535" t="s">
        <v>116</v>
      </c>
      <c r="C56" s="534" t="s">
        <v>522</v>
      </c>
      <c r="D56" s="534" t="s">
        <v>765</v>
      </c>
      <c r="E56" s="527" t="s">
        <v>766</v>
      </c>
      <c r="F56" s="536" t="s">
        <v>767</v>
      </c>
      <c r="G56" s="537" t="s">
        <v>768</v>
      </c>
    </row>
    <row r="57" spans="1:7" ht="16">
      <c r="A57" s="534" t="s">
        <v>769</v>
      </c>
      <c r="B57" s="535" t="s">
        <v>117</v>
      </c>
      <c r="C57" s="534" t="s">
        <v>522</v>
      </c>
      <c r="D57" s="534" t="s">
        <v>770</v>
      </c>
      <c r="E57" s="527" t="s">
        <v>771</v>
      </c>
      <c r="F57" s="536" t="s">
        <v>772</v>
      </c>
      <c r="G57" s="537" t="s">
        <v>773</v>
      </c>
    </row>
    <row r="58" spans="1:7" ht="16">
      <c r="A58" s="534" t="s">
        <v>774</v>
      </c>
      <c r="B58" s="535" t="s">
        <v>118</v>
      </c>
      <c r="C58" s="534" t="s">
        <v>522</v>
      </c>
      <c r="D58" s="534" t="s">
        <v>775</v>
      </c>
      <c r="E58" s="527" t="s">
        <v>776</v>
      </c>
      <c r="F58" s="536" t="s">
        <v>777</v>
      </c>
      <c r="G58" s="537" t="s">
        <v>778</v>
      </c>
    </row>
    <row r="59" spans="1:7" s="532" customFormat="1" ht="16">
      <c r="A59" s="532" t="s">
        <v>58</v>
      </c>
      <c r="B59" s="533" t="s">
        <v>58</v>
      </c>
      <c r="C59" s="532" t="s">
        <v>522</v>
      </c>
      <c r="D59" s="532" t="s">
        <v>583</v>
      </c>
    </row>
    <row r="60" spans="1:7" ht="16">
      <c r="A60" s="534" t="s">
        <v>119</v>
      </c>
      <c r="B60" s="535" t="s">
        <v>119</v>
      </c>
      <c r="C60" s="534" t="s">
        <v>522</v>
      </c>
      <c r="D60" s="534" t="s">
        <v>779</v>
      </c>
      <c r="E60" s="527" t="s">
        <v>119</v>
      </c>
      <c r="F60" s="536" t="s">
        <v>780</v>
      </c>
      <c r="G60" s="537" t="s">
        <v>781</v>
      </c>
    </row>
    <row r="61" spans="1:7" s="532" customFormat="1" ht="16">
      <c r="A61" s="532" t="s">
        <v>60</v>
      </c>
      <c r="B61" s="533" t="s">
        <v>60</v>
      </c>
      <c r="C61" s="532" t="s">
        <v>522</v>
      </c>
      <c r="D61" s="532" t="s">
        <v>589</v>
      </c>
    </row>
    <row r="62" spans="1:7" ht="16">
      <c r="A62" s="534" t="s">
        <v>537</v>
      </c>
      <c r="B62" s="535" t="s">
        <v>45</v>
      </c>
      <c r="C62" s="534" t="s">
        <v>522</v>
      </c>
      <c r="D62" s="534" t="s">
        <v>538</v>
      </c>
      <c r="E62" s="527" t="s">
        <v>539</v>
      </c>
      <c r="F62" s="536" t="s">
        <v>540</v>
      </c>
      <c r="G62" s="537" t="s">
        <v>541</v>
      </c>
    </row>
    <row r="63" spans="1:7" ht="32">
      <c r="A63" s="534" t="s">
        <v>972</v>
      </c>
      <c r="B63" s="542" t="s">
        <v>973</v>
      </c>
      <c r="C63" s="534" t="s">
        <v>971</v>
      </c>
      <c r="D63" s="534" t="s">
        <v>538</v>
      </c>
      <c r="E63" s="527" t="s">
        <v>974</v>
      </c>
      <c r="F63" s="543" t="s">
        <v>975</v>
      </c>
      <c r="G63" s="544" t="s">
        <v>976</v>
      </c>
    </row>
    <row r="64" spans="1:7" s="532" customFormat="1" ht="16">
      <c r="A64" s="532" t="s">
        <v>63</v>
      </c>
      <c r="B64" s="533" t="s">
        <v>63</v>
      </c>
      <c r="C64" s="532" t="s">
        <v>522</v>
      </c>
      <c r="D64" s="532" t="s">
        <v>451</v>
      </c>
    </row>
    <row r="65" spans="1:7" ht="16">
      <c r="A65" s="534" t="s">
        <v>120</v>
      </c>
      <c r="B65" s="535" t="s">
        <v>120</v>
      </c>
      <c r="C65" s="534" t="s">
        <v>522</v>
      </c>
      <c r="D65" s="534" t="s">
        <v>782</v>
      </c>
      <c r="E65" s="527" t="s">
        <v>783</v>
      </c>
      <c r="F65" s="536" t="s">
        <v>784</v>
      </c>
      <c r="G65" s="537" t="s">
        <v>785</v>
      </c>
    </row>
    <row r="66" spans="1:7" s="532" customFormat="1" ht="16">
      <c r="A66" s="532" t="s">
        <v>65</v>
      </c>
      <c r="B66" s="533" t="s">
        <v>65</v>
      </c>
      <c r="C66" s="532" t="s">
        <v>522</v>
      </c>
      <c r="D66" s="532" t="s">
        <v>457</v>
      </c>
    </row>
    <row r="67" spans="1:7" ht="16">
      <c r="A67" s="534" t="s">
        <v>46</v>
      </c>
      <c r="B67" s="535" t="s">
        <v>46</v>
      </c>
      <c r="C67" s="534" t="s">
        <v>522</v>
      </c>
      <c r="D67" s="534" t="s">
        <v>542</v>
      </c>
      <c r="E67" s="527" t="s">
        <v>543</v>
      </c>
      <c r="F67" s="536" t="s">
        <v>544</v>
      </c>
      <c r="G67" s="537" t="s">
        <v>545</v>
      </c>
    </row>
    <row r="68" spans="1:7" ht="16">
      <c r="A68" s="534" t="s">
        <v>788</v>
      </c>
      <c r="B68" s="535" t="s">
        <v>122</v>
      </c>
      <c r="C68" s="534" t="s">
        <v>522</v>
      </c>
      <c r="D68" s="534" t="s">
        <v>789</v>
      </c>
      <c r="E68" s="527" t="s">
        <v>790</v>
      </c>
      <c r="F68" s="536" t="s">
        <v>791</v>
      </c>
      <c r="G68" s="537" t="s">
        <v>787</v>
      </c>
    </row>
    <row r="69" spans="1:7" s="532" customFormat="1" ht="16">
      <c r="A69" s="532" t="s">
        <v>68</v>
      </c>
      <c r="B69" s="533" t="s">
        <v>68</v>
      </c>
      <c r="C69" s="532" t="s">
        <v>522</v>
      </c>
      <c r="D69" s="532" t="s">
        <v>607</v>
      </c>
    </row>
    <row r="70" spans="1:7" ht="16">
      <c r="A70" s="534" t="s">
        <v>795</v>
      </c>
      <c r="B70" s="535" t="s">
        <v>124</v>
      </c>
      <c r="C70" s="534" t="s">
        <v>522</v>
      </c>
      <c r="D70" s="534" t="s">
        <v>796</v>
      </c>
      <c r="E70" s="527" t="s">
        <v>797</v>
      </c>
      <c r="F70" s="536" t="s">
        <v>798</v>
      </c>
      <c r="G70" s="537" t="s">
        <v>799</v>
      </c>
    </row>
    <row r="71" spans="1:7" s="532" customFormat="1" ht="16">
      <c r="A71" s="532" t="s">
        <v>71</v>
      </c>
      <c r="B71" s="533" t="s">
        <v>71</v>
      </c>
      <c r="C71" s="532" t="s">
        <v>522</v>
      </c>
      <c r="D71" s="532" t="s">
        <v>613</v>
      </c>
    </row>
    <row r="72" spans="1:7" ht="16">
      <c r="A72" s="534" t="s">
        <v>800</v>
      </c>
      <c r="B72" s="535" t="s">
        <v>125</v>
      </c>
      <c r="C72" s="534" t="s">
        <v>522</v>
      </c>
      <c r="D72" s="534" t="s">
        <v>801</v>
      </c>
      <c r="E72" s="527" t="s">
        <v>802</v>
      </c>
      <c r="F72" s="536" t="s">
        <v>803</v>
      </c>
      <c r="G72" s="537" t="s">
        <v>804</v>
      </c>
    </row>
    <row r="73" spans="1:7" ht="16">
      <c r="A73" s="534" t="s">
        <v>805</v>
      </c>
      <c r="B73" s="535" t="s">
        <v>126</v>
      </c>
      <c r="C73" s="534" t="s">
        <v>522</v>
      </c>
      <c r="D73" s="534" t="s">
        <v>806</v>
      </c>
      <c r="E73" s="527" t="s">
        <v>807</v>
      </c>
      <c r="F73" s="536" t="s">
        <v>808</v>
      </c>
      <c r="G73" s="537" t="s">
        <v>809</v>
      </c>
    </row>
    <row r="74" spans="1:7" s="532" customFormat="1" ht="16">
      <c r="A74" s="532" t="s">
        <v>73</v>
      </c>
      <c r="B74" s="533" t="s">
        <v>73</v>
      </c>
      <c r="C74" s="532" t="s">
        <v>522</v>
      </c>
      <c r="D74" s="532" t="s">
        <v>625</v>
      </c>
    </row>
    <row r="75" spans="1:7" ht="16">
      <c r="A75" s="534" t="s">
        <v>810</v>
      </c>
      <c r="B75" s="535" t="s">
        <v>127</v>
      </c>
      <c r="C75" s="534" t="s">
        <v>522</v>
      </c>
      <c r="D75" s="534" t="s">
        <v>811</v>
      </c>
      <c r="E75" s="527" t="s">
        <v>812</v>
      </c>
      <c r="F75" s="536" t="s">
        <v>813</v>
      </c>
      <c r="G75" s="537" t="s">
        <v>814</v>
      </c>
    </row>
    <row r="76" spans="1:7" s="532" customFormat="1" ht="16">
      <c r="A76" s="532" t="s">
        <v>75</v>
      </c>
      <c r="B76" s="533" t="s">
        <v>75</v>
      </c>
      <c r="C76" s="532" t="s">
        <v>522</v>
      </c>
      <c r="D76" s="532" t="s">
        <v>631</v>
      </c>
    </row>
    <row r="77" spans="1:7" ht="16">
      <c r="A77" s="534" t="s">
        <v>128</v>
      </c>
      <c r="B77" s="535" t="s">
        <v>128</v>
      </c>
      <c r="C77" s="534" t="s">
        <v>522</v>
      </c>
      <c r="D77" s="534" t="s">
        <v>815</v>
      </c>
      <c r="E77" s="527" t="s">
        <v>816</v>
      </c>
      <c r="F77" s="536" t="s">
        <v>817</v>
      </c>
      <c r="G77" s="540" t="s">
        <v>818</v>
      </c>
    </row>
    <row r="78" spans="1:7" s="532" customFormat="1" ht="16">
      <c r="A78" s="532" t="s">
        <v>77</v>
      </c>
      <c r="B78" s="533" t="s">
        <v>77</v>
      </c>
      <c r="C78" s="532" t="s">
        <v>522</v>
      </c>
      <c r="D78" s="532" t="s">
        <v>637</v>
      </c>
    </row>
    <row r="79" spans="1:7" ht="16">
      <c r="A79" s="534" t="s">
        <v>42</v>
      </c>
      <c r="B79" s="535" t="s">
        <v>42</v>
      </c>
      <c r="C79" s="534" t="s">
        <v>522</v>
      </c>
      <c r="D79" s="534" t="s">
        <v>523</v>
      </c>
      <c r="E79" s="527" t="s">
        <v>524</v>
      </c>
      <c r="F79" s="536" t="s">
        <v>525</v>
      </c>
      <c r="G79" s="537" t="s">
        <v>526</v>
      </c>
    </row>
    <row r="80" spans="1:7" s="532" customFormat="1" ht="16">
      <c r="A80" s="532" t="s">
        <v>79</v>
      </c>
      <c r="B80" s="533" t="s">
        <v>79</v>
      </c>
      <c r="C80" s="532" t="s">
        <v>522</v>
      </c>
      <c r="D80" s="532" t="s">
        <v>643</v>
      </c>
    </row>
    <row r="81" spans="1:7" ht="16">
      <c r="A81" s="534" t="s">
        <v>546</v>
      </c>
      <c r="B81" s="535" t="s">
        <v>49</v>
      </c>
      <c r="C81" s="534" t="s">
        <v>522</v>
      </c>
      <c r="D81" s="534" t="s">
        <v>547</v>
      </c>
      <c r="E81" s="527" t="s">
        <v>548</v>
      </c>
      <c r="F81" s="536" t="s">
        <v>549</v>
      </c>
      <c r="G81" s="537" t="s">
        <v>550</v>
      </c>
    </row>
    <row r="82" spans="1:7" ht="16">
      <c r="A82" s="534" t="s">
        <v>819</v>
      </c>
      <c r="B82" s="535" t="s">
        <v>129</v>
      </c>
      <c r="C82" s="534" t="s">
        <v>522</v>
      </c>
      <c r="D82" s="534" t="s">
        <v>820</v>
      </c>
      <c r="E82" s="527" t="s">
        <v>821</v>
      </c>
      <c r="F82" s="536" t="s">
        <v>822</v>
      </c>
      <c r="G82" s="537" t="s">
        <v>823</v>
      </c>
    </row>
    <row r="83" spans="1:7" ht="16">
      <c r="A83" s="534" t="s">
        <v>986</v>
      </c>
      <c r="B83" s="535" t="s">
        <v>987</v>
      </c>
      <c r="C83" s="534" t="s">
        <v>971</v>
      </c>
      <c r="D83" s="534" t="s">
        <v>820</v>
      </c>
      <c r="E83" s="527" t="s">
        <v>988</v>
      </c>
      <c r="F83" s="536" t="s">
        <v>989</v>
      </c>
      <c r="G83" s="527" t="s">
        <v>990</v>
      </c>
    </row>
    <row r="84" spans="1:7" s="532" customFormat="1" ht="16">
      <c r="A84" s="532" t="s">
        <v>84</v>
      </c>
      <c r="B84" s="533" t="s">
        <v>84</v>
      </c>
      <c r="C84" s="532" t="s">
        <v>522</v>
      </c>
      <c r="D84" s="532" t="s">
        <v>655</v>
      </c>
    </row>
    <row r="85" spans="1:7" ht="16">
      <c r="A85" s="534" t="s">
        <v>824</v>
      </c>
      <c r="B85" s="535" t="s">
        <v>130</v>
      </c>
      <c r="C85" s="534" t="s">
        <v>522</v>
      </c>
      <c r="D85" s="534" t="s">
        <v>825</v>
      </c>
      <c r="E85" s="527" t="s">
        <v>826</v>
      </c>
      <c r="F85" s="536" t="s">
        <v>827</v>
      </c>
      <c r="G85" s="537" t="s">
        <v>828</v>
      </c>
    </row>
    <row r="86" spans="1:7" ht="16">
      <c r="A86" s="534" t="s">
        <v>829</v>
      </c>
      <c r="B86" s="535" t="s">
        <v>131</v>
      </c>
      <c r="C86" s="534" t="s">
        <v>522</v>
      </c>
      <c r="D86" s="534" t="s">
        <v>830</v>
      </c>
      <c r="E86" s="527" t="s">
        <v>831</v>
      </c>
      <c r="F86" s="536" t="s">
        <v>832</v>
      </c>
      <c r="G86" s="537" t="s">
        <v>833</v>
      </c>
    </row>
    <row r="87" spans="1:7" ht="16">
      <c r="A87" s="534" t="s">
        <v>834</v>
      </c>
      <c r="B87" s="535" t="s">
        <v>132</v>
      </c>
      <c r="C87" s="534" t="s">
        <v>522</v>
      </c>
      <c r="D87" s="534" t="s">
        <v>835</v>
      </c>
      <c r="E87" s="527" t="s">
        <v>836</v>
      </c>
      <c r="F87" s="536" t="s">
        <v>837</v>
      </c>
      <c r="G87" s="537" t="s">
        <v>838</v>
      </c>
    </row>
    <row r="88" spans="1:7" s="532" customFormat="1" ht="16">
      <c r="A88" s="532" t="s">
        <v>88</v>
      </c>
      <c r="B88" s="533" t="s">
        <v>88</v>
      </c>
      <c r="C88" s="532" t="s">
        <v>522</v>
      </c>
      <c r="D88" s="532" t="s">
        <v>670</v>
      </c>
    </row>
    <row r="89" spans="1:7" ht="16">
      <c r="A89" s="534" t="s">
        <v>839</v>
      </c>
      <c r="B89" s="535" t="s">
        <v>133</v>
      </c>
      <c r="C89" s="534" t="s">
        <v>522</v>
      </c>
      <c r="D89" s="534" t="s">
        <v>840</v>
      </c>
      <c r="E89" s="527" t="s">
        <v>841</v>
      </c>
      <c r="F89" s="536" t="s">
        <v>842</v>
      </c>
      <c r="G89" s="537" t="s">
        <v>843</v>
      </c>
    </row>
    <row r="90" spans="1:7" ht="16">
      <c r="A90" s="534" t="s">
        <v>844</v>
      </c>
      <c r="B90" s="535" t="s">
        <v>134</v>
      </c>
      <c r="C90" s="534" t="s">
        <v>522</v>
      </c>
      <c r="D90" s="534" t="s">
        <v>845</v>
      </c>
      <c r="E90" s="527" t="s">
        <v>846</v>
      </c>
      <c r="F90" s="536" t="s">
        <v>847</v>
      </c>
      <c r="G90" s="537" t="s">
        <v>848</v>
      </c>
    </row>
    <row r="91" spans="1:7" ht="16">
      <c r="A91" s="534" t="s">
        <v>849</v>
      </c>
      <c r="B91" s="535" t="s">
        <v>135</v>
      </c>
      <c r="C91" s="534" t="s">
        <v>522</v>
      </c>
      <c r="D91" s="534" t="s">
        <v>850</v>
      </c>
      <c r="E91" s="527" t="s">
        <v>851</v>
      </c>
      <c r="F91" s="536" t="s">
        <v>852</v>
      </c>
      <c r="G91" s="537" t="s">
        <v>853</v>
      </c>
    </row>
    <row r="92" spans="1:7" s="532" customFormat="1" ht="16">
      <c r="A92" s="532" t="s">
        <v>91</v>
      </c>
      <c r="B92" s="533" t="s">
        <v>91</v>
      </c>
      <c r="C92" s="532" t="s">
        <v>522</v>
      </c>
      <c r="D92" s="532" t="s">
        <v>677</v>
      </c>
    </row>
    <row r="93" spans="1:7" ht="16">
      <c r="A93" s="534" t="s">
        <v>854</v>
      </c>
      <c r="B93" s="535" t="s">
        <v>136</v>
      </c>
      <c r="C93" s="534" t="s">
        <v>522</v>
      </c>
      <c r="D93" s="534" t="s">
        <v>855</v>
      </c>
      <c r="E93" s="527" t="s">
        <v>856</v>
      </c>
      <c r="F93" s="536" t="s">
        <v>857</v>
      </c>
      <c r="G93" s="537" t="s">
        <v>858</v>
      </c>
    </row>
    <row r="94" spans="1:7" ht="16">
      <c r="A94" s="534" t="s">
        <v>859</v>
      </c>
      <c r="B94" s="535" t="s">
        <v>137</v>
      </c>
      <c r="C94" s="534" t="s">
        <v>522</v>
      </c>
      <c r="D94" s="534" t="s">
        <v>860</v>
      </c>
      <c r="E94" s="527" t="s">
        <v>861</v>
      </c>
      <c r="F94" s="536" t="s">
        <v>862</v>
      </c>
      <c r="G94" s="537" t="s">
        <v>863</v>
      </c>
    </row>
    <row r="95" spans="1:7" s="532" customFormat="1">
      <c r="A95" s="532" t="e">
        <v>#DIV/0!</v>
      </c>
      <c r="B95" s="533" t="e">
        <v>#DIV/0!</v>
      </c>
      <c r="C95" s="532" t="s">
        <v>522</v>
      </c>
      <c r="D95" s="532" t="s">
        <v>688</v>
      </c>
    </row>
    <row r="96" spans="1:7" ht="16">
      <c r="A96" s="534" t="s">
        <v>864</v>
      </c>
      <c r="B96" s="535" t="s">
        <v>138</v>
      </c>
      <c r="C96" s="534" t="s">
        <v>522</v>
      </c>
      <c r="D96" s="534" t="s">
        <v>865</v>
      </c>
      <c r="E96" s="527" t="s">
        <v>866</v>
      </c>
      <c r="F96" s="536" t="s">
        <v>867</v>
      </c>
      <c r="G96" s="537" t="s">
        <v>868</v>
      </c>
    </row>
    <row r="97" spans="1:7" s="532" customFormat="1" ht="16">
      <c r="A97" s="532" t="s">
        <v>95</v>
      </c>
      <c r="B97" s="533" t="s">
        <v>95</v>
      </c>
      <c r="C97" s="532" t="s">
        <v>522</v>
      </c>
      <c r="D97" s="532" t="s">
        <v>694</v>
      </c>
    </row>
    <row r="98" spans="1:7" ht="16">
      <c r="A98" s="534" t="s">
        <v>551</v>
      </c>
      <c r="B98" s="535" t="s">
        <v>50</v>
      </c>
      <c r="C98" s="534" t="s">
        <v>522</v>
      </c>
      <c r="D98" s="534" t="s">
        <v>552</v>
      </c>
      <c r="E98" s="527" t="s">
        <v>553</v>
      </c>
      <c r="F98" s="538" t="s">
        <v>554</v>
      </c>
      <c r="G98" s="537" t="s">
        <v>555</v>
      </c>
    </row>
    <row r="99" spans="1:7" s="532" customFormat="1" ht="16">
      <c r="A99" s="532" t="s">
        <v>97</v>
      </c>
      <c r="B99" s="533" t="s">
        <v>97</v>
      </c>
      <c r="C99" s="532" t="s">
        <v>522</v>
      </c>
      <c r="D99" s="532" t="s">
        <v>700</v>
      </c>
      <c r="G99" s="532" t="s">
        <v>701</v>
      </c>
    </row>
    <row r="100" spans="1:7" ht="16">
      <c r="A100" s="534" t="s">
        <v>869</v>
      </c>
      <c r="B100" s="535" t="s">
        <v>139</v>
      </c>
      <c r="C100" s="534" t="s">
        <v>522</v>
      </c>
      <c r="D100" s="534" t="s">
        <v>870</v>
      </c>
      <c r="E100" s="527" t="s">
        <v>871</v>
      </c>
      <c r="F100" s="536" t="s">
        <v>872</v>
      </c>
      <c r="G100" s="537" t="s">
        <v>873</v>
      </c>
    </row>
    <row r="101" spans="1:7" s="532" customFormat="1" ht="16">
      <c r="A101" s="532" t="s">
        <v>99</v>
      </c>
      <c r="B101" s="533" t="s">
        <v>99</v>
      </c>
      <c r="C101" s="532" t="s">
        <v>522</v>
      </c>
      <c r="D101" s="532" t="s">
        <v>705</v>
      </c>
      <c r="G101" s="532" t="s">
        <v>706</v>
      </c>
    </row>
    <row r="102" spans="1:7" ht="16">
      <c r="A102" s="534" t="s">
        <v>874</v>
      </c>
      <c r="B102" s="535" t="s">
        <v>140</v>
      </c>
      <c r="C102" s="534" t="s">
        <v>522</v>
      </c>
      <c r="D102" s="534" t="s">
        <v>875</v>
      </c>
      <c r="E102" s="527" t="s">
        <v>876</v>
      </c>
      <c r="F102" s="536" t="s">
        <v>877</v>
      </c>
      <c r="G102" s="537" t="s">
        <v>878</v>
      </c>
    </row>
    <row r="103" spans="1:7" s="532" customFormat="1" ht="16">
      <c r="A103" s="532" t="s">
        <v>101</v>
      </c>
      <c r="B103" s="533" t="s">
        <v>101</v>
      </c>
      <c r="C103" s="532" t="s">
        <v>522</v>
      </c>
      <c r="D103" s="532" t="s">
        <v>712</v>
      </c>
    </row>
    <row r="104" spans="1:7" ht="16">
      <c r="A104" s="534" t="s">
        <v>879</v>
      </c>
      <c r="B104" s="535" t="s">
        <v>141</v>
      </c>
      <c r="C104" s="534" t="s">
        <v>522</v>
      </c>
      <c r="D104" s="534" t="s">
        <v>880</v>
      </c>
      <c r="E104" s="527" t="s">
        <v>881</v>
      </c>
      <c r="F104" s="536" t="s">
        <v>882</v>
      </c>
      <c r="G104" s="537" t="s">
        <v>883</v>
      </c>
    </row>
    <row r="105" spans="1:7" ht="16">
      <c r="A105" s="534" t="s">
        <v>884</v>
      </c>
      <c r="B105" s="535" t="s">
        <v>142</v>
      </c>
      <c r="C105" s="534" t="s">
        <v>522</v>
      </c>
      <c r="D105" s="534" t="s">
        <v>885</v>
      </c>
      <c r="E105" s="527" t="s">
        <v>886</v>
      </c>
      <c r="F105" s="536" t="s">
        <v>887</v>
      </c>
      <c r="G105" s="537" t="s">
        <v>888</v>
      </c>
    </row>
    <row r="106" spans="1:7" ht="16">
      <c r="A106" s="534" t="s">
        <v>894</v>
      </c>
      <c r="B106" s="535" t="s">
        <v>144</v>
      </c>
      <c r="C106" s="534" t="s">
        <v>522</v>
      </c>
      <c r="D106" s="534" t="s">
        <v>895</v>
      </c>
      <c r="E106" s="527" t="s">
        <v>896</v>
      </c>
      <c r="F106" s="536" t="s">
        <v>897</v>
      </c>
      <c r="G106" s="537" t="s">
        <v>898</v>
      </c>
    </row>
    <row r="107" spans="1:7" ht="16">
      <c r="A107" s="534" t="s">
        <v>899</v>
      </c>
      <c r="B107" s="535" t="s">
        <v>145</v>
      </c>
      <c r="C107" s="534" t="s">
        <v>522</v>
      </c>
      <c r="D107" s="534" t="s">
        <v>900</v>
      </c>
      <c r="E107" s="527" t="s">
        <v>901</v>
      </c>
      <c r="F107" s="536" t="s">
        <v>902</v>
      </c>
      <c r="G107" s="537" t="s">
        <v>903</v>
      </c>
    </row>
    <row r="108" spans="1:7" ht="16">
      <c r="A108" s="534" t="s">
        <v>904</v>
      </c>
      <c r="B108" s="535" t="s">
        <v>146</v>
      </c>
      <c r="C108" s="534" t="s">
        <v>522</v>
      </c>
      <c r="D108" s="534" t="s">
        <v>905</v>
      </c>
      <c r="E108" s="527" t="s">
        <v>906</v>
      </c>
      <c r="F108" s="536" t="s">
        <v>907</v>
      </c>
      <c r="G108" s="537" t="s">
        <v>908</v>
      </c>
    </row>
    <row r="109" spans="1:7" ht="16">
      <c r="A109" s="534" t="s">
        <v>407</v>
      </c>
      <c r="B109" s="535" t="s">
        <v>407</v>
      </c>
      <c r="C109" s="534" t="s">
        <v>522</v>
      </c>
      <c r="D109" s="534" t="s">
        <v>556</v>
      </c>
      <c r="E109" s="527" t="s">
        <v>557</v>
      </c>
      <c r="F109" s="536" t="s">
        <v>558</v>
      </c>
      <c r="G109" s="537" t="s">
        <v>559</v>
      </c>
    </row>
    <row r="110" spans="1:7" ht="16">
      <c r="A110" s="534" t="s">
        <v>909</v>
      </c>
      <c r="B110" s="535" t="s">
        <v>147</v>
      </c>
      <c r="C110" s="534" t="s">
        <v>522</v>
      </c>
      <c r="D110" s="534" t="s">
        <v>910</v>
      </c>
      <c r="E110" s="527" t="s">
        <v>911</v>
      </c>
      <c r="F110" s="536" t="s">
        <v>912</v>
      </c>
      <c r="G110" s="537" t="s">
        <v>913</v>
      </c>
    </row>
    <row r="111" spans="1:7" ht="16">
      <c r="A111" s="534" t="s">
        <v>914</v>
      </c>
      <c r="B111" s="535" t="s">
        <v>148</v>
      </c>
      <c r="C111" s="534" t="s">
        <v>522</v>
      </c>
      <c r="D111" s="534" t="s">
        <v>915</v>
      </c>
      <c r="E111" s="527" t="s">
        <v>916</v>
      </c>
      <c r="F111" s="536" t="s">
        <v>917</v>
      </c>
      <c r="G111" s="537" t="s">
        <v>918</v>
      </c>
    </row>
    <row r="112" spans="1:7" ht="16">
      <c r="A112" s="534" t="s">
        <v>919</v>
      </c>
      <c r="B112" s="535" t="s">
        <v>149</v>
      </c>
      <c r="C112" s="534" t="s">
        <v>522</v>
      </c>
      <c r="D112" s="534" t="s">
        <v>920</v>
      </c>
      <c r="E112" s="527" t="s">
        <v>921</v>
      </c>
      <c r="F112" s="536" t="s">
        <v>922</v>
      </c>
      <c r="G112" s="537" t="s">
        <v>923</v>
      </c>
    </row>
    <row r="113" spans="1:7" ht="16">
      <c r="A113" s="534" t="s">
        <v>924</v>
      </c>
      <c r="B113" s="535" t="s">
        <v>150</v>
      </c>
      <c r="C113" s="534" t="s">
        <v>522</v>
      </c>
      <c r="D113" s="534" t="s">
        <v>925</v>
      </c>
      <c r="E113" s="527" t="s">
        <v>926</v>
      </c>
      <c r="F113" s="536" t="s">
        <v>927</v>
      </c>
      <c r="G113" s="537" t="s">
        <v>928</v>
      </c>
    </row>
    <row r="114" spans="1:7" ht="16">
      <c r="A114" s="534" t="s">
        <v>929</v>
      </c>
      <c r="B114" s="535" t="s">
        <v>151</v>
      </c>
      <c r="C114" s="534" t="s">
        <v>522</v>
      </c>
      <c r="D114" s="534" t="s">
        <v>930</v>
      </c>
      <c r="E114" s="527" t="s">
        <v>931</v>
      </c>
      <c r="F114" s="536" t="s">
        <v>932</v>
      </c>
      <c r="G114" s="537" t="s">
        <v>933</v>
      </c>
    </row>
    <row r="115" spans="1:7" ht="16">
      <c r="A115" s="534" t="s">
        <v>934</v>
      </c>
      <c r="B115" s="535" t="s">
        <v>152</v>
      </c>
      <c r="C115" s="534" t="s">
        <v>522</v>
      </c>
      <c r="D115" s="534" t="s">
        <v>935</v>
      </c>
      <c r="E115" s="527" t="s">
        <v>936</v>
      </c>
      <c r="F115" s="536" t="s">
        <v>937</v>
      </c>
      <c r="G115" s="537" t="s">
        <v>938</v>
      </c>
    </row>
    <row r="116" spans="1:7" ht="16">
      <c r="A116" s="534" t="s">
        <v>939</v>
      </c>
      <c r="B116" s="535" t="s">
        <v>153</v>
      </c>
      <c r="C116" s="534" t="s">
        <v>522</v>
      </c>
      <c r="D116" s="534" t="s">
        <v>940</v>
      </c>
      <c r="E116" s="527" t="s">
        <v>941</v>
      </c>
      <c r="F116" s="536" t="s">
        <v>942</v>
      </c>
      <c r="G116" s="537" t="s">
        <v>943</v>
      </c>
    </row>
    <row r="117" spans="1:7" ht="16">
      <c r="A117" s="534" t="s">
        <v>944</v>
      </c>
      <c r="B117" s="535" t="s">
        <v>945</v>
      </c>
      <c r="C117" s="534" t="s">
        <v>522</v>
      </c>
      <c r="D117" s="534" t="s">
        <v>946</v>
      </c>
      <c r="E117" s="527" t="s">
        <v>947</v>
      </c>
      <c r="F117" s="536" t="s">
        <v>948</v>
      </c>
      <c r="G117" s="540" t="s">
        <v>949</v>
      </c>
    </row>
    <row r="118" spans="1:7" ht="16">
      <c r="A118" s="534" t="s">
        <v>950</v>
      </c>
      <c r="B118" s="535" t="s">
        <v>155</v>
      </c>
      <c r="C118" s="534" t="s">
        <v>522</v>
      </c>
      <c r="D118" s="534" t="s">
        <v>951</v>
      </c>
      <c r="E118" s="527" t="s">
        <v>952</v>
      </c>
      <c r="F118" s="536" t="s">
        <v>953</v>
      </c>
      <c r="G118" s="540" t="s">
        <v>954</v>
      </c>
    </row>
    <row r="119" spans="1:7" ht="16">
      <c r="A119" s="534" t="s">
        <v>560</v>
      </c>
      <c r="B119" s="535" t="s">
        <v>53</v>
      </c>
      <c r="C119" s="534" t="s">
        <v>522</v>
      </c>
      <c r="D119" s="534" t="s">
        <v>561</v>
      </c>
      <c r="E119" s="527" t="s">
        <v>562</v>
      </c>
      <c r="F119" s="536" t="s">
        <v>563</v>
      </c>
      <c r="G119" s="537" t="s">
        <v>564</v>
      </c>
    </row>
    <row r="120" spans="1:7" ht="16">
      <c r="A120" s="534" t="s">
        <v>566</v>
      </c>
      <c r="B120" s="535" t="s">
        <v>55</v>
      </c>
      <c r="C120" s="534" t="s">
        <v>522</v>
      </c>
      <c r="D120" s="534" t="s">
        <v>567</v>
      </c>
      <c r="E120" s="527" t="s">
        <v>568</v>
      </c>
      <c r="F120" s="536" t="s">
        <v>569</v>
      </c>
      <c r="G120" s="537" t="s">
        <v>570</v>
      </c>
    </row>
    <row r="121" spans="1:7" ht="16">
      <c r="A121" s="534" t="s">
        <v>57</v>
      </c>
      <c r="B121" s="535" t="s">
        <v>57</v>
      </c>
      <c r="C121" s="534" t="s">
        <v>522</v>
      </c>
      <c r="D121" s="534" t="s">
        <v>575</v>
      </c>
      <c r="E121" s="527" t="s">
        <v>576</v>
      </c>
      <c r="F121" s="536" t="s">
        <v>577</v>
      </c>
      <c r="G121" s="537" t="s">
        <v>578</v>
      </c>
    </row>
    <row r="122" spans="1:7" ht="17.25" customHeight="1">
      <c r="A122" s="534" t="s">
        <v>408</v>
      </c>
      <c r="B122" s="535" t="s">
        <v>408</v>
      </c>
      <c r="C122" s="534" t="s">
        <v>522</v>
      </c>
      <c r="D122" s="534" t="s">
        <v>579</v>
      </c>
      <c r="E122" s="527" t="s">
        <v>580</v>
      </c>
      <c r="F122" s="536" t="s">
        <v>581</v>
      </c>
      <c r="G122" s="537" t="s">
        <v>582</v>
      </c>
    </row>
    <row r="123" spans="1:7" s="532" customFormat="1" ht="16">
      <c r="A123" s="532" t="s">
        <v>121</v>
      </c>
      <c r="B123" s="533" t="s">
        <v>121</v>
      </c>
      <c r="C123" s="532" t="s">
        <v>522</v>
      </c>
      <c r="D123" s="532" t="s">
        <v>786</v>
      </c>
      <c r="G123" s="532" t="s">
        <v>787</v>
      </c>
    </row>
    <row r="124" spans="1:7" ht="16">
      <c r="A124" s="534" t="s">
        <v>584</v>
      </c>
      <c r="B124" s="535" t="s">
        <v>59</v>
      </c>
      <c r="C124" s="534" t="s">
        <v>522</v>
      </c>
      <c r="D124" s="534" t="s">
        <v>585</v>
      </c>
      <c r="E124" s="527" t="s">
        <v>586</v>
      </c>
      <c r="F124" s="536" t="s">
        <v>587</v>
      </c>
      <c r="G124" s="537" t="s">
        <v>588</v>
      </c>
    </row>
    <row r="125" spans="1:7" ht="16">
      <c r="A125" s="534" t="s">
        <v>61</v>
      </c>
      <c r="B125" s="535" t="s">
        <v>61</v>
      </c>
      <c r="C125" s="534" t="s">
        <v>522</v>
      </c>
      <c r="D125" s="534" t="s">
        <v>590</v>
      </c>
      <c r="E125" s="527" t="s">
        <v>591</v>
      </c>
      <c r="F125" s="536" t="s">
        <v>592</v>
      </c>
      <c r="G125" s="537" t="s">
        <v>593</v>
      </c>
    </row>
    <row r="126" spans="1:7" ht="16">
      <c r="A126" s="534" t="s">
        <v>595</v>
      </c>
      <c r="B126" s="535" t="s">
        <v>64</v>
      </c>
      <c r="C126" s="534" t="s">
        <v>522</v>
      </c>
      <c r="D126" s="534" t="s">
        <v>596</v>
      </c>
      <c r="E126" s="527" t="s">
        <v>597</v>
      </c>
      <c r="F126" s="536" t="s">
        <v>598</v>
      </c>
      <c r="G126" s="537" t="s">
        <v>599</v>
      </c>
    </row>
    <row r="127" spans="1:7" ht="16">
      <c r="A127" s="534" t="s">
        <v>600</v>
      </c>
      <c r="B127" s="535" t="s">
        <v>66</v>
      </c>
      <c r="C127" s="534" t="s">
        <v>522</v>
      </c>
      <c r="D127" s="534" t="s">
        <v>601</v>
      </c>
      <c r="E127" s="527" t="s">
        <v>602</v>
      </c>
      <c r="F127" s="536" t="s">
        <v>603</v>
      </c>
      <c r="G127" s="537" t="s">
        <v>604</v>
      </c>
    </row>
    <row r="128" spans="1:7" ht="16">
      <c r="A128" s="534" t="s">
        <v>608</v>
      </c>
      <c r="B128" s="535" t="s">
        <v>69</v>
      </c>
      <c r="C128" s="534" t="s">
        <v>522</v>
      </c>
      <c r="D128" s="534" t="s">
        <v>609</v>
      </c>
      <c r="E128" s="527" t="s">
        <v>610</v>
      </c>
      <c r="F128" s="536" t="s">
        <v>611</v>
      </c>
      <c r="G128" s="537" t="s">
        <v>612</v>
      </c>
    </row>
    <row r="129" spans="1:7" ht="16">
      <c r="A129" s="534" t="s">
        <v>614</v>
      </c>
      <c r="B129" s="535" t="s">
        <v>72</v>
      </c>
      <c r="C129" s="534" t="s">
        <v>522</v>
      </c>
      <c r="D129" s="534" t="s">
        <v>615</v>
      </c>
      <c r="E129" s="527" t="s">
        <v>616</v>
      </c>
      <c r="F129" s="536" t="s">
        <v>617</v>
      </c>
      <c r="G129" s="537" t="s">
        <v>618</v>
      </c>
    </row>
    <row r="130" spans="1:7" ht="16">
      <c r="A130" s="534" t="s">
        <v>626</v>
      </c>
      <c r="B130" s="535" t="s">
        <v>74</v>
      </c>
      <c r="C130" s="534" t="s">
        <v>522</v>
      </c>
      <c r="D130" s="534" t="s">
        <v>627</v>
      </c>
      <c r="E130" s="527" t="s">
        <v>628</v>
      </c>
      <c r="F130" s="536" t="s">
        <v>629</v>
      </c>
      <c r="G130" s="537" t="s">
        <v>630</v>
      </c>
    </row>
    <row r="131" spans="1:7" ht="16">
      <c r="A131" s="534" t="s">
        <v>632</v>
      </c>
      <c r="B131" s="535" t="s">
        <v>76</v>
      </c>
      <c r="C131" s="534" t="s">
        <v>522</v>
      </c>
      <c r="D131" s="534" t="s">
        <v>633</v>
      </c>
      <c r="E131" s="527" t="s">
        <v>634</v>
      </c>
      <c r="F131" s="536" t="s">
        <v>635</v>
      </c>
      <c r="G131" s="537" t="s">
        <v>636</v>
      </c>
    </row>
    <row r="132" spans="1:7" ht="16">
      <c r="A132" s="534" t="s">
        <v>638</v>
      </c>
      <c r="B132" s="535" t="s">
        <v>78</v>
      </c>
      <c r="C132" s="534" t="s">
        <v>522</v>
      </c>
      <c r="D132" s="534" t="s">
        <v>639</v>
      </c>
      <c r="E132" s="527" t="s">
        <v>640</v>
      </c>
      <c r="F132" s="536" t="s">
        <v>641</v>
      </c>
      <c r="G132" s="537" t="s">
        <v>642</v>
      </c>
    </row>
    <row r="133" spans="1:7" ht="16">
      <c r="A133" s="534" t="s">
        <v>80</v>
      </c>
      <c r="B133" s="535" t="s">
        <v>80</v>
      </c>
      <c r="C133" s="534" t="s">
        <v>522</v>
      </c>
      <c r="D133" s="534" t="s">
        <v>644</v>
      </c>
      <c r="E133" s="527" t="s">
        <v>645</v>
      </c>
      <c r="F133" s="536" t="s">
        <v>646</v>
      </c>
      <c r="G133" s="537" t="s">
        <v>647</v>
      </c>
    </row>
    <row r="134" spans="1:7" ht="16">
      <c r="A134" s="534" t="s">
        <v>1327</v>
      </c>
      <c r="B134" s="535" t="s">
        <v>333</v>
      </c>
      <c r="C134" s="534" t="s">
        <v>1283</v>
      </c>
      <c r="D134" s="534" t="s">
        <v>1328</v>
      </c>
      <c r="E134" s="527" t="s">
        <v>1329</v>
      </c>
      <c r="F134" s="536" t="s">
        <v>1330</v>
      </c>
      <c r="G134" s="527" t="s">
        <v>1331</v>
      </c>
    </row>
    <row r="135" spans="1:7" ht="16">
      <c r="A135" s="534" t="s">
        <v>1332</v>
      </c>
      <c r="B135" s="535" t="s">
        <v>334</v>
      </c>
      <c r="C135" s="534" t="s">
        <v>1283</v>
      </c>
      <c r="D135" s="534" t="s">
        <v>1333</v>
      </c>
      <c r="E135" s="527" t="s">
        <v>1334</v>
      </c>
      <c r="F135" s="536" t="s">
        <v>1335</v>
      </c>
      <c r="G135" s="527" t="s">
        <v>1336</v>
      </c>
    </row>
    <row r="136" spans="1:7" ht="16">
      <c r="A136" s="534" t="s">
        <v>1337</v>
      </c>
      <c r="B136" s="535" t="s">
        <v>335</v>
      </c>
      <c r="C136" s="534" t="s">
        <v>1283</v>
      </c>
      <c r="D136" s="534" t="s">
        <v>1338</v>
      </c>
      <c r="E136" s="527" t="s">
        <v>1339</v>
      </c>
      <c r="F136" s="536" t="s">
        <v>1340</v>
      </c>
      <c r="G136" s="527" t="s">
        <v>1341</v>
      </c>
    </row>
    <row r="137" spans="1:7" ht="16">
      <c r="A137" s="534" t="s">
        <v>336</v>
      </c>
      <c r="B137" s="535" t="s">
        <v>336</v>
      </c>
      <c r="C137" s="534" t="s">
        <v>1283</v>
      </c>
      <c r="D137" s="534" t="s">
        <v>1342</v>
      </c>
      <c r="E137" s="527" t="s">
        <v>1343</v>
      </c>
      <c r="F137" s="536" t="s">
        <v>1344</v>
      </c>
      <c r="G137" s="527" t="s">
        <v>1345</v>
      </c>
    </row>
    <row r="138" spans="1:7" ht="16">
      <c r="A138" s="534" t="s">
        <v>338</v>
      </c>
      <c r="B138" s="535" t="s">
        <v>338</v>
      </c>
      <c r="C138" s="534" t="s">
        <v>1283</v>
      </c>
      <c r="D138" s="534" t="s">
        <v>1350</v>
      </c>
      <c r="E138" s="527" t="s">
        <v>783</v>
      </c>
      <c r="F138" s="536" t="s">
        <v>1351</v>
      </c>
      <c r="G138" s="527" t="s">
        <v>785</v>
      </c>
    </row>
    <row r="139" spans="1:7" ht="16">
      <c r="A139" s="534" t="s">
        <v>339</v>
      </c>
      <c r="B139" s="535" t="s">
        <v>339</v>
      </c>
      <c r="C139" s="534" t="s">
        <v>1283</v>
      </c>
      <c r="D139" s="534" t="s">
        <v>1352</v>
      </c>
      <c r="E139" s="527" t="s">
        <v>1353</v>
      </c>
      <c r="F139" s="536" t="s">
        <v>1354</v>
      </c>
      <c r="G139" s="527" t="s">
        <v>1355</v>
      </c>
    </row>
    <row r="140" spans="1:7" ht="16">
      <c r="A140" s="534" t="s">
        <v>340</v>
      </c>
      <c r="B140" s="535" t="s">
        <v>340</v>
      </c>
      <c r="C140" s="534" t="s">
        <v>1283</v>
      </c>
      <c r="D140" s="534" t="s">
        <v>1358</v>
      </c>
      <c r="E140" s="527" t="s">
        <v>1359</v>
      </c>
      <c r="F140" s="536" t="s">
        <v>1360</v>
      </c>
      <c r="G140" s="527" t="s">
        <v>1361</v>
      </c>
    </row>
    <row r="141" spans="1:7" ht="128">
      <c r="A141" s="545" t="s">
        <v>1362</v>
      </c>
      <c r="B141" s="542" t="s">
        <v>341</v>
      </c>
      <c r="C141" s="545" t="s">
        <v>1283</v>
      </c>
      <c r="D141" s="545" t="s">
        <v>1363</v>
      </c>
      <c r="E141" s="542" t="s">
        <v>1364</v>
      </c>
      <c r="F141" s="543" t="s">
        <v>1365</v>
      </c>
      <c r="G141" s="542" t="s">
        <v>1366</v>
      </c>
    </row>
    <row r="142" spans="1:7" ht="16">
      <c r="A142" s="534" t="s">
        <v>1293</v>
      </c>
      <c r="B142" s="535" t="s">
        <v>1294</v>
      </c>
      <c r="C142" s="534" t="s">
        <v>1283</v>
      </c>
      <c r="D142" s="534" t="s">
        <v>1295</v>
      </c>
      <c r="E142" s="527" t="s">
        <v>1296</v>
      </c>
      <c r="F142" s="555" t="s">
        <v>1484</v>
      </c>
      <c r="G142" s="537" t="s">
        <v>1297</v>
      </c>
    </row>
    <row r="143" spans="1:7" ht="16">
      <c r="A143" s="534" t="s">
        <v>1316</v>
      </c>
      <c r="B143" s="535" t="s">
        <v>331</v>
      </c>
      <c r="C143" s="534" t="s">
        <v>1283</v>
      </c>
      <c r="D143" s="534" t="s">
        <v>1317</v>
      </c>
      <c r="E143" s="527" t="s">
        <v>1318</v>
      </c>
      <c r="F143" s="536" t="s">
        <v>1319</v>
      </c>
      <c r="G143" s="537" t="s">
        <v>1320</v>
      </c>
    </row>
    <row r="144" spans="1:7" ht="16">
      <c r="A144" s="534" t="s">
        <v>1322</v>
      </c>
      <c r="B144" s="535" t="s">
        <v>332</v>
      </c>
      <c r="C144" s="534" t="s">
        <v>1283</v>
      </c>
      <c r="D144" s="534" t="s">
        <v>1323</v>
      </c>
      <c r="E144" s="527" t="s">
        <v>1324</v>
      </c>
      <c r="F144" s="536" t="s">
        <v>1325</v>
      </c>
      <c r="G144" s="527" t="s">
        <v>1326</v>
      </c>
    </row>
    <row r="145" spans="1:7" ht="288">
      <c r="A145" s="545" t="s">
        <v>1281</v>
      </c>
      <c r="B145" s="542" t="s">
        <v>1282</v>
      </c>
      <c r="C145" s="545" t="s">
        <v>1283</v>
      </c>
      <c r="D145" s="545" t="s">
        <v>1284</v>
      </c>
      <c r="E145" s="542" t="s">
        <v>1285</v>
      </c>
      <c r="F145" s="543" t="s">
        <v>1286</v>
      </c>
      <c r="G145" s="546" t="s">
        <v>1287</v>
      </c>
    </row>
    <row r="146" spans="1:7" ht="16">
      <c r="A146" s="534" t="s">
        <v>1346</v>
      </c>
      <c r="B146" s="535" t="s">
        <v>1347</v>
      </c>
      <c r="C146" s="534" t="s">
        <v>1283</v>
      </c>
      <c r="D146" s="534" t="s">
        <v>1348</v>
      </c>
      <c r="E146" s="527" t="s">
        <v>1349</v>
      </c>
      <c r="F146" s="536" t="s">
        <v>1347</v>
      </c>
      <c r="G146" s="527" t="s">
        <v>1349</v>
      </c>
    </row>
    <row r="147" spans="1:7" ht="16">
      <c r="A147" s="534" t="s">
        <v>1356</v>
      </c>
      <c r="B147" s="568" t="s">
        <v>348</v>
      </c>
      <c r="C147" s="534" t="s">
        <v>1283</v>
      </c>
      <c r="D147" s="534" t="s">
        <v>1357</v>
      </c>
      <c r="E147" s="561" t="s">
        <v>349</v>
      </c>
      <c r="F147" s="556" t="s">
        <v>350</v>
      </c>
      <c r="G147" s="561" t="s">
        <v>348</v>
      </c>
    </row>
    <row r="148" spans="1:7" ht="16">
      <c r="A148" s="534" t="s">
        <v>527</v>
      </c>
      <c r="B148" s="535" t="s">
        <v>43</v>
      </c>
      <c r="C148" s="534" t="s">
        <v>522</v>
      </c>
      <c r="D148" s="534" t="s">
        <v>528</v>
      </c>
      <c r="E148" s="527" t="s">
        <v>529</v>
      </c>
      <c r="F148" s="536" t="s">
        <v>530</v>
      </c>
      <c r="G148" s="537" t="s">
        <v>531</v>
      </c>
    </row>
    <row r="149" spans="1:7" ht="16">
      <c r="A149" s="534" t="s">
        <v>90</v>
      </c>
      <c r="B149" s="535" t="s">
        <v>90</v>
      </c>
      <c r="C149" s="534" t="s">
        <v>522</v>
      </c>
      <c r="D149" s="534" t="s">
        <v>676</v>
      </c>
      <c r="E149" s="535" t="s">
        <v>90</v>
      </c>
      <c r="F149" s="556" t="s">
        <v>350</v>
      </c>
      <c r="G149" s="537" t="s">
        <v>348</v>
      </c>
    </row>
    <row r="150" spans="1:7" ht="16">
      <c r="A150" s="534" t="s">
        <v>683</v>
      </c>
      <c r="B150" s="535" t="s">
        <v>684</v>
      </c>
      <c r="C150" s="534" t="s">
        <v>522</v>
      </c>
      <c r="D150" s="534" t="s">
        <v>685</v>
      </c>
      <c r="E150" s="535" t="s">
        <v>684</v>
      </c>
      <c r="F150" s="536" t="s">
        <v>686</v>
      </c>
      <c r="G150" s="537" t="s">
        <v>687</v>
      </c>
    </row>
    <row r="151" spans="1:7" ht="16">
      <c r="A151" s="534" t="s">
        <v>103</v>
      </c>
      <c r="B151" s="535" t="s">
        <v>103</v>
      </c>
      <c r="C151" s="534" t="s">
        <v>522</v>
      </c>
      <c r="D151" s="534" t="s">
        <v>716</v>
      </c>
      <c r="E151" s="535" t="s">
        <v>103</v>
      </c>
      <c r="F151" s="555" t="s">
        <v>1344</v>
      </c>
      <c r="G151" s="539" t="s">
        <v>717</v>
      </c>
    </row>
    <row r="152" spans="1:7" ht="16">
      <c r="A152" s="534" t="s">
        <v>123</v>
      </c>
      <c r="B152" s="535" t="s">
        <v>123</v>
      </c>
      <c r="C152" s="534" t="s">
        <v>522</v>
      </c>
      <c r="D152" s="534" t="s">
        <v>792</v>
      </c>
      <c r="E152" s="535" t="s">
        <v>123</v>
      </c>
      <c r="F152" s="536" t="s">
        <v>793</v>
      </c>
      <c r="G152" s="537" t="s">
        <v>794</v>
      </c>
    </row>
    <row r="153" spans="1:7" ht="16">
      <c r="A153" s="534" t="s">
        <v>889</v>
      </c>
      <c r="B153" s="535" t="s">
        <v>890</v>
      </c>
      <c r="C153" s="534" t="s">
        <v>522</v>
      </c>
      <c r="D153" s="534" t="s">
        <v>891</v>
      </c>
      <c r="E153" s="535" t="s">
        <v>890</v>
      </c>
      <c r="F153" s="536" t="s">
        <v>892</v>
      </c>
      <c r="G153" s="537" t="s">
        <v>893</v>
      </c>
    </row>
    <row r="154" spans="1:7" ht="16">
      <c r="A154" s="534" t="s">
        <v>54</v>
      </c>
      <c r="B154" s="535" t="s">
        <v>54</v>
      </c>
      <c r="C154" s="534" t="s">
        <v>522</v>
      </c>
      <c r="D154" s="534" t="s">
        <v>438</v>
      </c>
      <c r="E154" s="527" t="s">
        <v>54</v>
      </c>
      <c r="F154" s="536" t="s">
        <v>54</v>
      </c>
      <c r="G154" s="537" t="s">
        <v>565</v>
      </c>
    </row>
    <row r="155" spans="1:7" ht="16">
      <c r="A155" s="534" t="s">
        <v>571</v>
      </c>
      <c r="B155" s="535" t="s">
        <v>571</v>
      </c>
      <c r="C155" s="534" t="s">
        <v>522</v>
      </c>
      <c r="D155" s="534" t="s">
        <v>441</v>
      </c>
      <c r="E155" s="527" t="s">
        <v>572</v>
      </c>
      <c r="F155" s="536" t="s">
        <v>573</v>
      </c>
      <c r="G155" s="537" t="s">
        <v>574</v>
      </c>
    </row>
    <row r="156" spans="1:7" ht="16">
      <c r="A156" s="534" t="s">
        <v>54</v>
      </c>
      <c r="B156" s="535" t="s">
        <v>54</v>
      </c>
      <c r="C156" s="534" t="s">
        <v>522</v>
      </c>
      <c r="D156" s="534" t="s">
        <v>445</v>
      </c>
      <c r="E156" s="527" t="s">
        <v>54</v>
      </c>
      <c r="F156" s="536" t="s">
        <v>54</v>
      </c>
      <c r="G156" s="537" t="s">
        <v>565</v>
      </c>
    </row>
    <row r="157" spans="1:7" ht="16">
      <c r="A157" s="534" t="s">
        <v>62</v>
      </c>
      <c r="B157" s="535" t="s">
        <v>62</v>
      </c>
      <c r="C157" s="534" t="s">
        <v>522</v>
      </c>
      <c r="D157" s="534" t="s">
        <v>448</v>
      </c>
      <c r="E157" s="527" t="s">
        <v>62</v>
      </c>
      <c r="F157" s="556" t="s">
        <v>1486</v>
      </c>
      <c r="G157" s="537" t="s">
        <v>594</v>
      </c>
    </row>
    <row r="158" spans="1:7" ht="16">
      <c r="A158" s="534" t="s">
        <v>90</v>
      </c>
      <c r="B158" s="535" t="s">
        <v>90</v>
      </c>
      <c r="C158" s="534" t="s">
        <v>522</v>
      </c>
      <c r="D158" s="534" t="s">
        <v>454</v>
      </c>
      <c r="E158" s="535" t="s">
        <v>90</v>
      </c>
      <c r="F158" s="556" t="s">
        <v>350</v>
      </c>
      <c r="G158" s="537" t="s">
        <v>348</v>
      </c>
    </row>
    <row r="159" spans="1:7" ht="16">
      <c r="A159" s="534" t="s">
        <v>67</v>
      </c>
      <c r="B159" s="535" t="s">
        <v>67</v>
      </c>
      <c r="C159" s="534" t="s">
        <v>522</v>
      </c>
      <c r="D159" s="534" t="s">
        <v>605</v>
      </c>
      <c r="E159" s="535" t="s">
        <v>67</v>
      </c>
      <c r="F159" s="536" t="s">
        <v>67</v>
      </c>
      <c r="G159" s="537" t="s">
        <v>606</v>
      </c>
    </row>
    <row r="160" spans="1:7" ht="16">
      <c r="A160" s="534" t="s">
        <v>81</v>
      </c>
      <c r="B160" s="535" t="s">
        <v>81</v>
      </c>
      <c r="C160" s="534" t="s">
        <v>522</v>
      </c>
      <c r="D160" s="534" t="s">
        <v>648</v>
      </c>
      <c r="E160" s="535" t="s">
        <v>81</v>
      </c>
      <c r="F160" s="556" t="s">
        <v>1485</v>
      </c>
      <c r="G160" s="537" t="s">
        <v>649</v>
      </c>
    </row>
    <row r="161" spans="1:7">
      <c r="A161" s="534" t="e">
        <v>#VALUE!</v>
      </c>
      <c r="B161" s="535" t="e">
        <v>#VALUE!</v>
      </c>
      <c r="C161" s="534" t="s">
        <v>971</v>
      </c>
      <c r="D161" s="534" t="s">
        <v>981</v>
      </c>
    </row>
    <row r="162" spans="1:7" s="532" customFormat="1" ht="16">
      <c r="A162" s="532" t="s">
        <v>970</v>
      </c>
      <c r="B162" s="533" t="s">
        <v>158</v>
      </c>
      <c r="C162" s="532" t="s">
        <v>971</v>
      </c>
      <c r="D162" s="532" t="s">
        <v>528</v>
      </c>
    </row>
    <row r="163" spans="1:7" ht="16">
      <c r="A163" s="534" t="s">
        <v>70</v>
      </c>
      <c r="B163" s="535" t="s">
        <v>70</v>
      </c>
      <c r="C163" s="534" t="s">
        <v>522</v>
      </c>
      <c r="D163" s="534" t="s">
        <v>955</v>
      </c>
      <c r="E163" s="527" t="s">
        <v>70</v>
      </c>
      <c r="F163" s="541" t="s">
        <v>956</v>
      </c>
      <c r="G163" s="537" t="s">
        <v>957</v>
      </c>
    </row>
    <row r="164" spans="1:7" ht="16">
      <c r="A164" s="534" t="s">
        <v>156</v>
      </c>
      <c r="B164" s="535" t="s">
        <v>156</v>
      </c>
      <c r="C164" s="534" t="s">
        <v>522</v>
      </c>
      <c r="D164" s="534" t="s">
        <v>958</v>
      </c>
      <c r="E164" s="527" t="s">
        <v>156</v>
      </c>
      <c r="F164" s="536" t="s">
        <v>156</v>
      </c>
      <c r="G164" s="537" t="s">
        <v>959</v>
      </c>
    </row>
    <row r="165" spans="1:7" ht="16">
      <c r="A165" s="534" t="s">
        <v>960</v>
      </c>
      <c r="B165" s="535" t="s">
        <v>82</v>
      </c>
      <c r="C165" s="534" t="s">
        <v>522</v>
      </c>
      <c r="D165" s="534" t="s">
        <v>961</v>
      </c>
      <c r="E165" s="527" t="s">
        <v>962</v>
      </c>
      <c r="F165" s="536" t="s">
        <v>963</v>
      </c>
      <c r="G165" s="537" t="s">
        <v>964</v>
      </c>
    </row>
    <row r="166" spans="1:7" ht="16">
      <c r="A166" s="534" t="s">
        <v>965</v>
      </c>
      <c r="B166" s="535" t="s">
        <v>157</v>
      </c>
      <c r="C166" s="534" t="s">
        <v>522</v>
      </c>
      <c r="D166" s="534" t="s">
        <v>966</v>
      </c>
      <c r="E166" s="527" t="s">
        <v>967</v>
      </c>
      <c r="F166" s="536" t="s">
        <v>968</v>
      </c>
      <c r="G166" s="537" t="s">
        <v>969</v>
      </c>
    </row>
    <row r="167" spans="1:7" ht="16">
      <c r="A167" s="534" t="s">
        <v>1311</v>
      </c>
      <c r="B167" s="535" t="s">
        <v>1312</v>
      </c>
      <c r="C167" s="534" t="s">
        <v>1283</v>
      </c>
      <c r="D167" s="534" t="s">
        <v>1112</v>
      </c>
      <c r="E167" s="527" t="s">
        <v>1313</v>
      </c>
      <c r="F167" s="536" t="s">
        <v>1314</v>
      </c>
      <c r="G167" s="537" t="s">
        <v>1315</v>
      </c>
    </row>
    <row r="168" spans="1:7" ht="16">
      <c r="A168" s="532" t="s">
        <v>991</v>
      </c>
      <c r="B168" s="533" t="s">
        <v>161</v>
      </c>
      <c r="C168" s="532" t="s">
        <v>992</v>
      </c>
      <c r="D168" s="532" t="s">
        <v>993</v>
      </c>
      <c r="F168" s="527"/>
      <c r="G168" s="527"/>
    </row>
    <row r="169" spans="1:7" ht="16">
      <c r="A169" s="532" t="s">
        <v>994</v>
      </c>
      <c r="B169" s="533" t="s">
        <v>995</v>
      </c>
      <c r="C169" s="532" t="s">
        <v>992</v>
      </c>
      <c r="D169" s="532" t="s">
        <v>996</v>
      </c>
      <c r="F169" s="527"/>
      <c r="G169" s="527"/>
    </row>
    <row r="170" spans="1:7" ht="16">
      <c r="A170" s="532" t="s">
        <v>163</v>
      </c>
      <c r="B170" s="533" t="s">
        <v>163</v>
      </c>
      <c r="C170" s="532" t="s">
        <v>992</v>
      </c>
      <c r="D170" s="532" t="s">
        <v>997</v>
      </c>
      <c r="F170" s="527"/>
      <c r="G170" s="527"/>
    </row>
    <row r="171" spans="1:7" ht="16">
      <c r="A171" s="532" t="s">
        <v>164</v>
      </c>
      <c r="B171" s="533" t="s">
        <v>164</v>
      </c>
      <c r="C171" s="532" t="s">
        <v>992</v>
      </c>
      <c r="D171" s="532" t="s">
        <v>998</v>
      </c>
      <c r="F171" s="527"/>
      <c r="G171" s="527"/>
    </row>
    <row r="172" spans="1:7" ht="16">
      <c r="A172" s="532" t="s">
        <v>165</v>
      </c>
      <c r="B172" s="533" t="s">
        <v>165</v>
      </c>
      <c r="C172" s="532" t="s">
        <v>992</v>
      </c>
      <c r="D172" s="532" t="s">
        <v>999</v>
      </c>
      <c r="F172" s="527"/>
      <c r="G172" s="527"/>
    </row>
    <row r="173" spans="1:7" ht="16">
      <c r="A173" s="532" t="s">
        <v>1000</v>
      </c>
      <c r="B173" s="533" t="s">
        <v>166</v>
      </c>
      <c r="C173" s="532" t="s">
        <v>992</v>
      </c>
      <c r="D173" s="532" t="s">
        <v>567</v>
      </c>
      <c r="F173" s="527"/>
      <c r="G173" s="527"/>
    </row>
    <row r="174" spans="1:7" ht="16">
      <c r="A174" s="532" t="s">
        <v>1001</v>
      </c>
      <c r="B174" s="533" t="s">
        <v>167</v>
      </c>
      <c r="C174" s="532" t="s">
        <v>992</v>
      </c>
      <c r="D174" s="532" t="s">
        <v>1002</v>
      </c>
      <c r="F174" s="527"/>
      <c r="G174" s="527"/>
    </row>
    <row r="175" spans="1:7" ht="16">
      <c r="A175" s="532" t="s">
        <v>1003</v>
      </c>
      <c r="B175" s="533" t="s">
        <v>168</v>
      </c>
      <c r="C175" s="532" t="s">
        <v>992</v>
      </c>
      <c r="D175" s="532" t="s">
        <v>1004</v>
      </c>
      <c r="F175" s="527"/>
      <c r="G175" s="527"/>
    </row>
    <row r="176" spans="1:7" ht="16">
      <c r="A176" s="532" t="s">
        <v>1005</v>
      </c>
      <c r="B176" s="533" t="s">
        <v>169</v>
      </c>
      <c r="C176" s="532" t="s">
        <v>992</v>
      </c>
      <c r="D176" s="532" t="s">
        <v>1006</v>
      </c>
      <c r="F176" s="527"/>
      <c r="G176" s="527"/>
    </row>
    <row r="177" spans="1:7" ht="16">
      <c r="A177" s="532" t="s">
        <v>1007</v>
      </c>
      <c r="B177" s="533" t="s">
        <v>170</v>
      </c>
      <c r="C177" s="532" t="s">
        <v>992</v>
      </c>
      <c r="D177" s="532" t="s">
        <v>1008</v>
      </c>
      <c r="F177" s="527"/>
      <c r="G177" s="527"/>
    </row>
    <row r="178" spans="1:7" ht="16">
      <c r="A178" s="532" t="s">
        <v>1009</v>
      </c>
      <c r="B178" s="533" t="s">
        <v>171</v>
      </c>
      <c r="C178" s="532" t="s">
        <v>992</v>
      </c>
      <c r="D178" s="532" t="s">
        <v>1010</v>
      </c>
      <c r="F178" s="527"/>
      <c r="G178" s="527"/>
    </row>
    <row r="179" spans="1:7" ht="16">
      <c r="A179" s="532" t="s">
        <v>1011</v>
      </c>
      <c r="B179" s="533" t="s">
        <v>172</v>
      </c>
      <c r="C179" s="532" t="s">
        <v>992</v>
      </c>
      <c r="D179" s="532" t="s">
        <v>1012</v>
      </c>
      <c r="F179" s="527"/>
      <c r="G179" s="527"/>
    </row>
    <row r="180" spans="1:7" ht="16">
      <c r="A180" s="532" t="s">
        <v>1013</v>
      </c>
      <c r="B180" s="533" t="s">
        <v>173</v>
      </c>
      <c r="C180" s="532" t="s">
        <v>992</v>
      </c>
      <c r="D180" s="532" t="s">
        <v>485</v>
      </c>
      <c r="F180" s="527"/>
      <c r="G180" s="527"/>
    </row>
    <row r="181" spans="1:7" ht="16">
      <c r="A181" s="532" t="s">
        <v>1014</v>
      </c>
      <c r="B181" s="533" t="s">
        <v>174</v>
      </c>
      <c r="C181" s="532" t="s">
        <v>992</v>
      </c>
      <c r="D181" s="532" t="s">
        <v>486</v>
      </c>
      <c r="F181" s="527"/>
      <c r="G181" s="527"/>
    </row>
    <row r="182" spans="1:7" ht="16">
      <c r="A182" s="532" t="s">
        <v>1015</v>
      </c>
      <c r="B182" s="533" t="s">
        <v>175</v>
      </c>
      <c r="C182" s="532" t="s">
        <v>992</v>
      </c>
      <c r="D182" s="532" t="s">
        <v>1016</v>
      </c>
      <c r="F182" s="527"/>
      <c r="G182" s="527"/>
    </row>
    <row r="183" spans="1:7" ht="16">
      <c r="A183" s="532" t="s">
        <v>1017</v>
      </c>
      <c r="B183" s="533" t="s">
        <v>176</v>
      </c>
      <c r="C183" s="532" t="s">
        <v>992</v>
      </c>
      <c r="D183" s="532" t="s">
        <v>1018</v>
      </c>
      <c r="F183" s="527"/>
      <c r="G183" s="527"/>
    </row>
    <row r="184" spans="1:7" ht="16">
      <c r="A184" s="532" t="s">
        <v>1001</v>
      </c>
      <c r="B184" s="533" t="s">
        <v>1001</v>
      </c>
      <c r="C184" s="532" t="s">
        <v>992</v>
      </c>
      <c r="D184" s="532" t="s">
        <v>1019</v>
      </c>
      <c r="F184" s="527"/>
      <c r="G184" s="527"/>
    </row>
    <row r="185" spans="1:7" ht="16">
      <c r="A185" s="532" t="s">
        <v>1003</v>
      </c>
      <c r="B185" s="533" t="s">
        <v>1003</v>
      </c>
      <c r="C185" s="532" t="s">
        <v>992</v>
      </c>
      <c r="D185" s="532" t="s">
        <v>1020</v>
      </c>
      <c r="F185" s="527"/>
      <c r="G185" s="527"/>
    </row>
    <row r="186" spans="1:7" ht="16">
      <c r="A186" s="532" t="s">
        <v>1005</v>
      </c>
      <c r="B186" s="533" t="s">
        <v>1005</v>
      </c>
      <c r="C186" s="532" t="s">
        <v>992</v>
      </c>
      <c r="D186" s="532" t="s">
        <v>1021</v>
      </c>
      <c r="F186" s="527"/>
      <c r="G186" s="527"/>
    </row>
    <row r="187" spans="1:7" ht="16">
      <c r="A187" s="532" t="s">
        <v>1007</v>
      </c>
      <c r="B187" s="533" t="s">
        <v>1007</v>
      </c>
      <c r="C187" s="532" t="s">
        <v>992</v>
      </c>
      <c r="D187" s="532" t="s">
        <v>1022</v>
      </c>
      <c r="F187" s="527"/>
      <c r="G187" s="527"/>
    </row>
    <row r="188" spans="1:7" ht="16">
      <c r="A188" s="532" t="s">
        <v>1009</v>
      </c>
      <c r="B188" s="533" t="s">
        <v>1009</v>
      </c>
      <c r="C188" s="532" t="s">
        <v>992</v>
      </c>
      <c r="D188" s="532" t="s">
        <v>1023</v>
      </c>
      <c r="F188" s="527"/>
      <c r="G188" s="527"/>
    </row>
    <row r="189" spans="1:7" ht="16">
      <c r="A189" s="532" t="s">
        <v>1011</v>
      </c>
      <c r="B189" s="533" t="s">
        <v>1011</v>
      </c>
      <c r="C189" s="532" t="s">
        <v>992</v>
      </c>
      <c r="D189" s="532" t="s">
        <v>1024</v>
      </c>
      <c r="F189" s="527"/>
      <c r="G189" s="527"/>
    </row>
    <row r="190" spans="1:7" ht="16">
      <c r="A190" s="532" t="s">
        <v>1013</v>
      </c>
      <c r="B190" s="533" t="s">
        <v>1013</v>
      </c>
      <c r="C190" s="532" t="s">
        <v>992</v>
      </c>
      <c r="D190" s="532" t="s">
        <v>491</v>
      </c>
      <c r="F190" s="527"/>
      <c r="G190" s="527"/>
    </row>
    <row r="191" spans="1:7" ht="16">
      <c r="A191" s="532" t="s">
        <v>1014</v>
      </c>
      <c r="B191" s="533" t="s">
        <v>1014</v>
      </c>
      <c r="C191" s="532" t="s">
        <v>992</v>
      </c>
      <c r="D191" s="532" t="s">
        <v>492</v>
      </c>
      <c r="F191" s="527"/>
      <c r="G191" s="527"/>
    </row>
    <row r="192" spans="1:7" ht="16">
      <c r="A192" s="532" t="s">
        <v>1015</v>
      </c>
      <c r="B192" s="533" t="s">
        <v>1015</v>
      </c>
      <c r="C192" s="532" t="s">
        <v>992</v>
      </c>
      <c r="D192" s="532" t="s">
        <v>1025</v>
      </c>
      <c r="F192" s="527"/>
      <c r="G192" s="527"/>
    </row>
    <row r="193" spans="1:7" ht="16">
      <c r="A193" s="532" t="s">
        <v>1017</v>
      </c>
      <c r="B193" s="533" t="s">
        <v>1017</v>
      </c>
      <c r="C193" s="532" t="s">
        <v>992</v>
      </c>
      <c r="D193" s="532" t="s">
        <v>1026</v>
      </c>
      <c r="F193" s="527"/>
      <c r="G193" s="527"/>
    </row>
    <row r="194" spans="1:7" ht="16">
      <c r="A194" s="532" t="s">
        <v>1027</v>
      </c>
      <c r="B194" s="533" t="s">
        <v>177</v>
      </c>
      <c r="C194" s="532" t="s">
        <v>992</v>
      </c>
      <c r="D194" s="532" t="s">
        <v>1028</v>
      </c>
      <c r="F194" s="527"/>
      <c r="G194" s="527"/>
    </row>
    <row r="195" spans="1:7" ht="16">
      <c r="A195" s="532" t="s">
        <v>1029</v>
      </c>
      <c r="B195" s="533" t="s">
        <v>178</v>
      </c>
      <c r="C195" s="532" t="s">
        <v>992</v>
      </c>
      <c r="D195" s="532" t="s">
        <v>1030</v>
      </c>
      <c r="F195" s="527"/>
      <c r="G195" s="527"/>
    </row>
    <row r="196" spans="1:7" ht="16">
      <c r="A196" s="532" t="s">
        <v>1031</v>
      </c>
      <c r="B196" s="533" t="s">
        <v>179</v>
      </c>
      <c r="C196" s="532" t="s">
        <v>992</v>
      </c>
      <c r="D196" s="532" t="s">
        <v>1032</v>
      </c>
      <c r="F196" s="527"/>
      <c r="G196" s="527"/>
    </row>
    <row r="197" spans="1:7" ht="16">
      <c r="A197" s="532" t="s">
        <v>1033</v>
      </c>
      <c r="B197" s="533" t="s">
        <v>180</v>
      </c>
      <c r="C197" s="532" t="s">
        <v>992</v>
      </c>
      <c r="D197" s="532" t="s">
        <v>1034</v>
      </c>
      <c r="F197" s="527"/>
      <c r="G197" s="527"/>
    </row>
    <row r="198" spans="1:7" ht="16">
      <c r="A198" s="532" t="s">
        <v>1035</v>
      </c>
      <c r="B198" s="533" t="s">
        <v>181</v>
      </c>
      <c r="C198" s="532" t="s">
        <v>992</v>
      </c>
      <c r="D198" s="532" t="s">
        <v>1036</v>
      </c>
      <c r="F198" s="527"/>
      <c r="G198" s="527"/>
    </row>
    <row r="199" spans="1:7" ht="16">
      <c r="A199" s="532" t="s">
        <v>1037</v>
      </c>
      <c r="B199" s="533" t="s">
        <v>182</v>
      </c>
      <c r="C199" s="532" t="s">
        <v>992</v>
      </c>
      <c r="D199" s="532" t="s">
        <v>1038</v>
      </c>
      <c r="F199" s="527"/>
      <c r="G199" s="527"/>
    </row>
    <row r="200" spans="1:7" ht="16">
      <c r="A200" s="532" t="s">
        <v>1039</v>
      </c>
      <c r="B200" s="533" t="s">
        <v>183</v>
      </c>
      <c r="C200" s="532" t="s">
        <v>992</v>
      </c>
      <c r="D200" s="532" t="s">
        <v>498</v>
      </c>
      <c r="F200" s="527"/>
      <c r="G200" s="527"/>
    </row>
    <row r="201" spans="1:7" ht="16">
      <c r="A201" s="532" t="s">
        <v>1040</v>
      </c>
      <c r="B201" s="533" t="s">
        <v>184</v>
      </c>
      <c r="C201" s="532" t="s">
        <v>992</v>
      </c>
      <c r="D201" s="532" t="s">
        <v>500</v>
      </c>
      <c r="F201" s="527"/>
      <c r="G201" s="527"/>
    </row>
    <row r="202" spans="1:7" ht="16">
      <c r="A202" s="532" t="s">
        <v>1041</v>
      </c>
      <c r="B202" s="533" t="s">
        <v>185</v>
      </c>
      <c r="C202" s="532" t="s">
        <v>992</v>
      </c>
      <c r="D202" s="532" t="s">
        <v>1042</v>
      </c>
      <c r="F202" s="527"/>
      <c r="G202" s="527"/>
    </row>
    <row r="203" spans="1:7" ht="16">
      <c r="A203" s="532" t="s">
        <v>1043</v>
      </c>
      <c r="B203" s="533" t="s">
        <v>186</v>
      </c>
      <c r="C203" s="532" t="s">
        <v>992</v>
      </c>
      <c r="D203" s="532" t="s">
        <v>1044</v>
      </c>
      <c r="F203" s="527"/>
      <c r="G203" s="527"/>
    </row>
    <row r="204" spans="1:7" ht="16">
      <c r="A204" s="532" t="s">
        <v>1045</v>
      </c>
      <c r="B204" s="533" t="s">
        <v>187</v>
      </c>
      <c r="C204" s="532" t="s">
        <v>992</v>
      </c>
      <c r="D204" s="532" t="s">
        <v>601</v>
      </c>
      <c r="F204" s="527"/>
      <c r="G204" s="527"/>
    </row>
    <row r="205" spans="1:7" ht="16">
      <c r="A205" s="532" t="s">
        <v>1046</v>
      </c>
      <c r="B205" s="533" t="s">
        <v>188</v>
      </c>
      <c r="C205" s="532" t="s">
        <v>992</v>
      </c>
      <c r="D205" s="532" t="s">
        <v>609</v>
      </c>
      <c r="F205" s="527"/>
      <c r="G205" s="527"/>
    </row>
    <row r="206" spans="1:7" ht="16">
      <c r="A206" s="532" t="s">
        <v>1047</v>
      </c>
      <c r="B206" s="533" t="s">
        <v>189</v>
      </c>
      <c r="C206" s="532" t="s">
        <v>992</v>
      </c>
      <c r="D206" s="532" t="s">
        <v>1048</v>
      </c>
      <c r="F206" s="527"/>
      <c r="G206" s="527"/>
    </row>
    <row r="207" spans="1:7" ht="16">
      <c r="A207" s="532" t="s">
        <v>1049</v>
      </c>
      <c r="B207" s="533" t="s">
        <v>190</v>
      </c>
      <c r="C207" s="532" t="s">
        <v>992</v>
      </c>
      <c r="D207" s="532" t="s">
        <v>1050</v>
      </c>
      <c r="F207" s="527"/>
      <c r="G207" s="527"/>
    </row>
    <row r="208" spans="1:7" ht="16">
      <c r="A208" s="532" t="s">
        <v>1051</v>
      </c>
      <c r="B208" s="533" t="s">
        <v>191</v>
      </c>
      <c r="C208" s="532" t="s">
        <v>992</v>
      </c>
      <c r="D208" s="532" t="s">
        <v>1052</v>
      </c>
      <c r="F208" s="527"/>
      <c r="G208" s="527"/>
    </row>
    <row r="209" spans="1:7" ht="16">
      <c r="A209" s="532" t="s">
        <v>1053</v>
      </c>
      <c r="B209" s="533" t="s">
        <v>192</v>
      </c>
      <c r="C209" s="532" t="s">
        <v>992</v>
      </c>
      <c r="D209" s="532" t="s">
        <v>1054</v>
      </c>
      <c r="F209" s="527"/>
      <c r="G209" s="527"/>
    </row>
    <row r="210" spans="1:7" ht="16">
      <c r="A210" s="532" t="s">
        <v>1055</v>
      </c>
      <c r="B210" s="533" t="s">
        <v>193</v>
      </c>
      <c r="C210" s="532" t="s">
        <v>992</v>
      </c>
      <c r="D210" s="532" t="s">
        <v>1056</v>
      </c>
      <c r="F210" s="527"/>
      <c r="G210" s="527"/>
    </row>
    <row r="211" spans="1:7" ht="16">
      <c r="A211" s="532" t="s">
        <v>1057</v>
      </c>
      <c r="B211" s="533" t="s">
        <v>194</v>
      </c>
      <c r="C211" s="532" t="s">
        <v>992</v>
      </c>
      <c r="D211" s="532" t="s">
        <v>1058</v>
      </c>
      <c r="F211" s="527"/>
      <c r="G211" s="527"/>
    </row>
    <row r="212" spans="1:7" ht="16">
      <c r="A212" s="532" t="s">
        <v>1059</v>
      </c>
      <c r="B212" s="533" t="s">
        <v>195</v>
      </c>
      <c r="C212" s="532" t="s">
        <v>992</v>
      </c>
      <c r="D212" s="532" t="s">
        <v>1060</v>
      </c>
      <c r="F212" s="527"/>
      <c r="G212" s="527"/>
    </row>
    <row r="213" spans="1:7" ht="16">
      <c r="A213" s="532" t="s">
        <v>1061</v>
      </c>
      <c r="B213" s="533" t="s">
        <v>196</v>
      </c>
      <c r="C213" s="532" t="s">
        <v>992</v>
      </c>
      <c r="D213" s="532" t="s">
        <v>1062</v>
      </c>
      <c r="F213" s="527"/>
      <c r="G213" s="527"/>
    </row>
    <row r="214" spans="1:7" ht="16">
      <c r="A214" s="532" t="s">
        <v>1063</v>
      </c>
      <c r="B214" s="533" t="s">
        <v>197</v>
      </c>
      <c r="C214" s="532" t="s">
        <v>992</v>
      </c>
      <c r="D214" s="532" t="s">
        <v>1064</v>
      </c>
      <c r="F214" s="527"/>
      <c r="G214" s="527"/>
    </row>
    <row r="215" spans="1:7" ht="16">
      <c r="A215" s="532" t="s">
        <v>1065</v>
      </c>
      <c r="B215" s="533" t="s">
        <v>198</v>
      </c>
      <c r="C215" s="532" t="s">
        <v>1066</v>
      </c>
      <c r="D215" s="532" t="s">
        <v>993</v>
      </c>
      <c r="F215" s="527"/>
      <c r="G215" s="527"/>
    </row>
    <row r="216" spans="1:7" ht="16">
      <c r="A216" s="532" t="s">
        <v>199</v>
      </c>
      <c r="B216" s="533" t="s">
        <v>199</v>
      </c>
      <c r="C216" s="532" t="s">
        <v>1067</v>
      </c>
      <c r="D216" s="532" t="s">
        <v>426</v>
      </c>
      <c r="F216" s="527"/>
      <c r="G216" s="527"/>
    </row>
    <row r="217" spans="1:7" ht="16">
      <c r="A217" s="532" t="s">
        <v>1068</v>
      </c>
      <c r="B217" s="533" t="s">
        <v>1069</v>
      </c>
      <c r="C217" s="532" t="s">
        <v>1067</v>
      </c>
      <c r="D217" s="532" t="s">
        <v>1070</v>
      </c>
      <c r="F217" s="527"/>
      <c r="G217" s="527"/>
    </row>
    <row r="218" spans="1:7" ht="16">
      <c r="A218" s="532" t="s">
        <v>1071</v>
      </c>
      <c r="B218" s="533" t="s">
        <v>201</v>
      </c>
      <c r="C218" s="532" t="s">
        <v>1067</v>
      </c>
      <c r="D218" s="532" t="s">
        <v>1072</v>
      </c>
      <c r="F218" s="527"/>
      <c r="G218" s="527"/>
    </row>
    <row r="219" spans="1:7" ht="16">
      <c r="A219" s="532" t="s">
        <v>1073</v>
      </c>
      <c r="B219" s="533" t="s">
        <v>1073</v>
      </c>
      <c r="C219" s="532" t="s">
        <v>1067</v>
      </c>
      <c r="D219" s="532" t="s">
        <v>1074</v>
      </c>
      <c r="F219" s="527"/>
      <c r="G219" s="527"/>
    </row>
    <row r="220" spans="1:7" ht="16">
      <c r="A220" s="532" t="s">
        <v>203</v>
      </c>
      <c r="B220" s="533" t="s">
        <v>203</v>
      </c>
      <c r="C220" s="532" t="s">
        <v>1067</v>
      </c>
      <c r="D220" s="532" t="s">
        <v>1075</v>
      </c>
      <c r="F220" s="527"/>
      <c r="G220" s="527"/>
    </row>
    <row r="221" spans="1:7" ht="16">
      <c r="A221" s="532" t="s">
        <v>204</v>
      </c>
      <c r="B221" s="533" t="s">
        <v>204</v>
      </c>
      <c r="C221" s="532" t="s">
        <v>1067</v>
      </c>
      <c r="D221" s="532" t="s">
        <v>1076</v>
      </c>
      <c r="F221" s="527"/>
      <c r="G221" s="527"/>
    </row>
    <row r="222" spans="1:7" ht="32">
      <c r="A222" s="532" t="s">
        <v>1077</v>
      </c>
      <c r="B222" s="533" t="s">
        <v>205</v>
      </c>
      <c r="C222" s="532" t="s">
        <v>1067</v>
      </c>
      <c r="D222" s="532" t="s">
        <v>1078</v>
      </c>
      <c r="F222" s="527"/>
      <c r="G222" s="527"/>
    </row>
    <row r="223" spans="1:7" ht="288">
      <c r="A223" s="532" t="s">
        <v>1079</v>
      </c>
      <c r="B223" s="533" t="s">
        <v>1080</v>
      </c>
      <c r="C223" s="532" t="s">
        <v>1067</v>
      </c>
      <c r="D223" s="532" t="s">
        <v>1081</v>
      </c>
      <c r="F223" s="527"/>
      <c r="G223" s="527"/>
    </row>
    <row r="224" spans="1:7" ht="48">
      <c r="A224" s="532" t="s">
        <v>1082</v>
      </c>
      <c r="B224" s="533" t="s">
        <v>1083</v>
      </c>
      <c r="C224" s="532" t="s">
        <v>1067</v>
      </c>
      <c r="D224" s="532" t="s">
        <v>1084</v>
      </c>
      <c r="F224" s="527"/>
      <c r="G224" s="527"/>
    </row>
    <row r="225" spans="1:7" ht="16">
      <c r="A225" s="532" t="s">
        <v>1085</v>
      </c>
      <c r="B225" s="533" t="s">
        <v>208</v>
      </c>
      <c r="C225" s="532" t="s">
        <v>1067</v>
      </c>
      <c r="D225" s="532" t="s">
        <v>1086</v>
      </c>
      <c r="F225" s="527"/>
      <c r="G225" s="527"/>
    </row>
    <row r="226" spans="1:7" ht="32">
      <c r="A226" s="532" t="s">
        <v>1087</v>
      </c>
      <c r="B226" s="533" t="s">
        <v>209</v>
      </c>
      <c r="C226" s="532" t="s">
        <v>1067</v>
      </c>
      <c r="D226" s="532" t="s">
        <v>1088</v>
      </c>
      <c r="F226" s="527"/>
      <c r="G226" s="527"/>
    </row>
    <row r="227" spans="1:7" ht="16">
      <c r="A227" s="532" t="s">
        <v>1089</v>
      </c>
      <c r="B227" s="533" t="s">
        <v>210</v>
      </c>
      <c r="C227" s="532" t="s">
        <v>1067</v>
      </c>
      <c r="D227" s="532" t="s">
        <v>1090</v>
      </c>
      <c r="F227" s="527"/>
      <c r="G227" s="527"/>
    </row>
    <row r="228" spans="1:7" ht="64">
      <c r="A228" s="532" t="s">
        <v>1091</v>
      </c>
      <c r="B228" s="533" t="s">
        <v>1092</v>
      </c>
      <c r="C228" s="532" t="s">
        <v>1067</v>
      </c>
      <c r="D228" s="532" t="s">
        <v>1093</v>
      </c>
      <c r="F228" s="527"/>
      <c r="G228" s="527"/>
    </row>
    <row r="229" spans="1:7" ht="96">
      <c r="A229" s="532" t="s">
        <v>1094</v>
      </c>
      <c r="B229" s="533" t="s">
        <v>1095</v>
      </c>
      <c r="C229" s="532" t="s">
        <v>1067</v>
      </c>
      <c r="D229" s="532" t="s">
        <v>1096</v>
      </c>
      <c r="F229" s="527"/>
      <c r="G229" s="527"/>
    </row>
    <row r="230" spans="1:7" ht="16">
      <c r="A230" s="532" t="s">
        <v>1097</v>
      </c>
      <c r="B230" s="533" t="s">
        <v>213</v>
      </c>
      <c r="C230" s="532" t="s">
        <v>1067</v>
      </c>
      <c r="D230" s="532" t="s">
        <v>1098</v>
      </c>
      <c r="F230" s="527"/>
      <c r="G230" s="527"/>
    </row>
    <row r="231" spans="1:7" ht="16">
      <c r="A231" s="532" t="s">
        <v>214</v>
      </c>
      <c r="B231" s="533" t="s">
        <v>214</v>
      </c>
      <c r="C231" s="532" t="s">
        <v>1067</v>
      </c>
      <c r="D231" s="532" t="s">
        <v>1099</v>
      </c>
      <c r="F231" s="527"/>
      <c r="G231" s="527"/>
    </row>
    <row r="232" spans="1:7" ht="80">
      <c r="A232" s="532" t="s">
        <v>1100</v>
      </c>
      <c r="B232" s="533" t="s">
        <v>215</v>
      </c>
      <c r="C232" s="532" t="s">
        <v>1067</v>
      </c>
      <c r="D232" s="532" t="s">
        <v>1101</v>
      </c>
      <c r="F232" s="527"/>
      <c r="G232" s="527"/>
    </row>
    <row r="233" spans="1:7" ht="16">
      <c r="A233" s="532" t="s">
        <v>1102</v>
      </c>
      <c r="B233" s="533" t="s">
        <v>216</v>
      </c>
      <c r="C233" s="532" t="s">
        <v>1067</v>
      </c>
      <c r="D233" s="532" t="s">
        <v>1103</v>
      </c>
      <c r="F233" s="527"/>
      <c r="G233" s="527"/>
    </row>
    <row r="234" spans="1:7" ht="48">
      <c r="A234" s="532" t="s">
        <v>1104</v>
      </c>
      <c r="B234" s="533" t="s">
        <v>217</v>
      </c>
      <c r="C234" s="532" t="s">
        <v>1067</v>
      </c>
      <c r="D234" s="532" t="s">
        <v>1105</v>
      </c>
      <c r="F234" s="527"/>
      <c r="G234" s="527"/>
    </row>
    <row r="235" spans="1:7" ht="16">
      <c r="A235" s="532" t="s">
        <v>1106</v>
      </c>
      <c r="B235" s="533" t="s">
        <v>218</v>
      </c>
      <c r="C235" s="532" t="s">
        <v>1067</v>
      </c>
      <c r="D235" s="532" t="s">
        <v>1107</v>
      </c>
      <c r="F235" s="527"/>
      <c r="G235" s="527"/>
    </row>
    <row r="236" spans="1:7" ht="64">
      <c r="A236" s="532" t="s">
        <v>1108</v>
      </c>
      <c r="B236" s="533" t="s">
        <v>220</v>
      </c>
      <c r="C236" s="532" t="s">
        <v>1067</v>
      </c>
      <c r="D236" s="532" t="s">
        <v>1109</v>
      </c>
      <c r="F236" s="527"/>
      <c r="G236" s="527"/>
    </row>
    <row r="237" spans="1:7" ht="48">
      <c r="A237" s="532" t="s">
        <v>1110</v>
      </c>
      <c r="B237" s="533" t="s">
        <v>1111</v>
      </c>
      <c r="C237" s="532" t="s">
        <v>1067</v>
      </c>
      <c r="D237" s="532" t="s">
        <v>1112</v>
      </c>
      <c r="F237" s="527"/>
      <c r="G237" s="527"/>
    </row>
    <row r="238" spans="1:7" ht="112">
      <c r="A238" s="532" t="s">
        <v>1113</v>
      </c>
      <c r="B238" s="533" t="s">
        <v>222</v>
      </c>
      <c r="C238" s="532" t="s">
        <v>1067</v>
      </c>
      <c r="D238" s="532" t="s">
        <v>1002</v>
      </c>
      <c r="F238" s="527"/>
      <c r="G238" s="527"/>
    </row>
    <row r="239" spans="1:7" ht="16">
      <c r="A239" s="532" t="s">
        <v>1114</v>
      </c>
      <c r="B239" s="533" t="s">
        <v>223</v>
      </c>
      <c r="C239" s="532" t="s">
        <v>1067</v>
      </c>
      <c r="D239" s="532" t="s">
        <v>1115</v>
      </c>
      <c r="F239" s="527"/>
      <c r="G239" s="527"/>
    </row>
    <row r="240" spans="1:7" ht="16">
      <c r="A240" s="532" t="s">
        <v>1116</v>
      </c>
      <c r="B240" s="533" t="s">
        <v>224</v>
      </c>
      <c r="C240" s="532" t="s">
        <v>1067</v>
      </c>
      <c r="D240" s="532" t="s">
        <v>1019</v>
      </c>
      <c r="F240" s="527"/>
      <c r="G240" s="527"/>
    </row>
    <row r="241" spans="1:7" ht="32">
      <c r="A241" s="532" t="s">
        <v>1117</v>
      </c>
      <c r="B241" s="533" t="s">
        <v>225</v>
      </c>
      <c r="C241" s="532" t="s">
        <v>1067</v>
      </c>
      <c r="D241" s="532" t="s">
        <v>1028</v>
      </c>
      <c r="F241" s="527"/>
      <c r="G241" s="527"/>
    </row>
    <row r="242" spans="1:7" ht="16">
      <c r="A242" s="532" t="s">
        <v>1118</v>
      </c>
      <c r="B242" s="533" t="s">
        <v>226</v>
      </c>
      <c r="C242" s="532" t="s">
        <v>1067</v>
      </c>
      <c r="D242" s="532" t="s">
        <v>1119</v>
      </c>
      <c r="F242" s="527"/>
      <c r="G242" s="527"/>
    </row>
    <row r="243" spans="1:7" ht="32">
      <c r="A243" s="532" t="s">
        <v>1120</v>
      </c>
      <c r="B243" s="533" t="s">
        <v>227</v>
      </c>
      <c r="C243" s="532" t="s">
        <v>1067</v>
      </c>
      <c r="D243" s="532" t="s">
        <v>448</v>
      </c>
      <c r="F243" s="527"/>
      <c r="G243" s="527"/>
    </row>
    <row r="244" spans="1:7" ht="96">
      <c r="A244" s="532" t="s">
        <v>1121</v>
      </c>
      <c r="B244" s="533" t="s">
        <v>228</v>
      </c>
      <c r="C244" s="532" t="s">
        <v>1067</v>
      </c>
      <c r="D244" s="532" t="s">
        <v>1122</v>
      </c>
      <c r="F244" s="527"/>
      <c r="G244" s="527"/>
    </row>
    <row r="245" spans="1:7" ht="32">
      <c r="A245" s="532" t="s">
        <v>1123</v>
      </c>
      <c r="B245" s="533" t="s">
        <v>1124</v>
      </c>
      <c r="C245" s="532" t="s">
        <v>1067</v>
      </c>
      <c r="D245" s="532" t="s">
        <v>1125</v>
      </c>
      <c r="F245" s="527"/>
      <c r="G245" s="527"/>
    </row>
    <row r="246" spans="1:7" ht="224">
      <c r="A246" s="532" t="s">
        <v>1126</v>
      </c>
      <c r="B246" s="533" t="s">
        <v>1127</v>
      </c>
      <c r="C246" s="532" t="s">
        <v>1067</v>
      </c>
      <c r="D246" s="532" t="s">
        <v>1128</v>
      </c>
      <c r="F246" s="527"/>
      <c r="G246" s="527"/>
    </row>
    <row r="247" spans="1:7" ht="16">
      <c r="A247" s="532" t="s">
        <v>231</v>
      </c>
      <c r="B247" s="533" t="s">
        <v>231</v>
      </c>
      <c r="C247" s="532" t="s">
        <v>1067</v>
      </c>
      <c r="D247" s="532" t="s">
        <v>1129</v>
      </c>
      <c r="F247" s="527"/>
      <c r="G247" s="527"/>
    </row>
    <row r="248" spans="1:7" ht="112">
      <c r="A248" s="532" t="s">
        <v>1130</v>
      </c>
      <c r="B248" s="533" t="s">
        <v>232</v>
      </c>
      <c r="C248" s="532" t="s">
        <v>1067</v>
      </c>
      <c r="D248" s="532" t="s">
        <v>621</v>
      </c>
      <c r="F248" s="527"/>
      <c r="G248" s="527"/>
    </row>
    <row r="249" spans="1:7" ht="16">
      <c r="A249" s="532" t="s">
        <v>233</v>
      </c>
      <c r="B249" s="533" t="s">
        <v>233</v>
      </c>
      <c r="C249" s="532" t="s">
        <v>1067</v>
      </c>
      <c r="D249" s="532" t="s">
        <v>1131</v>
      </c>
      <c r="F249" s="527"/>
      <c r="G249" s="527"/>
    </row>
    <row r="250" spans="1:7" ht="16">
      <c r="A250" s="532" t="s">
        <v>1132</v>
      </c>
      <c r="B250" s="533" t="s">
        <v>234</v>
      </c>
      <c r="C250" s="532" t="s">
        <v>1067</v>
      </c>
      <c r="D250" s="532" t="s">
        <v>466</v>
      </c>
      <c r="F250" s="527"/>
      <c r="G250" s="527"/>
    </row>
    <row r="251" spans="1:7" ht="32">
      <c r="A251" s="532" t="s">
        <v>1133</v>
      </c>
      <c r="B251" s="533" t="s">
        <v>235</v>
      </c>
      <c r="C251" s="532" t="s">
        <v>1067</v>
      </c>
      <c r="D251" s="532" t="s">
        <v>1134</v>
      </c>
      <c r="F251" s="527"/>
      <c r="G251" s="527"/>
    </row>
    <row r="252" spans="1:7" ht="112">
      <c r="A252" s="532" t="s">
        <v>1135</v>
      </c>
      <c r="B252" s="533" t="s">
        <v>236</v>
      </c>
      <c r="C252" s="532" t="s">
        <v>1067</v>
      </c>
      <c r="D252" s="532" t="s">
        <v>1136</v>
      </c>
      <c r="F252" s="527"/>
      <c r="G252" s="527"/>
    </row>
    <row r="253" spans="1:7" ht="16">
      <c r="A253" s="532" t="s">
        <v>1137</v>
      </c>
      <c r="B253" s="533" t="s">
        <v>1138</v>
      </c>
      <c r="C253" s="532" t="s">
        <v>1067</v>
      </c>
      <c r="D253" s="532" t="s">
        <v>648</v>
      </c>
      <c r="F253" s="527"/>
      <c r="G253" s="527"/>
    </row>
    <row r="254" spans="1:7" ht="32">
      <c r="A254" s="532" t="s">
        <v>1139</v>
      </c>
      <c r="B254" s="533" t="s">
        <v>238</v>
      </c>
      <c r="C254" s="532" t="s">
        <v>1067</v>
      </c>
      <c r="D254" s="532" t="s">
        <v>1140</v>
      </c>
      <c r="F254" s="527"/>
      <c r="G254" s="527"/>
    </row>
    <row r="255" spans="1:7" ht="32">
      <c r="A255" s="532" t="s">
        <v>1141</v>
      </c>
      <c r="B255" s="533" t="s">
        <v>239</v>
      </c>
      <c r="C255" s="532" t="s">
        <v>1067</v>
      </c>
      <c r="D255" s="532" t="s">
        <v>1142</v>
      </c>
      <c r="F255" s="527"/>
      <c r="G255" s="527"/>
    </row>
    <row r="256" spans="1:7" ht="16">
      <c r="A256" s="532" t="s">
        <v>1143</v>
      </c>
      <c r="B256" s="533" t="s">
        <v>240</v>
      </c>
      <c r="C256" s="532" t="s">
        <v>1067</v>
      </c>
      <c r="D256" s="532" t="s">
        <v>1144</v>
      </c>
      <c r="F256" s="527"/>
      <c r="G256" s="527"/>
    </row>
    <row r="257" spans="1:7" ht="48">
      <c r="A257" s="532" t="s">
        <v>1145</v>
      </c>
      <c r="B257" s="533" t="s">
        <v>241</v>
      </c>
      <c r="C257" s="532" t="s">
        <v>1067</v>
      </c>
      <c r="D257" s="532" t="s">
        <v>1146</v>
      </c>
      <c r="F257" s="527"/>
      <c r="G257" s="527"/>
    </row>
    <row r="258" spans="1:7" ht="32">
      <c r="A258" s="532" t="s">
        <v>1147</v>
      </c>
      <c r="B258" s="533" t="s">
        <v>242</v>
      </c>
      <c r="C258" s="532" t="s">
        <v>1067</v>
      </c>
      <c r="D258" s="532" t="s">
        <v>1148</v>
      </c>
      <c r="F258" s="527"/>
      <c r="G258" s="527"/>
    </row>
    <row r="259" spans="1:7" ht="128">
      <c r="A259" s="532" t="s">
        <v>1153</v>
      </c>
      <c r="B259" s="533" t="s">
        <v>245</v>
      </c>
      <c r="C259" s="532" t="s">
        <v>1149</v>
      </c>
      <c r="D259" s="532" t="s">
        <v>1070</v>
      </c>
      <c r="F259" s="527"/>
      <c r="G259" s="527"/>
    </row>
    <row r="260" spans="1:7" ht="16">
      <c r="A260" s="532" t="s">
        <v>243</v>
      </c>
      <c r="B260" s="533" t="s">
        <v>243</v>
      </c>
      <c r="C260" s="532" t="s">
        <v>1149</v>
      </c>
      <c r="D260" s="532" t="s">
        <v>426</v>
      </c>
      <c r="F260" s="527"/>
      <c r="G260" s="527"/>
    </row>
    <row r="261" spans="1:7">
      <c r="A261" s="534" t="s">
        <v>256</v>
      </c>
      <c r="B261" s="527" t="s">
        <v>256</v>
      </c>
      <c r="C261" s="562" t="s">
        <v>1149</v>
      </c>
      <c r="D261" s="534" t="s">
        <v>1245</v>
      </c>
      <c r="E261" s="561" t="str">
        <f>UPPER('4. Reduktionsfaktorer, LENI-tal'!R31)</f>
        <v>KONTOR</v>
      </c>
      <c r="F261" s="561" t="str">
        <f>UPPER('4. Reduktionsfaktorer, LENI-tal'!S31)</f>
        <v>BÜRO</v>
      </c>
      <c r="G261" s="561" t="str">
        <f>UPPER('4. Reduktionsfaktorer, LENI-tal'!T31)</f>
        <v>OFFICE</v>
      </c>
    </row>
    <row r="262" spans="1:7" ht="16">
      <c r="A262" s="532" t="s">
        <v>1182</v>
      </c>
      <c r="B262" s="533" t="s">
        <v>257</v>
      </c>
      <c r="C262" s="532" t="s">
        <v>1149</v>
      </c>
      <c r="D262" s="532" t="s">
        <v>1183</v>
      </c>
      <c r="F262" s="527"/>
      <c r="G262" s="527"/>
    </row>
    <row r="263" spans="1:7">
      <c r="A263" s="534" t="s">
        <v>265</v>
      </c>
      <c r="B263" s="527" t="s">
        <v>265</v>
      </c>
      <c r="C263" s="562" t="s">
        <v>1149</v>
      </c>
      <c r="D263" s="562" t="s">
        <v>1622</v>
      </c>
      <c r="E263" s="561" t="str">
        <f>UPPER('4. Reduktionsfaktorer, LENI-tal'!R32)</f>
        <v>SKOLE OG RESTAURANT</v>
      </c>
      <c r="F263" s="561" t="str">
        <f>UPPER('4. Reduktionsfaktorer, LENI-tal'!S32)</f>
        <v>SCHULE UND RESTAURANT</v>
      </c>
      <c r="G263" s="561" t="str">
        <f>UPPER('4. Reduktionsfaktorer, LENI-tal'!T32)</f>
        <v>SCHOOL AND RESTAURANT</v>
      </c>
    </row>
    <row r="264" spans="1:7" ht="16">
      <c r="A264" s="532" t="s">
        <v>1229</v>
      </c>
      <c r="B264" s="533" t="s">
        <v>267</v>
      </c>
      <c r="C264" s="532" t="s">
        <v>1149</v>
      </c>
      <c r="D264" s="532" t="s">
        <v>1230</v>
      </c>
      <c r="F264" s="527"/>
      <c r="G264" s="527"/>
    </row>
    <row r="265" spans="1:7">
      <c r="A265" s="534" t="s">
        <v>275</v>
      </c>
      <c r="B265" s="527" t="s">
        <v>275</v>
      </c>
      <c r="C265" s="562" t="s">
        <v>1149</v>
      </c>
      <c r="D265" s="562" t="s">
        <v>1131</v>
      </c>
      <c r="E265" s="561" t="str">
        <f>UPPER('4. Reduktionsfaktorer, LENI-tal'!R33)</f>
        <v>IDRETTSHALL</v>
      </c>
      <c r="F265" s="561" t="str">
        <f>UPPER('4. Reduktionsfaktorer, LENI-tal'!S33)</f>
        <v>SPORTHALLE</v>
      </c>
      <c r="G265" s="561" t="str">
        <f>UPPER('4. Reduktionsfaktorer, LENI-tal'!T33)</f>
        <v>SPORTS HALL</v>
      </c>
    </row>
    <row r="266" spans="1:7" ht="16">
      <c r="A266" s="532" t="s">
        <v>1231</v>
      </c>
      <c r="B266" s="533" t="s">
        <v>277</v>
      </c>
      <c r="C266" s="532" t="s">
        <v>1149</v>
      </c>
      <c r="D266" s="532" t="s">
        <v>1232</v>
      </c>
      <c r="F266" s="527"/>
      <c r="G266" s="527"/>
    </row>
    <row r="267" spans="1:7">
      <c r="A267" s="534" t="s">
        <v>48</v>
      </c>
      <c r="B267" s="527" t="s">
        <v>48</v>
      </c>
      <c r="C267" s="562" t="s">
        <v>1149</v>
      </c>
      <c r="D267" s="562" t="s">
        <v>1623</v>
      </c>
      <c r="E267" s="561" t="str">
        <f>UPPER('4. Reduktionsfaktorer, LENI-tal'!R34)</f>
        <v>SYKEHUS</v>
      </c>
      <c r="F267" s="561" t="str">
        <f>UPPER('4. Reduktionsfaktorer, LENI-tal'!S34)</f>
        <v>KRANKENHAUS</v>
      </c>
      <c r="G267" s="561" t="str">
        <f>UPPER('4. Reduktionsfaktorer, LENI-tal'!T34)</f>
        <v>HOSPITAL</v>
      </c>
    </row>
    <row r="268" spans="1:7" ht="16">
      <c r="A268" s="532" t="s">
        <v>1233</v>
      </c>
      <c r="B268" s="533" t="s">
        <v>282</v>
      </c>
      <c r="C268" s="532" t="s">
        <v>1149</v>
      </c>
      <c r="D268" s="532" t="s">
        <v>1234</v>
      </c>
      <c r="F268" s="527"/>
      <c r="G268" s="527"/>
    </row>
    <row r="269" spans="1:7">
      <c r="A269" s="534" t="s">
        <v>47</v>
      </c>
      <c r="B269" s="527" t="s">
        <v>47</v>
      </c>
      <c r="C269" s="562" t="s">
        <v>1149</v>
      </c>
      <c r="D269" s="562" t="s">
        <v>1624</v>
      </c>
      <c r="E269" s="561" t="str">
        <f>UPPER('4. Reduktionsfaktorer, LENI-tal'!R35)</f>
        <v>INDUSTRI</v>
      </c>
      <c r="F269" s="561" t="str">
        <f>UPPER('4. Reduktionsfaktorer, LENI-tal'!S35)</f>
        <v>INDUSTRIE</v>
      </c>
      <c r="G269" s="561" t="str">
        <f>UPPER('4. Reduktionsfaktorer, LENI-tal'!T35)</f>
        <v>INDUSTRY</v>
      </c>
    </row>
    <row r="270" spans="1:7" ht="32">
      <c r="A270" s="532" t="s">
        <v>1150</v>
      </c>
      <c r="B270" s="533" t="s">
        <v>1151</v>
      </c>
      <c r="C270" s="532" t="s">
        <v>1149</v>
      </c>
      <c r="D270" s="532" t="s">
        <v>1152</v>
      </c>
      <c r="F270" s="527"/>
      <c r="G270" s="527"/>
    </row>
    <row r="271" spans="1:7" ht="16">
      <c r="A271" s="532" t="s">
        <v>246</v>
      </c>
      <c r="B271" s="533" t="s">
        <v>246</v>
      </c>
      <c r="C271" s="532" t="s">
        <v>1149</v>
      </c>
      <c r="D271" s="532" t="s">
        <v>1075</v>
      </c>
      <c r="F271" s="527"/>
      <c r="G271" s="527"/>
    </row>
    <row r="272" spans="1:7">
      <c r="A272" s="532"/>
      <c r="B272" s="533"/>
      <c r="C272" s="532"/>
      <c r="D272" s="532"/>
      <c r="F272" s="527"/>
      <c r="G272" s="527"/>
    </row>
    <row r="273" spans="1:7">
      <c r="A273" s="534" t="s">
        <v>1489</v>
      </c>
      <c r="B273" s="527" t="s">
        <v>1489</v>
      </c>
      <c r="C273" s="562" t="s">
        <v>1149</v>
      </c>
      <c r="D273" s="562" t="s">
        <v>1175</v>
      </c>
      <c r="E273" s="527" t="s">
        <v>1490</v>
      </c>
      <c r="F273" s="527" t="s">
        <v>1491</v>
      </c>
      <c r="G273" s="537" t="s">
        <v>1492</v>
      </c>
    </row>
    <row r="274" spans="1:7">
      <c r="A274" s="532"/>
      <c r="B274" s="533"/>
      <c r="C274" s="532"/>
      <c r="D274" s="532"/>
      <c r="F274" s="527"/>
      <c r="G274" s="527"/>
    </row>
    <row r="275" spans="1:7">
      <c r="A275" s="534" t="s">
        <v>1493</v>
      </c>
      <c r="B275" s="527" t="s">
        <v>1493</v>
      </c>
      <c r="C275" s="562" t="s">
        <v>1149</v>
      </c>
      <c r="D275" s="562" t="s">
        <v>1184</v>
      </c>
      <c r="E275" s="527" t="s">
        <v>1494</v>
      </c>
      <c r="F275" s="527" t="s">
        <v>1495</v>
      </c>
      <c r="G275" s="537" t="s">
        <v>1496</v>
      </c>
    </row>
    <row r="276" spans="1:7">
      <c r="A276" s="532"/>
      <c r="B276" s="533"/>
      <c r="C276" s="532"/>
      <c r="D276" s="532"/>
      <c r="F276" s="527"/>
      <c r="G276" s="527"/>
    </row>
    <row r="277" spans="1:7">
      <c r="A277" s="534" t="s">
        <v>1497</v>
      </c>
      <c r="B277" s="527" t="s">
        <v>1497</v>
      </c>
      <c r="C277" s="562" t="s">
        <v>1149</v>
      </c>
      <c r="D277" s="562" t="s">
        <v>1086</v>
      </c>
      <c r="E277" s="527" t="s">
        <v>1498</v>
      </c>
      <c r="F277" s="527" t="s">
        <v>1499</v>
      </c>
      <c r="G277" s="537" t="s">
        <v>1500</v>
      </c>
    </row>
    <row r="278" spans="1:7">
      <c r="A278" s="534" t="s">
        <v>258</v>
      </c>
      <c r="B278" s="527" t="s">
        <v>258</v>
      </c>
      <c r="C278" s="562" t="s">
        <v>1149</v>
      </c>
      <c r="D278" s="562" t="s">
        <v>1090</v>
      </c>
      <c r="E278" s="527" t="s">
        <v>258</v>
      </c>
      <c r="F278" s="527" t="s">
        <v>1501</v>
      </c>
      <c r="G278" s="537" t="s">
        <v>1502</v>
      </c>
    </row>
    <row r="279" spans="1:7">
      <c r="A279" s="532"/>
      <c r="B279" s="533"/>
      <c r="C279" s="532"/>
      <c r="D279" s="532"/>
      <c r="F279" s="527"/>
      <c r="G279" s="527"/>
    </row>
    <row r="280" spans="1:7">
      <c r="A280" s="534" t="s">
        <v>259</v>
      </c>
      <c r="B280" s="527" t="s">
        <v>259</v>
      </c>
      <c r="C280" s="562" t="s">
        <v>1149</v>
      </c>
      <c r="D280" s="562" t="s">
        <v>1202</v>
      </c>
      <c r="E280" s="527" t="s">
        <v>1503</v>
      </c>
      <c r="F280" s="527" t="s">
        <v>1504</v>
      </c>
      <c r="G280" s="537" t="s">
        <v>1505</v>
      </c>
    </row>
    <row r="281" spans="1:7">
      <c r="A281" s="532"/>
      <c r="B281" s="533"/>
      <c r="C281" s="532"/>
      <c r="D281" s="532"/>
      <c r="F281" s="527"/>
      <c r="G281" s="527"/>
    </row>
    <row r="282" spans="1:7">
      <c r="A282" s="534" t="s">
        <v>260</v>
      </c>
      <c r="B282" s="527" t="s">
        <v>260</v>
      </c>
      <c r="C282" s="562" t="s">
        <v>1149</v>
      </c>
      <c r="D282" s="562" t="s">
        <v>1209</v>
      </c>
      <c r="E282" s="527" t="s">
        <v>1506</v>
      </c>
      <c r="F282" s="527" t="s">
        <v>1507</v>
      </c>
      <c r="G282" s="537" t="s">
        <v>1508</v>
      </c>
    </row>
    <row r="283" spans="1:7">
      <c r="A283" s="532"/>
      <c r="B283" s="533"/>
      <c r="C283" s="532"/>
      <c r="D283" s="532"/>
      <c r="F283" s="527"/>
      <c r="G283" s="527"/>
    </row>
    <row r="284" spans="1:7">
      <c r="A284" s="534" t="s">
        <v>261</v>
      </c>
      <c r="B284" s="527" t="s">
        <v>261</v>
      </c>
      <c r="C284" s="562" t="s">
        <v>1149</v>
      </c>
      <c r="D284" s="562" t="s">
        <v>1099</v>
      </c>
      <c r="E284" s="527" t="s">
        <v>1509</v>
      </c>
      <c r="F284" s="527" t="s">
        <v>1510</v>
      </c>
      <c r="G284" s="537" t="s">
        <v>1511</v>
      </c>
    </row>
    <row r="285" spans="1:7">
      <c r="A285" s="534" t="s">
        <v>262</v>
      </c>
      <c r="B285" s="527" t="s">
        <v>262</v>
      </c>
      <c r="C285" s="562" t="s">
        <v>1149</v>
      </c>
      <c r="D285" s="562" t="s">
        <v>1625</v>
      </c>
      <c r="E285" s="527" t="s">
        <v>1512</v>
      </c>
      <c r="F285" s="527" t="s">
        <v>1513</v>
      </c>
      <c r="G285" s="537" t="s">
        <v>1514</v>
      </c>
    </row>
    <row r="286" spans="1:7">
      <c r="A286" s="532"/>
      <c r="B286" s="533"/>
      <c r="C286" s="532"/>
      <c r="D286" s="532"/>
      <c r="F286" s="527"/>
      <c r="G286" s="527"/>
    </row>
    <row r="287" spans="1:7">
      <c r="A287" s="534" t="s">
        <v>263</v>
      </c>
      <c r="B287" s="527" t="s">
        <v>263</v>
      </c>
      <c r="C287" s="562" t="s">
        <v>1149</v>
      </c>
      <c r="D287" s="562" t="s">
        <v>1223</v>
      </c>
      <c r="E287" s="527" t="s">
        <v>263</v>
      </c>
      <c r="F287" s="527" t="s">
        <v>263</v>
      </c>
      <c r="G287" s="537" t="s">
        <v>263</v>
      </c>
    </row>
    <row r="288" spans="1:7">
      <c r="A288" s="532"/>
      <c r="B288" s="533"/>
      <c r="C288" s="532"/>
      <c r="D288" s="532"/>
      <c r="F288" s="527"/>
      <c r="G288" s="527"/>
    </row>
    <row r="289" spans="1:7">
      <c r="A289" s="534" t="s">
        <v>264</v>
      </c>
      <c r="B289" s="527" t="s">
        <v>264</v>
      </c>
      <c r="C289" s="562" t="s">
        <v>1149</v>
      </c>
      <c r="D289" s="562" t="s">
        <v>1228</v>
      </c>
      <c r="E289" s="527" t="s">
        <v>1515</v>
      </c>
      <c r="F289" s="527" t="s">
        <v>1516</v>
      </c>
      <c r="G289" s="537" t="s">
        <v>1517</v>
      </c>
    </row>
    <row r="290" spans="1:7">
      <c r="A290" s="532"/>
      <c r="B290" s="533"/>
      <c r="C290" s="532"/>
      <c r="D290" s="532"/>
      <c r="F290" s="527"/>
      <c r="G290" s="527"/>
    </row>
    <row r="291" spans="1:7">
      <c r="A291" s="534" t="s">
        <v>1518</v>
      </c>
      <c r="B291" s="527" t="s">
        <v>1518</v>
      </c>
      <c r="C291" s="562" t="s">
        <v>1149</v>
      </c>
      <c r="D291" s="562" t="s">
        <v>438</v>
      </c>
      <c r="E291" s="527" t="s">
        <v>1519</v>
      </c>
      <c r="F291" s="527" t="s">
        <v>1520</v>
      </c>
      <c r="G291" s="537" t="s">
        <v>1521</v>
      </c>
    </row>
    <row r="292" spans="1:7">
      <c r="A292" s="534" t="s">
        <v>266</v>
      </c>
      <c r="B292" s="558" t="s">
        <v>266</v>
      </c>
      <c r="C292" s="562" t="s">
        <v>1149</v>
      </c>
      <c r="D292" s="534" t="s">
        <v>441</v>
      </c>
      <c r="E292" s="527" t="s">
        <v>1522</v>
      </c>
      <c r="F292" s="527" t="s">
        <v>1523</v>
      </c>
      <c r="G292" s="537" t="s">
        <v>1524</v>
      </c>
    </row>
    <row r="293" spans="1:7">
      <c r="A293" s="534" t="s">
        <v>268</v>
      </c>
      <c r="B293" s="558" t="s">
        <v>268</v>
      </c>
      <c r="C293" s="562" t="s">
        <v>1149</v>
      </c>
      <c r="D293" s="534" t="s">
        <v>443</v>
      </c>
      <c r="E293" s="527" t="s">
        <v>1525</v>
      </c>
      <c r="F293" s="527" t="s">
        <v>1526</v>
      </c>
      <c r="G293" s="537" t="s">
        <v>1527</v>
      </c>
    </row>
    <row r="294" spans="1:7">
      <c r="A294" s="534" t="s">
        <v>258</v>
      </c>
      <c r="B294" s="558" t="s">
        <v>258</v>
      </c>
      <c r="C294" s="562" t="s">
        <v>1149</v>
      </c>
      <c r="D294" s="534" t="s">
        <v>1115</v>
      </c>
      <c r="E294" s="527" t="s">
        <v>258</v>
      </c>
      <c r="F294" s="527" t="s">
        <v>1501</v>
      </c>
      <c r="G294" s="537" t="s">
        <v>1502</v>
      </c>
    </row>
    <row r="295" spans="1:7">
      <c r="A295" s="534" t="s">
        <v>269</v>
      </c>
      <c r="B295" s="558" t="s">
        <v>269</v>
      </c>
      <c r="C295" s="562" t="s">
        <v>1149</v>
      </c>
      <c r="D295" s="534" t="s">
        <v>445</v>
      </c>
      <c r="E295" s="527" t="s">
        <v>269</v>
      </c>
      <c r="F295" s="527" t="s">
        <v>269</v>
      </c>
      <c r="G295" s="537" t="s">
        <v>1528</v>
      </c>
    </row>
    <row r="296" spans="1:7">
      <c r="A296" s="534" t="s">
        <v>270</v>
      </c>
      <c r="B296" s="558" t="s">
        <v>270</v>
      </c>
      <c r="C296" s="562" t="s">
        <v>1149</v>
      </c>
      <c r="D296" s="534" t="s">
        <v>448</v>
      </c>
      <c r="E296" s="527" t="s">
        <v>1529</v>
      </c>
      <c r="F296" s="527" t="s">
        <v>1530</v>
      </c>
      <c r="G296" s="537" t="s">
        <v>1531</v>
      </c>
    </row>
    <row r="297" spans="1:7">
      <c r="A297" s="534" t="s">
        <v>271</v>
      </c>
      <c r="B297" s="558" t="s">
        <v>271</v>
      </c>
      <c r="C297" s="562" t="s">
        <v>1149</v>
      </c>
      <c r="D297" s="534" t="s">
        <v>454</v>
      </c>
      <c r="E297" s="527" t="s">
        <v>1532</v>
      </c>
      <c r="F297" s="527" t="s">
        <v>1533</v>
      </c>
      <c r="G297" s="537" t="s">
        <v>1534</v>
      </c>
    </row>
    <row r="298" spans="1:7">
      <c r="A298" s="534" t="s">
        <v>272</v>
      </c>
      <c r="B298" s="558" t="s">
        <v>272</v>
      </c>
      <c r="C298" s="562" t="s">
        <v>1149</v>
      </c>
      <c r="D298" s="534" t="s">
        <v>605</v>
      </c>
      <c r="E298" s="527" t="s">
        <v>1535</v>
      </c>
      <c r="F298" s="527" t="s">
        <v>1536</v>
      </c>
      <c r="G298" s="537" t="s">
        <v>1537</v>
      </c>
    </row>
    <row r="299" spans="1:7">
      <c r="A299" s="534" t="s">
        <v>273</v>
      </c>
      <c r="B299" s="558" t="s">
        <v>273</v>
      </c>
      <c r="C299" s="562" t="s">
        <v>1149</v>
      </c>
      <c r="D299" s="534" t="s">
        <v>460</v>
      </c>
      <c r="E299" s="527" t="s">
        <v>1538</v>
      </c>
      <c r="F299" s="527" t="s">
        <v>1539</v>
      </c>
      <c r="G299" s="537" t="s">
        <v>1540</v>
      </c>
    </row>
    <row r="300" spans="1:7">
      <c r="A300" s="534" t="s">
        <v>1541</v>
      </c>
      <c r="B300" s="558" t="s">
        <v>1541</v>
      </c>
      <c r="C300" s="562" t="s">
        <v>1149</v>
      </c>
      <c r="D300" s="534" t="s">
        <v>463</v>
      </c>
      <c r="E300" s="527" t="s">
        <v>1542</v>
      </c>
      <c r="F300" s="527" t="s">
        <v>1543</v>
      </c>
      <c r="G300" s="537" t="s">
        <v>1544</v>
      </c>
    </row>
    <row r="301" spans="1:7">
      <c r="A301" s="534" t="s">
        <v>276</v>
      </c>
      <c r="B301" s="527" t="s">
        <v>276</v>
      </c>
      <c r="C301" s="534" t="s">
        <v>1149</v>
      </c>
      <c r="D301" s="534" t="s">
        <v>464</v>
      </c>
      <c r="E301" s="527" t="s">
        <v>1545</v>
      </c>
      <c r="F301" s="527" t="s">
        <v>1546</v>
      </c>
      <c r="G301" s="537" t="s">
        <v>1547</v>
      </c>
    </row>
    <row r="302" spans="1:7">
      <c r="A302" s="534" t="s">
        <v>278</v>
      </c>
      <c r="B302" s="527" t="s">
        <v>278</v>
      </c>
      <c r="C302" s="534" t="s">
        <v>1149</v>
      </c>
      <c r="D302" s="534" t="s">
        <v>466</v>
      </c>
      <c r="E302" s="527" t="s">
        <v>1548</v>
      </c>
      <c r="F302" s="527" t="s">
        <v>1549</v>
      </c>
      <c r="G302" s="537" t="s">
        <v>1550</v>
      </c>
    </row>
    <row r="303" spans="1:7">
      <c r="A303" s="534" t="s">
        <v>262</v>
      </c>
      <c r="B303" s="527" t="s">
        <v>262</v>
      </c>
      <c r="C303" s="534" t="s">
        <v>1149</v>
      </c>
      <c r="D303" s="534" t="s">
        <v>1626</v>
      </c>
      <c r="E303" s="527" t="s">
        <v>1512</v>
      </c>
      <c r="F303" s="527" t="s">
        <v>1513</v>
      </c>
      <c r="G303" s="537" t="s">
        <v>1514</v>
      </c>
    </row>
    <row r="304" spans="1:7">
      <c r="A304" s="534" t="s">
        <v>1551</v>
      </c>
      <c r="B304" s="527" t="s">
        <v>1551</v>
      </c>
      <c r="C304" s="534" t="s">
        <v>1149</v>
      </c>
      <c r="D304" s="534" t="s">
        <v>648</v>
      </c>
      <c r="E304" s="527" t="s">
        <v>1552</v>
      </c>
      <c r="F304" s="527" t="s">
        <v>1553</v>
      </c>
      <c r="G304" s="537" t="s">
        <v>1554</v>
      </c>
    </row>
    <row r="305" spans="1:7">
      <c r="A305" s="534" t="s">
        <v>1555</v>
      </c>
      <c r="B305" s="527" t="s">
        <v>1555</v>
      </c>
      <c r="C305" s="534" t="s">
        <v>1149</v>
      </c>
      <c r="D305" s="534" t="s">
        <v>1627</v>
      </c>
      <c r="E305" s="527" t="s">
        <v>1556</v>
      </c>
      <c r="F305" s="527" t="s">
        <v>1557</v>
      </c>
      <c r="G305" s="537" t="s">
        <v>1558</v>
      </c>
    </row>
    <row r="306" spans="1:7">
      <c r="A306" s="534" t="s">
        <v>281</v>
      </c>
      <c r="B306" s="527" t="s">
        <v>281</v>
      </c>
      <c r="C306" s="534" t="s">
        <v>1149</v>
      </c>
      <c r="D306" s="534" t="s">
        <v>1144</v>
      </c>
      <c r="E306" s="527" t="s">
        <v>1559</v>
      </c>
      <c r="F306" s="527" t="s">
        <v>1560</v>
      </c>
      <c r="G306" s="537" t="s">
        <v>1561</v>
      </c>
    </row>
    <row r="307" spans="1:7">
      <c r="A307" s="534" t="s">
        <v>283</v>
      </c>
      <c r="B307" s="527" t="s">
        <v>283</v>
      </c>
      <c r="C307" s="534" t="s">
        <v>1149</v>
      </c>
      <c r="D307" s="534" t="s">
        <v>1628</v>
      </c>
      <c r="E307" s="527" t="s">
        <v>1562</v>
      </c>
      <c r="F307" s="527" t="s">
        <v>1563</v>
      </c>
      <c r="G307" s="537" t="s">
        <v>1564</v>
      </c>
    </row>
    <row r="308" spans="1:7">
      <c r="A308" s="534" t="s">
        <v>284</v>
      </c>
      <c r="B308" s="527" t="s">
        <v>284</v>
      </c>
      <c r="C308" s="534" t="s">
        <v>1149</v>
      </c>
      <c r="D308" s="534" t="s">
        <v>1629</v>
      </c>
      <c r="E308" s="527" t="s">
        <v>1565</v>
      </c>
      <c r="F308" s="527" t="s">
        <v>1566</v>
      </c>
      <c r="G308" s="537" t="s">
        <v>1567</v>
      </c>
    </row>
    <row r="309" spans="1:7">
      <c r="A309" s="534" t="s">
        <v>285</v>
      </c>
      <c r="B309" s="527" t="s">
        <v>285</v>
      </c>
      <c r="C309" s="534" t="s">
        <v>1149</v>
      </c>
      <c r="D309" s="534" t="s">
        <v>1630</v>
      </c>
      <c r="E309" s="527" t="s">
        <v>1568</v>
      </c>
      <c r="F309" s="527" t="s">
        <v>1569</v>
      </c>
      <c r="G309" s="537" t="s">
        <v>1570</v>
      </c>
    </row>
    <row r="310" spans="1:7">
      <c r="A310" s="534" t="s">
        <v>286</v>
      </c>
      <c r="B310" s="527" t="s">
        <v>286</v>
      </c>
      <c r="C310" s="534" t="s">
        <v>1149</v>
      </c>
      <c r="D310" s="534" t="s">
        <v>1631</v>
      </c>
      <c r="E310" s="527" t="s">
        <v>1571</v>
      </c>
      <c r="F310" s="527" t="s">
        <v>1572</v>
      </c>
      <c r="G310" s="537" t="s">
        <v>1573</v>
      </c>
    </row>
    <row r="311" spans="1:7">
      <c r="A311" s="534" t="s">
        <v>1574</v>
      </c>
      <c r="B311" s="527" t="s">
        <v>1574</v>
      </c>
      <c r="C311" s="534" t="s">
        <v>1149</v>
      </c>
      <c r="D311" s="534" t="s">
        <v>1632</v>
      </c>
      <c r="E311" s="527" t="s">
        <v>1575</v>
      </c>
      <c r="F311" s="527" t="s">
        <v>1576</v>
      </c>
      <c r="G311" s="537" t="s">
        <v>1577</v>
      </c>
    </row>
    <row r="312" spans="1:7">
      <c r="A312" s="534" t="s">
        <v>288</v>
      </c>
      <c r="B312" s="527" t="s">
        <v>288</v>
      </c>
      <c r="C312" s="534" t="s">
        <v>1149</v>
      </c>
      <c r="D312" s="534" t="s">
        <v>1633</v>
      </c>
      <c r="E312" s="527" t="s">
        <v>1578</v>
      </c>
      <c r="F312" s="527" t="s">
        <v>1579</v>
      </c>
      <c r="G312" s="537" t="s">
        <v>1580</v>
      </c>
    </row>
    <row r="313" spans="1:7">
      <c r="A313" s="534" t="s">
        <v>52</v>
      </c>
      <c r="B313" s="527" t="s">
        <v>52</v>
      </c>
      <c r="C313" s="534" t="s">
        <v>1149</v>
      </c>
      <c r="D313" s="534" t="s">
        <v>1634</v>
      </c>
      <c r="E313" s="527" t="s">
        <v>52</v>
      </c>
      <c r="F313" s="527" t="s">
        <v>1581</v>
      </c>
      <c r="G313" s="537" t="s">
        <v>1582</v>
      </c>
    </row>
    <row r="314" spans="1:7">
      <c r="A314" s="534" t="s">
        <v>289</v>
      </c>
      <c r="B314" s="527" t="s">
        <v>289</v>
      </c>
      <c r="C314" s="534" t="s">
        <v>1149</v>
      </c>
      <c r="D314" s="534" t="s">
        <v>1635</v>
      </c>
      <c r="E314" s="527" t="s">
        <v>289</v>
      </c>
      <c r="F314" s="527" t="s">
        <v>1583</v>
      </c>
      <c r="G314" s="537" t="s">
        <v>1584</v>
      </c>
    </row>
    <row r="315" spans="1:7">
      <c r="A315" s="534" t="s">
        <v>290</v>
      </c>
      <c r="B315" s="527" t="s">
        <v>290</v>
      </c>
      <c r="C315" s="534" t="s">
        <v>1149</v>
      </c>
      <c r="D315" s="534" t="s">
        <v>1636</v>
      </c>
      <c r="E315" s="527" t="s">
        <v>1585</v>
      </c>
      <c r="F315" s="527" t="s">
        <v>1586</v>
      </c>
      <c r="G315" s="537" t="s">
        <v>1587</v>
      </c>
    </row>
    <row r="316" spans="1:7">
      <c r="A316" s="534" t="s">
        <v>51</v>
      </c>
      <c r="B316" s="527" t="s">
        <v>51</v>
      </c>
      <c r="C316" s="534" t="s">
        <v>1149</v>
      </c>
      <c r="D316" s="534" t="s">
        <v>1637</v>
      </c>
      <c r="E316" s="527" t="s">
        <v>51</v>
      </c>
      <c r="F316" s="527" t="s">
        <v>1588</v>
      </c>
      <c r="G316" s="537" t="s">
        <v>1589</v>
      </c>
    </row>
    <row r="317" spans="1:7">
      <c r="A317" s="534" t="s">
        <v>291</v>
      </c>
      <c r="B317" s="527" t="s">
        <v>291</v>
      </c>
      <c r="C317" s="534" t="s">
        <v>1149</v>
      </c>
      <c r="D317" s="534" t="s">
        <v>1638</v>
      </c>
      <c r="E317" s="527" t="s">
        <v>1590</v>
      </c>
      <c r="F317" s="527" t="s">
        <v>1591</v>
      </c>
      <c r="G317" s="537" t="s">
        <v>1592</v>
      </c>
    </row>
    <row r="318" spans="1:7">
      <c r="A318" s="534" t="s">
        <v>292</v>
      </c>
      <c r="B318" s="527" t="s">
        <v>292</v>
      </c>
      <c r="C318" s="534" t="s">
        <v>1149</v>
      </c>
      <c r="D318" s="534" t="s">
        <v>1639</v>
      </c>
      <c r="E318" s="527" t="s">
        <v>1593</v>
      </c>
      <c r="F318" s="527" t="s">
        <v>1594</v>
      </c>
      <c r="G318" s="537" t="s">
        <v>1595</v>
      </c>
    </row>
    <row r="319" spans="1:7">
      <c r="A319" s="534" t="s">
        <v>293</v>
      </c>
      <c r="B319" s="527" t="s">
        <v>293</v>
      </c>
      <c r="C319" s="534" t="s">
        <v>1149</v>
      </c>
      <c r="D319" s="534" t="s">
        <v>1440</v>
      </c>
      <c r="E319" s="527" t="s">
        <v>1596</v>
      </c>
      <c r="F319" s="527" t="s">
        <v>1597</v>
      </c>
      <c r="G319" s="537" t="s">
        <v>1598</v>
      </c>
    </row>
    <row r="320" spans="1:7" ht="16">
      <c r="A320" s="532" t="s">
        <v>1235</v>
      </c>
      <c r="B320" s="533" t="s">
        <v>297</v>
      </c>
      <c r="C320" s="532" t="s">
        <v>1236</v>
      </c>
      <c r="D320" s="532" t="s">
        <v>1072</v>
      </c>
      <c r="F320" s="527"/>
      <c r="G320" s="527"/>
    </row>
    <row r="321" spans="1:7" ht="16">
      <c r="A321" s="532" t="s">
        <v>298</v>
      </c>
      <c r="B321" s="533" t="s">
        <v>298</v>
      </c>
      <c r="C321" s="532" t="s">
        <v>1236</v>
      </c>
      <c r="D321" s="532" t="s">
        <v>1237</v>
      </c>
      <c r="F321" s="527"/>
      <c r="G321" s="527"/>
    </row>
    <row r="322" spans="1:7" ht="32">
      <c r="A322" s="532" t="s">
        <v>1238</v>
      </c>
      <c r="B322" s="533" t="s">
        <v>299</v>
      </c>
      <c r="C322" s="532" t="s">
        <v>1236</v>
      </c>
      <c r="D322" s="532" t="s">
        <v>428</v>
      </c>
      <c r="F322" s="527"/>
      <c r="G322" s="527"/>
    </row>
    <row r="323" spans="1:7" ht="16">
      <c r="A323" s="532" t="s">
        <v>1239</v>
      </c>
      <c r="B323" s="533" t="s">
        <v>300</v>
      </c>
      <c r="C323" s="532" t="s">
        <v>1236</v>
      </c>
      <c r="D323" s="532" t="s">
        <v>1074</v>
      </c>
      <c r="F323" s="527"/>
      <c r="G323" s="527"/>
    </row>
    <row r="324" spans="1:7" ht="16">
      <c r="A324" s="532" t="s">
        <v>1240</v>
      </c>
      <c r="B324" s="533" t="s">
        <v>301</v>
      </c>
      <c r="C324" s="532" t="s">
        <v>1236</v>
      </c>
      <c r="D324" s="532" t="s">
        <v>1076</v>
      </c>
      <c r="F324" s="527"/>
      <c r="G324" s="527"/>
    </row>
    <row r="325" spans="1:7" ht="16">
      <c r="A325" s="532" t="s">
        <v>1241</v>
      </c>
      <c r="B325" s="533" t="s">
        <v>302</v>
      </c>
      <c r="C325" s="532" t="s">
        <v>1236</v>
      </c>
      <c r="D325" s="532" t="s">
        <v>1242</v>
      </c>
      <c r="F325" s="527"/>
      <c r="G325" s="527"/>
    </row>
    <row r="326" spans="1:7" ht="16">
      <c r="A326" s="532" t="s">
        <v>1243</v>
      </c>
      <c r="B326" s="533" t="s">
        <v>303</v>
      </c>
      <c r="C326" s="532" t="s">
        <v>1236</v>
      </c>
      <c r="D326" s="532" t="s">
        <v>1078</v>
      </c>
      <c r="F326" s="527"/>
      <c r="G326" s="527"/>
    </row>
    <row r="327" spans="1:7" ht="16">
      <c r="A327" s="532" t="s">
        <v>1244</v>
      </c>
      <c r="B327" s="533" t="s">
        <v>304</v>
      </c>
      <c r="C327" s="532" t="s">
        <v>1236</v>
      </c>
      <c r="D327" s="532" t="s">
        <v>1245</v>
      </c>
      <c r="F327" s="527"/>
      <c r="G327" s="527"/>
    </row>
    <row r="328" spans="1:7" ht="16">
      <c r="A328" s="532" t="s">
        <v>1246</v>
      </c>
      <c r="B328" s="533" t="s">
        <v>305</v>
      </c>
      <c r="C328" s="532" t="s">
        <v>1236</v>
      </c>
      <c r="D328" s="532" t="s">
        <v>1183</v>
      </c>
      <c r="F328" s="527"/>
      <c r="G328" s="527"/>
    </row>
    <row r="329" spans="1:7" ht="16">
      <c r="A329" s="532" t="s">
        <v>1247</v>
      </c>
      <c r="B329" s="533" t="s">
        <v>306</v>
      </c>
      <c r="C329" s="532" t="s">
        <v>1236</v>
      </c>
      <c r="D329" s="532" t="s">
        <v>1084</v>
      </c>
      <c r="F329" s="527"/>
      <c r="G329" s="527"/>
    </row>
    <row r="330" spans="1:7" ht="48">
      <c r="A330" s="532" t="s">
        <v>1248</v>
      </c>
      <c r="B330" s="533" t="s">
        <v>1249</v>
      </c>
      <c r="C330" s="532" t="s">
        <v>1236</v>
      </c>
      <c r="D330" s="532" t="s">
        <v>1250</v>
      </c>
      <c r="F330" s="527"/>
      <c r="G330" s="527"/>
    </row>
    <row r="331" spans="1:7" ht="16">
      <c r="A331" s="532" t="s">
        <v>1251</v>
      </c>
      <c r="B331" s="533" t="s">
        <v>308</v>
      </c>
      <c r="C331" s="532" t="s">
        <v>1236</v>
      </c>
      <c r="D331" s="532" t="s">
        <v>1252</v>
      </c>
      <c r="F331" s="527"/>
      <c r="G331" s="527"/>
    </row>
    <row r="332" spans="1:7" ht="16">
      <c r="A332" s="532" t="s">
        <v>1253</v>
      </c>
      <c r="B332" s="533" t="s">
        <v>1254</v>
      </c>
      <c r="C332" s="532" t="s">
        <v>1236</v>
      </c>
      <c r="D332" s="532" t="s">
        <v>1088</v>
      </c>
      <c r="F332" s="527"/>
      <c r="G332" s="527"/>
    </row>
    <row r="333" spans="1:7" ht="144">
      <c r="A333" s="532" t="s">
        <v>1255</v>
      </c>
      <c r="B333" s="533" t="s">
        <v>1256</v>
      </c>
      <c r="C333" s="532" t="s">
        <v>1236</v>
      </c>
      <c r="D333" s="532" t="s">
        <v>1257</v>
      </c>
      <c r="F333" s="527"/>
      <c r="G333" s="527"/>
    </row>
    <row r="334" spans="1:7" ht="16">
      <c r="A334" s="532" t="s">
        <v>1258</v>
      </c>
      <c r="B334" s="533" t="s">
        <v>311</v>
      </c>
      <c r="C334" s="532" t="s">
        <v>1236</v>
      </c>
      <c r="D334" s="532" t="s">
        <v>1098</v>
      </c>
      <c r="F334" s="527"/>
      <c r="G334" s="527"/>
    </row>
    <row r="335" spans="1:7" ht="16">
      <c r="A335" s="532" t="s">
        <v>1259</v>
      </c>
      <c r="B335" s="533" t="s">
        <v>312</v>
      </c>
      <c r="C335" s="532" t="s">
        <v>1260</v>
      </c>
      <c r="D335" s="532" t="s">
        <v>1261</v>
      </c>
      <c r="F335" s="527"/>
      <c r="G335" s="527"/>
    </row>
    <row r="336" spans="1:7" ht="16">
      <c r="A336" s="532" t="s">
        <v>1262</v>
      </c>
      <c r="B336" s="533" t="s">
        <v>313</v>
      </c>
      <c r="C336" s="532" t="s">
        <v>1260</v>
      </c>
      <c r="D336" s="532" t="s">
        <v>1263</v>
      </c>
      <c r="F336" s="527"/>
      <c r="G336" s="527"/>
    </row>
    <row r="337" spans="1:7" ht="16">
      <c r="A337" s="532" t="s">
        <v>314</v>
      </c>
      <c r="B337" s="533" t="s">
        <v>314</v>
      </c>
      <c r="C337" s="532" t="s">
        <v>1260</v>
      </c>
      <c r="D337" s="532" t="s">
        <v>1264</v>
      </c>
      <c r="F337" s="527"/>
      <c r="G337" s="527"/>
    </row>
    <row r="338" spans="1:7" ht="16">
      <c r="A338" s="532" t="s">
        <v>315</v>
      </c>
      <c r="B338" s="533" t="s">
        <v>315</v>
      </c>
      <c r="C338" s="532" t="s">
        <v>1260</v>
      </c>
      <c r="D338" s="532" t="s">
        <v>1265</v>
      </c>
      <c r="F338" s="527"/>
      <c r="G338" s="527"/>
    </row>
    <row r="339" spans="1:7" ht="16">
      <c r="A339" s="532" t="s">
        <v>316</v>
      </c>
      <c r="B339" s="533" t="s">
        <v>316</v>
      </c>
      <c r="C339" s="532" t="s">
        <v>1260</v>
      </c>
      <c r="D339" s="532" t="s">
        <v>1266</v>
      </c>
      <c r="F339" s="527"/>
      <c r="G339" s="527"/>
    </row>
    <row r="340" spans="1:7" ht="16">
      <c r="A340" s="532" t="s">
        <v>1267</v>
      </c>
      <c r="B340" s="533" t="s">
        <v>317</v>
      </c>
      <c r="C340" s="532" t="s">
        <v>1260</v>
      </c>
      <c r="D340" s="532" t="s">
        <v>1268</v>
      </c>
      <c r="F340" s="527"/>
      <c r="G340" s="527"/>
    </row>
    <row r="341" spans="1:7" ht="16">
      <c r="A341" s="532" t="s">
        <v>1269</v>
      </c>
      <c r="B341" s="533" t="s">
        <v>318</v>
      </c>
      <c r="C341" s="532" t="s">
        <v>1260</v>
      </c>
      <c r="D341" s="532" t="s">
        <v>1270</v>
      </c>
      <c r="F341" s="527"/>
      <c r="G341" s="527"/>
    </row>
    <row r="342" spans="1:7" ht="16">
      <c r="A342" s="532" t="s">
        <v>319</v>
      </c>
      <c r="B342" s="533" t="s">
        <v>319</v>
      </c>
      <c r="C342" s="532" t="s">
        <v>1260</v>
      </c>
      <c r="D342" s="532" t="s">
        <v>1070</v>
      </c>
      <c r="F342" s="527"/>
      <c r="G342" s="527"/>
    </row>
    <row r="343" spans="1:7" ht="16">
      <c r="A343" s="532" t="s">
        <v>1271</v>
      </c>
      <c r="B343" s="533" t="s">
        <v>1272</v>
      </c>
      <c r="C343" s="532" t="s">
        <v>1260</v>
      </c>
      <c r="D343" s="532" t="s">
        <v>1273</v>
      </c>
      <c r="F343" s="527"/>
      <c r="G343" s="527"/>
    </row>
    <row r="344" spans="1:7" ht="16">
      <c r="A344" s="532" t="s">
        <v>320</v>
      </c>
      <c r="B344" s="533" t="s">
        <v>320</v>
      </c>
      <c r="C344" s="532" t="s">
        <v>1260</v>
      </c>
      <c r="D344" s="532" t="s">
        <v>1274</v>
      </c>
      <c r="F344" s="527"/>
      <c r="G344" s="527"/>
    </row>
    <row r="345" spans="1:7" ht="16">
      <c r="A345" s="532" t="s">
        <v>1275</v>
      </c>
      <c r="B345" s="533" t="s">
        <v>321</v>
      </c>
      <c r="C345" s="532" t="s">
        <v>1260</v>
      </c>
      <c r="D345" s="532" t="s">
        <v>429</v>
      </c>
      <c r="F345" s="527"/>
      <c r="G345" s="527"/>
    </row>
    <row r="346" spans="1:7" ht="16">
      <c r="A346" s="532" t="s">
        <v>1276</v>
      </c>
      <c r="B346" s="533" t="s">
        <v>1277</v>
      </c>
      <c r="C346" s="532" t="s">
        <v>1260</v>
      </c>
      <c r="D346" s="532" t="s">
        <v>432</v>
      </c>
      <c r="F346" s="527"/>
      <c r="G346" s="527"/>
    </row>
    <row r="347" spans="1:7" ht="16">
      <c r="A347" s="532" t="s">
        <v>324</v>
      </c>
      <c r="B347" s="533" t="s">
        <v>324</v>
      </c>
      <c r="C347" s="532" t="s">
        <v>1260</v>
      </c>
      <c r="D347" s="532" t="s">
        <v>1278</v>
      </c>
      <c r="F347" s="527"/>
      <c r="G347" s="527"/>
    </row>
    <row r="348" spans="1:7" ht="16">
      <c r="A348" s="532" t="s">
        <v>1279</v>
      </c>
      <c r="B348" s="533" t="s">
        <v>1279</v>
      </c>
      <c r="C348" s="532" t="s">
        <v>1260</v>
      </c>
      <c r="D348" s="532" t="s">
        <v>1280</v>
      </c>
      <c r="F348" s="527"/>
      <c r="G348" s="527"/>
    </row>
    <row r="349" spans="1:7" s="547" customFormat="1" ht="16">
      <c r="A349" s="534" t="s">
        <v>1321</v>
      </c>
      <c r="B349" s="535" t="s">
        <v>1321</v>
      </c>
      <c r="C349" s="534" t="s">
        <v>1283</v>
      </c>
      <c r="D349" s="534" t="s">
        <v>1122</v>
      </c>
      <c r="E349" s="537">
        <v>0</v>
      </c>
      <c r="F349" s="548">
        <v>0</v>
      </c>
      <c r="G349" s="537">
        <v>0</v>
      </c>
    </row>
    <row r="350" spans="1:7" ht="16">
      <c r="A350" s="534" t="s">
        <v>619</v>
      </c>
      <c r="B350" s="535" t="s">
        <v>620</v>
      </c>
      <c r="C350" s="534" t="s">
        <v>522</v>
      </c>
      <c r="D350" s="534" t="s">
        <v>621</v>
      </c>
      <c r="E350" s="527" t="s">
        <v>622</v>
      </c>
      <c r="F350" s="536" t="s">
        <v>623</v>
      </c>
      <c r="G350" s="537" t="s">
        <v>624</v>
      </c>
    </row>
    <row r="351" spans="1:7" ht="16">
      <c r="A351" s="534" t="s">
        <v>1288</v>
      </c>
      <c r="B351" s="535" t="s">
        <v>326</v>
      </c>
      <c r="C351" s="534" t="s">
        <v>1283</v>
      </c>
      <c r="D351" s="534" t="s">
        <v>1289</v>
      </c>
      <c r="E351" s="527" t="s">
        <v>1290</v>
      </c>
      <c r="F351" s="536" t="s">
        <v>1291</v>
      </c>
      <c r="G351" s="537" t="s">
        <v>1292</v>
      </c>
    </row>
    <row r="352" spans="1:7" ht="16">
      <c r="A352" s="534" t="s">
        <v>1298</v>
      </c>
      <c r="B352" s="535" t="s">
        <v>327</v>
      </c>
      <c r="C352" s="534" t="s">
        <v>1283</v>
      </c>
      <c r="D352" s="534" t="s">
        <v>1299</v>
      </c>
      <c r="E352" s="527" t="s">
        <v>1300</v>
      </c>
      <c r="F352" s="536" t="s">
        <v>1301</v>
      </c>
      <c r="G352" s="537" t="s">
        <v>1302</v>
      </c>
    </row>
    <row r="353" spans="1:7" ht="16">
      <c r="A353" s="534" t="s">
        <v>1303</v>
      </c>
      <c r="B353" s="535" t="s">
        <v>328</v>
      </c>
      <c r="C353" s="534" t="s">
        <v>1283</v>
      </c>
      <c r="D353" s="534" t="s">
        <v>1304</v>
      </c>
      <c r="E353" s="527" t="s">
        <v>1305</v>
      </c>
      <c r="F353" s="536" t="s">
        <v>1306</v>
      </c>
      <c r="G353" s="537" t="s">
        <v>1307</v>
      </c>
    </row>
    <row r="354" spans="1:7" ht="16">
      <c r="A354" s="534" t="s">
        <v>21</v>
      </c>
      <c r="B354" s="535" t="s">
        <v>21</v>
      </c>
      <c r="C354" s="534" t="s">
        <v>467</v>
      </c>
      <c r="D354" s="534" t="s">
        <v>468</v>
      </c>
      <c r="E354" s="527" t="s">
        <v>469</v>
      </c>
      <c r="F354" s="536" t="s">
        <v>470</v>
      </c>
      <c r="G354" s="537" t="s">
        <v>471</v>
      </c>
    </row>
    <row r="355" spans="1:7" ht="16">
      <c r="A355" s="534" t="s">
        <v>22</v>
      </c>
      <c r="B355" s="568" t="s">
        <v>314</v>
      </c>
      <c r="C355" s="534" t="s">
        <v>467</v>
      </c>
      <c r="D355" s="534" t="s">
        <v>472</v>
      </c>
      <c r="E355" s="561" t="s">
        <v>1645</v>
      </c>
      <c r="F355" s="569" t="s">
        <v>314</v>
      </c>
      <c r="G355" s="570" t="s">
        <v>1648</v>
      </c>
    </row>
    <row r="356" spans="1:7" ht="16">
      <c r="A356" s="534" t="s">
        <v>23</v>
      </c>
      <c r="B356" s="568" t="s">
        <v>315</v>
      </c>
      <c r="C356" s="534" t="s">
        <v>467</v>
      </c>
      <c r="D356" s="534" t="s">
        <v>473</v>
      </c>
      <c r="E356" s="561" t="s">
        <v>1646</v>
      </c>
      <c r="F356" s="569" t="s">
        <v>315</v>
      </c>
      <c r="G356" s="570" t="s">
        <v>1649</v>
      </c>
    </row>
    <row r="357" spans="1:7" ht="16">
      <c r="A357" s="534" t="s">
        <v>24</v>
      </c>
      <c r="B357" s="568" t="s">
        <v>316</v>
      </c>
      <c r="C357" s="534" t="s">
        <v>467</v>
      </c>
      <c r="D357" s="534" t="s">
        <v>474</v>
      </c>
      <c r="E357" s="561" t="s">
        <v>1647</v>
      </c>
      <c r="F357" s="536" t="s">
        <v>475</v>
      </c>
      <c r="G357" s="570" t="s">
        <v>1650</v>
      </c>
    </row>
    <row r="358" spans="1:7" ht="16">
      <c r="A358" s="534" t="s">
        <v>477</v>
      </c>
      <c r="B358" s="535" t="s">
        <v>26</v>
      </c>
      <c r="C358" s="534" t="s">
        <v>467</v>
      </c>
      <c r="D358" s="534" t="s">
        <v>478</v>
      </c>
      <c r="E358" s="527" t="s">
        <v>479</v>
      </c>
      <c r="F358" s="536" t="s">
        <v>480</v>
      </c>
      <c r="G358" s="537" t="s">
        <v>481</v>
      </c>
    </row>
    <row r="359" spans="1:7" ht="16">
      <c r="A359" s="534" t="s">
        <v>29</v>
      </c>
      <c r="B359" s="535" t="s">
        <v>29</v>
      </c>
      <c r="C359" s="534" t="s">
        <v>467</v>
      </c>
      <c r="D359" s="534" t="s">
        <v>486</v>
      </c>
      <c r="E359" s="527" t="s">
        <v>487</v>
      </c>
      <c r="F359" s="536" t="s">
        <v>488</v>
      </c>
      <c r="G359" s="537" t="s">
        <v>489</v>
      </c>
    </row>
    <row r="360" spans="1:7" ht="16">
      <c r="A360" s="534" t="s">
        <v>32</v>
      </c>
      <c r="B360" s="535" t="s">
        <v>32</v>
      </c>
      <c r="C360" s="534" t="s">
        <v>467</v>
      </c>
      <c r="D360" s="534" t="s">
        <v>492</v>
      </c>
      <c r="E360" s="527" t="s">
        <v>493</v>
      </c>
      <c r="F360" s="536" t="s">
        <v>494</v>
      </c>
      <c r="G360" s="537" t="s">
        <v>495</v>
      </c>
    </row>
    <row r="361" spans="1:7" ht="16">
      <c r="A361" s="534" t="s">
        <v>499</v>
      </c>
      <c r="B361" s="535" t="s">
        <v>35</v>
      </c>
      <c r="C361" s="534" t="s">
        <v>467</v>
      </c>
      <c r="D361" s="534" t="s">
        <v>500</v>
      </c>
      <c r="E361" s="527" t="s">
        <v>501</v>
      </c>
      <c r="F361" s="536" t="s">
        <v>502</v>
      </c>
      <c r="G361" s="537" t="s">
        <v>503</v>
      </c>
    </row>
    <row r="362" spans="1:7" ht="16">
      <c r="A362" s="534" t="s">
        <v>505</v>
      </c>
      <c r="B362" s="535" t="s">
        <v>37</v>
      </c>
      <c r="C362" s="534" t="s">
        <v>467</v>
      </c>
      <c r="D362" s="534" t="s">
        <v>506</v>
      </c>
      <c r="E362" s="527" t="s">
        <v>507</v>
      </c>
      <c r="F362" s="536" t="s">
        <v>508</v>
      </c>
      <c r="G362" s="537" t="s">
        <v>509</v>
      </c>
    </row>
    <row r="363" spans="1:7" ht="16">
      <c r="A363" s="534" t="s">
        <v>40</v>
      </c>
      <c r="B363" s="535" t="s">
        <v>40</v>
      </c>
      <c r="C363" s="534" t="s">
        <v>467</v>
      </c>
      <c r="D363" s="534" t="s">
        <v>514</v>
      </c>
      <c r="E363" s="527" t="s">
        <v>515</v>
      </c>
      <c r="F363" s="536" t="s">
        <v>516</v>
      </c>
      <c r="G363" s="537" t="s">
        <v>517</v>
      </c>
    </row>
    <row r="364" spans="1:7" ht="16">
      <c r="A364" s="534" t="s">
        <v>329</v>
      </c>
      <c r="B364" s="535" t="s">
        <v>329</v>
      </c>
      <c r="C364" s="534" t="s">
        <v>1283</v>
      </c>
      <c r="D364" s="534" t="s">
        <v>1225</v>
      </c>
      <c r="E364" s="527" t="s">
        <v>1308</v>
      </c>
      <c r="F364" s="536" t="s">
        <v>1309</v>
      </c>
      <c r="G364" s="537" t="s">
        <v>1310</v>
      </c>
    </row>
    <row r="365" spans="1:7" ht="16">
      <c r="A365" s="534" t="s">
        <v>27</v>
      </c>
      <c r="B365" s="535" t="s">
        <v>27</v>
      </c>
      <c r="C365" s="534" t="s">
        <v>467</v>
      </c>
      <c r="D365" s="534" t="s">
        <v>482</v>
      </c>
      <c r="E365" s="527" t="s">
        <v>27</v>
      </c>
      <c r="F365" s="536" t="s">
        <v>483</v>
      </c>
      <c r="G365" s="537" t="s">
        <v>484</v>
      </c>
    </row>
    <row r="366" spans="1:7" ht="16">
      <c r="A366" s="534" t="s">
        <v>33</v>
      </c>
      <c r="B366" s="535" t="s">
        <v>33</v>
      </c>
      <c r="C366" s="534" t="s">
        <v>467</v>
      </c>
      <c r="D366" s="534" t="s">
        <v>496</v>
      </c>
      <c r="E366" s="527" t="s">
        <v>33</v>
      </c>
      <c r="F366" s="556" t="s">
        <v>1487</v>
      </c>
      <c r="G366" s="537" t="s">
        <v>497</v>
      </c>
    </row>
    <row r="367" spans="1:7" ht="16">
      <c r="A367" s="534" t="s">
        <v>38</v>
      </c>
      <c r="B367" s="535" t="s">
        <v>510</v>
      </c>
      <c r="C367" s="534" t="s">
        <v>467</v>
      </c>
      <c r="D367" s="534" t="s">
        <v>511</v>
      </c>
      <c r="E367" s="535" t="s">
        <v>510</v>
      </c>
      <c r="F367" s="536" t="s">
        <v>510</v>
      </c>
      <c r="G367" s="537" t="s">
        <v>512</v>
      </c>
    </row>
    <row r="368" spans="1:7" s="547" customFormat="1" ht="16">
      <c r="A368" s="534" t="s">
        <v>41</v>
      </c>
      <c r="B368" s="535" t="s">
        <v>41</v>
      </c>
      <c r="C368" s="534" t="s">
        <v>467</v>
      </c>
      <c r="D368" s="534" t="s">
        <v>518</v>
      </c>
      <c r="E368" s="527" t="s">
        <v>519</v>
      </c>
      <c r="F368" s="536" t="s">
        <v>520</v>
      </c>
      <c r="G368" s="537" t="s">
        <v>521</v>
      </c>
    </row>
    <row r="369" spans="1:7" ht="16">
      <c r="A369" s="532" t="s">
        <v>342</v>
      </c>
      <c r="B369" s="533" t="s">
        <v>342</v>
      </c>
      <c r="C369" s="532" t="s">
        <v>1367</v>
      </c>
      <c r="D369" s="532" t="s">
        <v>419</v>
      </c>
      <c r="F369" s="527"/>
      <c r="G369" s="527"/>
    </row>
    <row r="370" spans="1:7" ht="16">
      <c r="A370" s="532" t="s">
        <v>343</v>
      </c>
      <c r="B370" s="533" t="s">
        <v>343</v>
      </c>
      <c r="C370" s="532" t="s">
        <v>1367</v>
      </c>
      <c r="D370" s="532" t="s">
        <v>1368</v>
      </c>
      <c r="F370" s="527"/>
      <c r="G370" s="527"/>
    </row>
    <row r="371" spans="1:7" ht="16">
      <c r="A371" s="532" t="s">
        <v>344</v>
      </c>
      <c r="B371" s="533" t="s">
        <v>344</v>
      </c>
      <c r="C371" s="532" t="s">
        <v>1367</v>
      </c>
      <c r="D371" s="532" t="s">
        <v>1369</v>
      </c>
      <c r="F371" s="527"/>
      <c r="G371" s="527"/>
    </row>
    <row r="372" spans="1:7" ht="16">
      <c r="A372" s="532" t="s">
        <v>345</v>
      </c>
      <c r="B372" s="533" t="s">
        <v>345</v>
      </c>
      <c r="C372" s="532" t="s">
        <v>1367</v>
      </c>
      <c r="D372" s="532" t="s">
        <v>1370</v>
      </c>
      <c r="F372" s="527"/>
      <c r="G372" s="527"/>
    </row>
    <row r="373" spans="1:7" ht="16">
      <c r="A373" s="532" t="s">
        <v>346</v>
      </c>
      <c r="B373" s="533" t="s">
        <v>346</v>
      </c>
      <c r="C373" s="532" t="s">
        <v>1367</v>
      </c>
      <c r="D373" s="532" t="s">
        <v>1371</v>
      </c>
      <c r="F373" s="527"/>
      <c r="G373" s="527"/>
    </row>
    <row r="374" spans="1:7" ht="16">
      <c r="A374" s="532" t="s">
        <v>347</v>
      </c>
      <c r="B374" s="533" t="s">
        <v>347</v>
      </c>
      <c r="C374" s="532" t="s">
        <v>1367</v>
      </c>
      <c r="D374" s="532" t="s">
        <v>1372</v>
      </c>
      <c r="F374" s="527"/>
      <c r="G374" s="527"/>
    </row>
    <row r="375" spans="1:7" ht="16">
      <c r="A375" s="532" t="s">
        <v>348</v>
      </c>
      <c r="B375" s="533" t="s">
        <v>348</v>
      </c>
      <c r="C375" s="532" t="s">
        <v>1367</v>
      </c>
      <c r="D375" s="532" t="s">
        <v>1373</v>
      </c>
      <c r="F375" s="527"/>
      <c r="G375" s="527"/>
    </row>
    <row r="376" spans="1:7" ht="16">
      <c r="A376" s="532" t="s">
        <v>349</v>
      </c>
      <c r="B376" s="533" t="s">
        <v>349</v>
      </c>
      <c r="C376" s="532" t="s">
        <v>1367</v>
      </c>
      <c r="D376" s="532" t="s">
        <v>523</v>
      </c>
      <c r="F376" s="527"/>
      <c r="G376" s="527"/>
    </row>
    <row r="377" spans="1:7" ht="16">
      <c r="A377" s="532" t="s">
        <v>350</v>
      </c>
      <c r="B377" s="533" t="s">
        <v>350</v>
      </c>
      <c r="C377" s="532" t="s">
        <v>1367</v>
      </c>
      <c r="D377" s="532" t="s">
        <v>1374</v>
      </c>
      <c r="F377" s="527"/>
      <c r="G377" s="527"/>
    </row>
    <row r="378" spans="1:7" ht="16">
      <c r="A378" s="532" t="s">
        <v>1375</v>
      </c>
      <c r="B378" s="533" t="s">
        <v>351</v>
      </c>
      <c r="C378" s="532" t="s">
        <v>1367</v>
      </c>
      <c r="D378" s="532" t="s">
        <v>1376</v>
      </c>
      <c r="F378" s="527"/>
      <c r="G378" s="527"/>
    </row>
    <row r="379" spans="1:7" ht="16">
      <c r="A379" s="532" t="s">
        <v>1377</v>
      </c>
      <c r="B379" s="533" t="s">
        <v>352</v>
      </c>
      <c r="C379" s="532" t="s">
        <v>1378</v>
      </c>
      <c r="D379" s="532" t="s">
        <v>419</v>
      </c>
      <c r="F379" s="527"/>
      <c r="G379" s="527"/>
    </row>
    <row r="380" spans="1:7" ht="16">
      <c r="A380" s="532" t="s">
        <v>353</v>
      </c>
      <c r="B380" s="533" t="s">
        <v>353</v>
      </c>
      <c r="C380" s="532" t="s">
        <v>1379</v>
      </c>
      <c r="D380" s="532" t="s">
        <v>1368</v>
      </c>
      <c r="F380" s="527"/>
      <c r="G380" s="527"/>
    </row>
    <row r="381" spans="1:7" ht="16">
      <c r="A381" s="532" t="s">
        <v>357</v>
      </c>
      <c r="B381" s="533" t="s">
        <v>357</v>
      </c>
      <c r="C381" s="532" t="s">
        <v>1379</v>
      </c>
      <c r="D381" s="532" t="s">
        <v>1369</v>
      </c>
      <c r="F381" s="527"/>
      <c r="G381" s="527"/>
    </row>
    <row r="382" spans="1:7" ht="16">
      <c r="A382" s="532" t="s">
        <v>384</v>
      </c>
      <c r="B382" s="533" t="s">
        <v>384</v>
      </c>
      <c r="C382" s="532" t="s">
        <v>1379</v>
      </c>
      <c r="D382" s="532" t="s">
        <v>1370</v>
      </c>
      <c r="F382" s="527"/>
      <c r="G382" s="527"/>
    </row>
    <row r="383" spans="1:7" ht="16">
      <c r="A383" s="532" t="s">
        <v>1380</v>
      </c>
      <c r="B383" s="533" t="s">
        <v>358</v>
      </c>
      <c r="C383" s="532" t="s">
        <v>1379</v>
      </c>
      <c r="D383" s="532" t="s">
        <v>1381</v>
      </c>
      <c r="F383" s="527"/>
      <c r="G383" s="527"/>
    </row>
    <row r="384" spans="1:7" ht="16">
      <c r="A384" s="532" t="s">
        <v>359</v>
      </c>
      <c r="B384" s="533" t="s">
        <v>359</v>
      </c>
      <c r="C384" s="532" t="s">
        <v>1379</v>
      </c>
      <c r="D384" s="532" t="s">
        <v>1382</v>
      </c>
      <c r="F384" s="527"/>
      <c r="G384" s="527"/>
    </row>
    <row r="385" spans="1:7" ht="16">
      <c r="A385" s="532" t="s">
        <v>360</v>
      </c>
      <c r="B385" s="533" t="s">
        <v>360</v>
      </c>
      <c r="C385" s="532" t="s">
        <v>1379</v>
      </c>
      <c r="D385" s="532" t="s">
        <v>1383</v>
      </c>
      <c r="F385" s="527"/>
      <c r="G385" s="527"/>
    </row>
    <row r="386" spans="1:7" ht="16">
      <c r="A386" s="532" t="s">
        <v>361</v>
      </c>
      <c r="B386" s="533" t="s">
        <v>361</v>
      </c>
      <c r="C386" s="532" t="s">
        <v>1379</v>
      </c>
      <c r="D386" s="532" t="s">
        <v>1384</v>
      </c>
      <c r="F386" s="527"/>
      <c r="G386" s="527"/>
    </row>
    <row r="387" spans="1:7" ht="16">
      <c r="A387" s="532" t="s">
        <v>362</v>
      </c>
      <c r="B387" s="533" t="s">
        <v>362</v>
      </c>
      <c r="C387" s="532" t="s">
        <v>1379</v>
      </c>
      <c r="D387" s="532" t="s">
        <v>1385</v>
      </c>
      <c r="F387" s="527"/>
      <c r="G387" s="527"/>
    </row>
    <row r="388" spans="1:7" ht="16">
      <c r="A388" s="532" t="s">
        <v>363</v>
      </c>
      <c r="B388" s="533" t="s">
        <v>363</v>
      </c>
      <c r="C388" s="532" t="s">
        <v>1379</v>
      </c>
      <c r="D388" s="532" t="s">
        <v>1386</v>
      </c>
      <c r="F388" s="527"/>
      <c r="G388" s="527"/>
    </row>
    <row r="389" spans="1:7" ht="16">
      <c r="A389" s="532" t="s">
        <v>364</v>
      </c>
      <c r="B389" s="533" t="s">
        <v>364</v>
      </c>
      <c r="C389" s="532" t="s">
        <v>1379</v>
      </c>
      <c r="D389" s="532" t="s">
        <v>1274</v>
      </c>
      <c r="F389" s="527"/>
      <c r="G389" s="527"/>
    </row>
    <row r="390" spans="1:7" ht="16">
      <c r="A390" s="532" t="s">
        <v>365</v>
      </c>
      <c r="B390" s="533" t="s">
        <v>365</v>
      </c>
      <c r="C390" s="532" t="s">
        <v>1379</v>
      </c>
      <c r="D390" s="532" t="s">
        <v>1250</v>
      </c>
      <c r="F390" s="527"/>
      <c r="G390" s="527"/>
    </row>
    <row r="391" spans="1:7" ht="16">
      <c r="A391" s="532" t="s">
        <v>366</v>
      </c>
      <c r="B391" s="533" t="s">
        <v>366</v>
      </c>
      <c r="C391" s="532" t="s">
        <v>1379</v>
      </c>
      <c r="D391" s="532" t="s">
        <v>1387</v>
      </c>
      <c r="F391" s="527"/>
      <c r="G391" s="527"/>
    </row>
    <row r="392" spans="1:7" ht="16">
      <c r="A392" s="532" t="s">
        <v>1388</v>
      </c>
      <c r="B392" s="533" t="s">
        <v>367</v>
      </c>
      <c r="C392" s="532" t="s">
        <v>1379</v>
      </c>
      <c r="D392" s="532" t="s">
        <v>1115</v>
      </c>
      <c r="F392" s="527"/>
      <c r="G392" s="527"/>
    </row>
    <row r="393" spans="1:7" ht="16">
      <c r="A393" s="532" t="s">
        <v>1389</v>
      </c>
      <c r="B393" s="533" t="s">
        <v>368</v>
      </c>
      <c r="C393" s="532" t="s">
        <v>1379</v>
      </c>
      <c r="D393" s="532" t="s">
        <v>1019</v>
      </c>
      <c r="F393" s="527"/>
      <c r="G393" s="527"/>
    </row>
    <row r="394" spans="1:7" ht="16">
      <c r="A394" s="532" t="s">
        <v>1390</v>
      </c>
      <c r="B394" s="533" t="s">
        <v>369</v>
      </c>
      <c r="C394" s="532" t="s">
        <v>1379</v>
      </c>
      <c r="D394" s="532" t="s">
        <v>1020</v>
      </c>
      <c r="F394" s="527"/>
      <c r="G394" s="527"/>
    </row>
    <row r="395" spans="1:7" ht="16">
      <c r="A395" s="532" t="s">
        <v>1391</v>
      </c>
      <c r="B395" s="533" t="s">
        <v>370</v>
      </c>
      <c r="C395" s="532" t="s">
        <v>1379</v>
      </c>
      <c r="D395" s="532" t="s">
        <v>1021</v>
      </c>
      <c r="F395" s="527"/>
      <c r="G395" s="527"/>
    </row>
    <row r="396" spans="1:7" ht="16">
      <c r="A396" s="532" t="s">
        <v>1392</v>
      </c>
      <c r="B396" s="533" t="s">
        <v>371</v>
      </c>
      <c r="C396" s="532" t="s">
        <v>1379</v>
      </c>
      <c r="D396" s="532" t="s">
        <v>1022</v>
      </c>
      <c r="F396" s="527"/>
      <c r="G396" s="527"/>
    </row>
    <row r="397" spans="1:7" ht="16">
      <c r="A397" s="532" t="s">
        <v>1393</v>
      </c>
      <c r="B397" s="533" t="s">
        <v>372</v>
      </c>
      <c r="C397" s="532" t="s">
        <v>1379</v>
      </c>
      <c r="D397" s="532" t="s">
        <v>1023</v>
      </c>
      <c r="F397" s="527"/>
      <c r="G397" s="527"/>
    </row>
    <row r="398" spans="1:7" ht="16">
      <c r="A398" s="532" t="s">
        <v>1394</v>
      </c>
      <c r="B398" s="533" t="s">
        <v>373</v>
      </c>
      <c r="C398" s="532" t="s">
        <v>1379</v>
      </c>
      <c r="D398" s="532" t="s">
        <v>1024</v>
      </c>
      <c r="F398" s="527"/>
      <c r="G398" s="527"/>
    </row>
    <row r="399" spans="1:7" ht="16">
      <c r="A399" s="532" t="s">
        <v>1395</v>
      </c>
      <c r="B399" s="533" t="s">
        <v>374</v>
      </c>
      <c r="C399" s="532" t="s">
        <v>1379</v>
      </c>
      <c r="D399" s="532" t="s">
        <v>491</v>
      </c>
      <c r="F399" s="527"/>
      <c r="G399" s="527"/>
    </row>
    <row r="400" spans="1:7" ht="16">
      <c r="A400" s="532" t="s">
        <v>1396</v>
      </c>
      <c r="B400" s="533" t="s">
        <v>375</v>
      </c>
      <c r="C400" s="532" t="s">
        <v>1379</v>
      </c>
      <c r="D400" s="532" t="s">
        <v>492</v>
      </c>
      <c r="F400" s="527"/>
      <c r="G400" s="527"/>
    </row>
    <row r="401" spans="1:7" ht="16">
      <c r="A401" s="532" t="s">
        <v>1397</v>
      </c>
      <c r="B401" s="533" t="s">
        <v>376</v>
      </c>
      <c r="C401" s="532" t="s">
        <v>1379</v>
      </c>
      <c r="D401" s="532" t="s">
        <v>1025</v>
      </c>
      <c r="F401" s="527"/>
      <c r="G401" s="527"/>
    </row>
    <row r="402" spans="1:7" ht="16">
      <c r="A402" s="532" t="s">
        <v>377</v>
      </c>
      <c r="B402" s="533" t="s">
        <v>377</v>
      </c>
      <c r="C402" s="532" t="s">
        <v>1379</v>
      </c>
      <c r="D402" s="532" t="s">
        <v>1398</v>
      </c>
      <c r="F402" s="527"/>
      <c r="G402" s="527"/>
    </row>
    <row r="403" spans="1:7" ht="16">
      <c r="A403" s="532" t="s">
        <v>378</v>
      </c>
      <c r="B403" s="533" t="s">
        <v>378</v>
      </c>
      <c r="C403" s="532" t="s">
        <v>1379</v>
      </c>
      <c r="D403" s="532" t="s">
        <v>1119</v>
      </c>
      <c r="F403" s="527"/>
      <c r="G403" s="527"/>
    </row>
    <row r="404" spans="1:7" ht="16">
      <c r="A404" s="532" t="s">
        <v>379</v>
      </c>
      <c r="B404" s="533" t="s">
        <v>379</v>
      </c>
      <c r="C404" s="532" t="s">
        <v>1379</v>
      </c>
      <c r="D404" s="532" t="s">
        <v>457</v>
      </c>
      <c r="F404" s="527"/>
      <c r="G404" s="527"/>
    </row>
    <row r="405" spans="1:7" ht="16">
      <c r="A405" s="532" t="s">
        <v>1399</v>
      </c>
      <c r="B405" s="533" t="s">
        <v>380</v>
      </c>
      <c r="C405" s="532" t="s">
        <v>1379</v>
      </c>
      <c r="D405" s="532" t="s">
        <v>601</v>
      </c>
      <c r="F405" s="527"/>
      <c r="G405" s="527"/>
    </row>
    <row r="406" spans="1:7" ht="16">
      <c r="A406" s="532" t="s">
        <v>1400</v>
      </c>
      <c r="B406" s="533" t="s">
        <v>381</v>
      </c>
      <c r="C406" s="532" t="s">
        <v>1379</v>
      </c>
      <c r="D406" s="532" t="s">
        <v>1401</v>
      </c>
      <c r="F406" s="527"/>
      <c r="G406" s="527"/>
    </row>
    <row r="407" spans="1:7" ht="16">
      <c r="A407" s="532" t="s">
        <v>1402</v>
      </c>
      <c r="B407" s="533" t="s">
        <v>382</v>
      </c>
      <c r="C407" s="532" t="s">
        <v>1379</v>
      </c>
      <c r="D407" s="532" t="s">
        <v>1403</v>
      </c>
      <c r="F407" s="527"/>
      <c r="G407" s="527"/>
    </row>
    <row r="408" spans="1:7" ht="16">
      <c r="A408" s="532" t="s">
        <v>383</v>
      </c>
      <c r="B408" s="533" t="s">
        <v>383</v>
      </c>
      <c r="C408" s="532" t="s">
        <v>1379</v>
      </c>
      <c r="D408" s="532" t="s">
        <v>1404</v>
      </c>
      <c r="F408" s="527"/>
      <c r="G408" s="527"/>
    </row>
    <row r="409" spans="1:7" ht="16">
      <c r="A409" s="532" t="s">
        <v>385</v>
      </c>
      <c r="B409" s="533" t="s">
        <v>385</v>
      </c>
      <c r="C409" s="532" t="s">
        <v>1379</v>
      </c>
      <c r="D409" s="532" t="s">
        <v>1405</v>
      </c>
      <c r="F409" s="527"/>
      <c r="G409" s="527"/>
    </row>
    <row r="410" spans="1:7" ht="16">
      <c r="A410" s="532" t="s">
        <v>1406</v>
      </c>
      <c r="B410" s="533" t="s">
        <v>1406</v>
      </c>
      <c r="C410" s="532" t="s">
        <v>1379</v>
      </c>
      <c r="D410" s="532" t="s">
        <v>1407</v>
      </c>
      <c r="F410" s="527"/>
      <c r="G410" s="527"/>
    </row>
    <row r="411" spans="1:7" ht="16">
      <c r="A411" s="532" t="s">
        <v>1408</v>
      </c>
      <c r="B411" s="533" t="s">
        <v>387</v>
      </c>
      <c r="C411" s="532" t="s">
        <v>1409</v>
      </c>
      <c r="D411" s="532" t="s">
        <v>1410</v>
      </c>
      <c r="F411" s="527"/>
      <c r="G411" s="527"/>
    </row>
    <row r="412" spans="1:7" ht="16">
      <c r="A412" s="532" t="s">
        <v>1411</v>
      </c>
      <c r="B412" s="533" t="s">
        <v>388</v>
      </c>
      <c r="C412" s="532" t="s">
        <v>1409</v>
      </c>
      <c r="D412" s="532" t="s">
        <v>1412</v>
      </c>
      <c r="F412" s="527"/>
      <c r="G412" s="527"/>
    </row>
    <row r="413" spans="1:7" ht="16">
      <c r="A413" s="532" t="s">
        <v>1413</v>
      </c>
      <c r="B413" s="533" t="s">
        <v>389</v>
      </c>
      <c r="C413" s="532" t="s">
        <v>1409</v>
      </c>
      <c r="D413" s="532" t="s">
        <v>1414</v>
      </c>
      <c r="F413" s="527"/>
      <c r="G413" s="527"/>
    </row>
    <row r="414" spans="1:7" ht="16">
      <c r="A414" s="532" t="s">
        <v>420</v>
      </c>
      <c r="B414" s="533" t="s">
        <v>390</v>
      </c>
      <c r="C414" s="532" t="s">
        <v>1409</v>
      </c>
      <c r="D414" s="532" t="s">
        <v>1415</v>
      </c>
      <c r="F414" s="527"/>
      <c r="G414" s="527"/>
    </row>
    <row r="415" spans="1:7" ht="16">
      <c r="A415" s="532" t="s">
        <v>1416</v>
      </c>
      <c r="B415" s="533" t="s">
        <v>1417</v>
      </c>
      <c r="C415" s="532" t="s">
        <v>1409</v>
      </c>
      <c r="D415" s="532" t="s">
        <v>1418</v>
      </c>
      <c r="F415" s="527"/>
      <c r="G415" s="527"/>
    </row>
    <row r="416" spans="1:7" ht="16">
      <c r="A416" s="532" t="s">
        <v>392</v>
      </c>
      <c r="B416" s="533" t="s">
        <v>392</v>
      </c>
      <c r="C416" s="532" t="s">
        <v>1409</v>
      </c>
      <c r="D416" s="532" t="s">
        <v>1078</v>
      </c>
      <c r="F416" s="527"/>
      <c r="G416" s="527"/>
    </row>
    <row r="417" spans="1:7" ht="16">
      <c r="A417" s="532" t="s">
        <v>1419</v>
      </c>
      <c r="B417" s="533" t="s">
        <v>393</v>
      </c>
      <c r="C417" s="532" t="s">
        <v>1409</v>
      </c>
      <c r="D417" s="532" t="s">
        <v>1179</v>
      </c>
      <c r="F417" s="527"/>
      <c r="G417" s="527"/>
    </row>
    <row r="418" spans="1:7" ht="16">
      <c r="A418" s="532" t="s">
        <v>394</v>
      </c>
      <c r="B418" s="533" t="s">
        <v>394</v>
      </c>
      <c r="C418" s="532" t="s">
        <v>1409</v>
      </c>
      <c r="D418" s="532" t="s">
        <v>1084</v>
      </c>
      <c r="F418" s="527"/>
      <c r="G418" s="527"/>
    </row>
    <row r="419" spans="1:7" ht="16">
      <c r="A419" s="532" t="s">
        <v>1420</v>
      </c>
      <c r="B419" s="533" t="s">
        <v>395</v>
      </c>
      <c r="C419" s="532" t="s">
        <v>1409</v>
      </c>
      <c r="D419" s="532" t="s">
        <v>1421</v>
      </c>
      <c r="F419" s="527"/>
      <c r="G419" s="527"/>
    </row>
    <row r="420" spans="1:7" ht="16">
      <c r="A420" s="532" t="s">
        <v>1422</v>
      </c>
      <c r="B420" s="533" t="s">
        <v>396</v>
      </c>
      <c r="C420" s="532" t="s">
        <v>1409</v>
      </c>
      <c r="D420" s="532" t="s">
        <v>1207</v>
      </c>
      <c r="F420" s="527"/>
      <c r="G420" s="527"/>
    </row>
    <row r="421" spans="1:7" ht="16">
      <c r="A421" s="532" t="s">
        <v>1423</v>
      </c>
      <c r="B421" s="533" t="s">
        <v>399</v>
      </c>
      <c r="C421" s="532" t="s">
        <v>1409</v>
      </c>
      <c r="D421" s="532" t="s">
        <v>1317</v>
      </c>
      <c r="F421" s="527"/>
      <c r="G421" s="527"/>
    </row>
    <row r="422" spans="1:7" ht="16">
      <c r="A422" s="532" t="s">
        <v>1424</v>
      </c>
      <c r="B422" s="533" t="s">
        <v>400</v>
      </c>
      <c r="C422" s="532" t="s">
        <v>1409</v>
      </c>
      <c r="D422" s="532" t="s">
        <v>1425</v>
      </c>
      <c r="F422" s="527"/>
      <c r="G422" s="527"/>
    </row>
    <row r="423" spans="1:7" ht="16">
      <c r="A423" s="532" t="s">
        <v>1426</v>
      </c>
      <c r="B423" s="533" t="s">
        <v>401</v>
      </c>
      <c r="C423" s="532" t="s">
        <v>1409</v>
      </c>
      <c r="D423" s="532" t="s">
        <v>1427</v>
      </c>
      <c r="F423" s="527"/>
      <c r="G423" s="527"/>
    </row>
    <row r="424" spans="1:7" ht="16">
      <c r="A424" s="532" t="s">
        <v>1428</v>
      </c>
      <c r="B424" s="533" t="s">
        <v>402</v>
      </c>
      <c r="C424" s="532" t="s">
        <v>1409</v>
      </c>
      <c r="D424" s="532" t="s">
        <v>1429</v>
      </c>
      <c r="F424" s="527"/>
      <c r="G424" s="527"/>
    </row>
    <row r="425" spans="1:7" ht="16">
      <c r="A425" s="532" t="s">
        <v>1430</v>
      </c>
      <c r="B425" s="533" t="s">
        <v>403</v>
      </c>
      <c r="C425" s="532" t="s">
        <v>1409</v>
      </c>
      <c r="D425" s="532" t="s">
        <v>1431</v>
      </c>
      <c r="F425" s="527"/>
      <c r="G425" s="527"/>
    </row>
    <row r="426" spans="1:7" ht="16">
      <c r="A426" s="532" t="s">
        <v>1432</v>
      </c>
      <c r="B426" s="533" t="s">
        <v>404</v>
      </c>
      <c r="C426" s="532" t="s">
        <v>1409</v>
      </c>
      <c r="D426" s="532" t="s">
        <v>1433</v>
      </c>
      <c r="F426" s="527"/>
      <c r="G426" s="527"/>
    </row>
    <row r="427" spans="1:7" ht="16">
      <c r="A427" s="532" t="s">
        <v>1434</v>
      </c>
      <c r="B427" s="533" t="s">
        <v>405</v>
      </c>
      <c r="C427" s="532" t="s">
        <v>1409</v>
      </c>
      <c r="D427" s="532" t="s">
        <v>1435</v>
      </c>
      <c r="F427" s="527"/>
      <c r="G427" s="527"/>
    </row>
    <row r="428" spans="1:7" ht="16">
      <c r="A428" s="532" t="s">
        <v>1436</v>
      </c>
      <c r="B428" s="533" t="s">
        <v>406</v>
      </c>
      <c r="C428" s="532" t="s">
        <v>1409</v>
      </c>
      <c r="D428" s="532" t="s">
        <v>1437</v>
      </c>
      <c r="F428" s="527"/>
      <c r="G428" s="527"/>
    </row>
    <row r="429" spans="1:7">
      <c r="A429" s="534" t="s">
        <v>467</v>
      </c>
      <c r="C429" s="534" t="s">
        <v>1438</v>
      </c>
      <c r="D429" s="534"/>
    </row>
    <row r="430" spans="1:7">
      <c r="A430" s="534" t="s">
        <v>522</v>
      </c>
      <c r="C430" s="534" t="s">
        <v>1438</v>
      </c>
      <c r="D430" s="534"/>
    </row>
    <row r="431" spans="1:7">
      <c r="A431" s="534" t="s">
        <v>971</v>
      </c>
      <c r="C431" s="534" t="s">
        <v>1438</v>
      </c>
      <c r="D431" s="534"/>
    </row>
    <row r="432" spans="1:7">
      <c r="A432" s="534" t="s">
        <v>1283</v>
      </c>
      <c r="C432" s="534" t="s">
        <v>1438</v>
      </c>
      <c r="D432" s="534"/>
    </row>
    <row r="433" spans="1:7">
      <c r="A433" s="534" t="s">
        <v>54</v>
      </c>
      <c r="B433" s="527" t="s">
        <v>54</v>
      </c>
      <c r="C433" s="534" t="s">
        <v>522</v>
      </c>
      <c r="D433" s="534" t="s">
        <v>1440</v>
      </c>
      <c r="E433" s="527" t="s">
        <v>54</v>
      </c>
      <c r="F433" s="536" t="s">
        <v>54</v>
      </c>
      <c r="G433" s="537" t="s">
        <v>565</v>
      </c>
    </row>
    <row r="434" spans="1:7">
      <c r="A434" s="534" t="s">
        <v>62</v>
      </c>
      <c r="B434" s="527" t="s">
        <v>62</v>
      </c>
      <c r="C434" s="534" t="s">
        <v>522</v>
      </c>
      <c r="D434" s="534" t="s">
        <v>1441</v>
      </c>
      <c r="E434" s="527" t="s">
        <v>62</v>
      </c>
      <c r="F434" s="555" t="s">
        <v>1486</v>
      </c>
      <c r="G434" s="537" t="s">
        <v>594</v>
      </c>
    </row>
    <row r="435" spans="1:7">
      <c r="A435" s="534" t="s">
        <v>90</v>
      </c>
      <c r="B435" s="527" t="s">
        <v>90</v>
      </c>
      <c r="C435" s="534" t="s">
        <v>522</v>
      </c>
      <c r="D435" s="534" t="s">
        <v>1442</v>
      </c>
      <c r="E435" s="527" t="s">
        <v>90</v>
      </c>
      <c r="F435" s="555" t="s">
        <v>350</v>
      </c>
      <c r="G435" s="537" t="s">
        <v>348</v>
      </c>
    </row>
    <row r="436" spans="1:7">
      <c r="A436" s="534" t="s">
        <v>67</v>
      </c>
      <c r="B436" s="527" t="s">
        <v>67</v>
      </c>
      <c r="C436" s="534" t="s">
        <v>522</v>
      </c>
      <c r="D436" s="534" t="s">
        <v>1443</v>
      </c>
      <c r="E436" s="527" t="s">
        <v>67</v>
      </c>
      <c r="F436" s="536" t="s">
        <v>67</v>
      </c>
      <c r="G436" s="537" t="s">
        <v>606</v>
      </c>
    </row>
    <row r="437" spans="1:7">
      <c r="A437" s="534" t="s">
        <v>81</v>
      </c>
      <c r="B437" s="527" t="s">
        <v>81</v>
      </c>
      <c r="C437" s="534" t="s">
        <v>522</v>
      </c>
      <c r="D437" s="534" t="s">
        <v>1439</v>
      </c>
      <c r="E437" s="527" t="s">
        <v>81</v>
      </c>
      <c r="F437" s="555" t="s">
        <v>1485</v>
      </c>
      <c r="G437" s="537" t="s">
        <v>649</v>
      </c>
    </row>
    <row r="438" spans="1:7">
      <c r="A438" s="534" t="s">
        <v>54</v>
      </c>
      <c r="B438" s="527" t="s">
        <v>54</v>
      </c>
      <c r="C438" s="534" t="s">
        <v>522</v>
      </c>
      <c r="D438" s="534" t="s">
        <v>1444</v>
      </c>
      <c r="E438" s="527" t="s">
        <v>54</v>
      </c>
      <c r="F438" s="536" t="s">
        <v>54</v>
      </c>
      <c r="G438" s="537" t="s">
        <v>565</v>
      </c>
    </row>
    <row r="439" spans="1:7">
      <c r="A439" s="534" t="s">
        <v>62</v>
      </c>
      <c r="B439" s="527" t="s">
        <v>62</v>
      </c>
      <c r="C439" s="534" t="s">
        <v>522</v>
      </c>
      <c r="D439" s="534" t="s">
        <v>1446</v>
      </c>
      <c r="E439" s="527" t="s">
        <v>62</v>
      </c>
      <c r="F439" s="555" t="s">
        <v>1486</v>
      </c>
      <c r="G439" s="537" t="s">
        <v>594</v>
      </c>
    </row>
    <row r="440" spans="1:7">
      <c r="A440" s="534" t="s">
        <v>90</v>
      </c>
      <c r="B440" s="527" t="s">
        <v>90</v>
      </c>
      <c r="C440" s="534" t="s">
        <v>522</v>
      </c>
      <c r="D440" s="534" t="s">
        <v>1447</v>
      </c>
      <c r="E440" s="527" t="s">
        <v>90</v>
      </c>
      <c r="F440" s="555" t="s">
        <v>350</v>
      </c>
      <c r="G440" s="537" t="s">
        <v>348</v>
      </c>
    </row>
    <row r="441" spans="1:7">
      <c r="A441" s="534" t="s">
        <v>67</v>
      </c>
      <c r="B441" s="527" t="s">
        <v>67</v>
      </c>
      <c r="C441" s="534" t="s">
        <v>522</v>
      </c>
      <c r="D441" s="534" t="s">
        <v>1448</v>
      </c>
      <c r="E441" s="527" t="s">
        <v>67</v>
      </c>
      <c r="F441" s="536" t="s">
        <v>67</v>
      </c>
      <c r="G441" s="537" t="s">
        <v>606</v>
      </c>
    </row>
    <row r="442" spans="1:7">
      <c r="A442" s="534" t="s">
        <v>81</v>
      </c>
      <c r="B442" s="527" t="s">
        <v>81</v>
      </c>
      <c r="C442" s="534" t="s">
        <v>522</v>
      </c>
      <c r="D442" s="534" t="s">
        <v>1445</v>
      </c>
      <c r="E442" s="527" t="s">
        <v>81</v>
      </c>
      <c r="F442" s="555" t="s">
        <v>1485</v>
      </c>
      <c r="G442" s="537" t="s">
        <v>649</v>
      </c>
    </row>
    <row r="443" spans="1:7">
      <c r="A443" s="534" t="s">
        <v>54</v>
      </c>
      <c r="B443" s="527" t="s">
        <v>54</v>
      </c>
      <c r="C443" s="534" t="s">
        <v>522</v>
      </c>
      <c r="D443" s="534" t="s">
        <v>1449</v>
      </c>
      <c r="E443" s="527" t="s">
        <v>54</v>
      </c>
      <c r="F443" s="536" t="s">
        <v>54</v>
      </c>
      <c r="G443" s="537" t="s">
        <v>565</v>
      </c>
    </row>
    <row r="444" spans="1:7">
      <c r="A444" s="534" t="s">
        <v>62</v>
      </c>
      <c r="B444" s="527" t="s">
        <v>62</v>
      </c>
      <c r="C444" s="534" t="s">
        <v>522</v>
      </c>
      <c r="D444" s="534" t="s">
        <v>1450</v>
      </c>
      <c r="E444" s="527" t="s">
        <v>62</v>
      </c>
      <c r="F444" s="555" t="s">
        <v>1486</v>
      </c>
      <c r="G444" s="537" t="s">
        <v>594</v>
      </c>
    </row>
    <row r="445" spans="1:7">
      <c r="A445" s="534" t="s">
        <v>90</v>
      </c>
      <c r="B445" s="527" t="s">
        <v>90</v>
      </c>
      <c r="C445" s="534" t="s">
        <v>522</v>
      </c>
      <c r="D445" s="534" t="s">
        <v>1451</v>
      </c>
      <c r="E445" s="527" t="s">
        <v>90</v>
      </c>
      <c r="F445" s="536" t="s">
        <v>1480</v>
      </c>
      <c r="G445" s="537" t="s">
        <v>348</v>
      </c>
    </row>
    <row r="446" spans="1:7">
      <c r="A446" s="534" t="s">
        <v>67</v>
      </c>
      <c r="B446" s="527" t="s">
        <v>67</v>
      </c>
      <c r="C446" s="534" t="s">
        <v>522</v>
      </c>
      <c r="D446" s="534" t="s">
        <v>1452</v>
      </c>
      <c r="E446" s="527" t="s">
        <v>67</v>
      </c>
      <c r="F446" s="536" t="s">
        <v>67</v>
      </c>
      <c r="G446" s="537" t="s">
        <v>606</v>
      </c>
    </row>
    <row r="447" spans="1:7">
      <c r="A447" s="534" t="s">
        <v>81</v>
      </c>
      <c r="B447" s="527" t="s">
        <v>81</v>
      </c>
      <c r="C447" s="534" t="s">
        <v>522</v>
      </c>
      <c r="D447" s="534" t="s">
        <v>1453</v>
      </c>
      <c r="E447" s="527" t="s">
        <v>81</v>
      </c>
      <c r="F447" s="555" t="s">
        <v>1488</v>
      </c>
      <c r="G447" s="537" t="s">
        <v>649</v>
      </c>
    </row>
    <row r="448" spans="1:7">
      <c r="A448" s="534" t="s">
        <v>54</v>
      </c>
      <c r="B448" s="527" t="s">
        <v>54</v>
      </c>
      <c r="C448" s="534" t="s">
        <v>522</v>
      </c>
      <c r="D448" s="534" t="s">
        <v>1454</v>
      </c>
      <c r="E448" s="527" t="s">
        <v>54</v>
      </c>
      <c r="F448" s="536" t="s">
        <v>54</v>
      </c>
      <c r="G448" s="537" t="s">
        <v>565</v>
      </c>
    </row>
    <row r="449" spans="1:7">
      <c r="A449" s="534" t="s">
        <v>62</v>
      </c>
      <c r="B449" s="527" t="s">
        <v>62</v>
      </c>
      <c r="C449" s="534" t="s">
        <v>522</v>
      </c>
      <c r="D449" s="534" t="s">
        <v>1455</v>
      </c>
      <c r="E449" s="527" t="s">
        <v>62</v>
      </c>
      <c r="F449" s="536" t="s">
        <v>1479</v>
      </c>
      <c r="G449" s="537" t="s">
        <v>594</v>
      </c>
    </row>
    <row r="450" spans="1:7">
      <c r="A450" s="534" t="s">
        <v>90</v>
      </c>
      <c r="B450" s="527" t="s">
        <v>90</v>
      </c>
      <c r="C450" s="534" t="s">
        <v>522</v>
      </c>
      <c r="D450" s="534" t="s">
        <v>1456</v>
      </c>
      <c r="E450" s="527" t="s">
        <v>90</v>
      </c>
      <c r="F450" s="536" t="s">
        <v>1480</v>
      </c>
      <c r="G450" s="537" t="s">
        <v>348</v>
      </c>
    </row>
    <row r="451" spans="1:7">
      <c r="A451" s="534" t="s">
        <v>67</v>
      </c>
      <c r="B451" s="527" t="s">
        <v>67</v>
      </c>
      <c r="C451" s="534" t="s">
        <v>522</v>
      </c>
      <c r="D451" s="534" t="s">
        <v>1457</v>
      </c>
      <c r="E451" s="527" t="s">
        <v>67</v>
      </c>
      <c r="F451" s="536" t="s">
        <v>67</v>
      </c>
      <c r="G451" s="537" t="s">
        <v>606</v>
      </c>
    </row>
    <row r="452" spans="1:7">
      <c r="A452" s="534" t="s">
        <v>81</v>
      </c>
      <c r="B452" s="527" t="s">
        <v>81</v>
      </c>
      <c r="C452" s="534" t="s">
        <v>522</v>
      </c>
      <c r="D452" s="534" t="s">
        <v>1458</v>
      </c>
      <c r="E452" s="527" t="s">
        <v>81</v>
      </c>
      <c r="F452" s="536" t="s">
        <v>1481</v>
      </c>
      <c r="G452" s="537" t="s">
        <v>649</v>
      </c>
    </row>
    <row r="453" spans="1:7">
      <c r="A453" s="534" t="s">
        <v>54</v>
      </c>
      <c r="B453" s="527" t="s">
        <v>54</v>
      </c>
      <c r="C453" s="534" t="s">
        <v>522</v>
      </c>
      <c r="D453" s="534" t="s">
        <v>1459</v>
      </c>
      <c r="E453" s="527" t="s">
        <v>54</v>
      </c>
      <c r="F453" s="536" t="s">
        <v>54</v>
      </c>
      <c r="G453" s="537" t="s">
        <v>565</v>
      </c>
    </row>
    <row r="454" spans="1:7">
      <c r="A454" s="534" t="s">
        <v>62</v>
      </c>
      <c r="B454" s="527" t="s">
        <v>62</v>
      </c>
      <c r="C454" s="534" t="s">
        <v>522</v>
      </c>
      <c r="D454" s="534" t="s">
        <v>1460</v>
      </c>
      <c r="E454" s="527" t="s">
        <v>62</v>
      </c>
      <c r="F454" s="536" t="s">
        <v>1479</v>
      </c>
      <c r="G454" s="537" t="s">
        <v>594</v>
      </c>
    </row>
    <row r="455" spans="1:7">
      <c r="A455" s="534" t="s">
        <v>90</v>
      </c>
      <c r="B455" s="527" t="s">
        <v>90</v>
      </c>
      <c r="C455" s="534" t="s">
        <v>522</v>
      </c>
      <c r="D455" s="534" t="s">
        <v>1461</v>
      </c>
      <c r="E455" s="527" t="s">
        <v>90</v>
      </c>
      <c r="F455" s="536" t="s">
        <v>1480</v>
      </c>
      <c r="G455" s="537" t="s">
        <v>348</v>
      </c>
    </row>
    <row r="456" spans="1:7">
      <c r="A456" s="534" t="s">
        <v>67</v>
      </c>
      <c r="B456" s="527" t="s">
        <v>67</v>
      </c>
      <c r="C456" s="534" t="s">
        <v>522</v>
      </c>
      <c r="D456" s="534" t="s">
        <v>1462</v>
      </c>
      <c r="E456" s="527" t="s">
        <v>67</v>
      </c>
      <c r="F456" s="536" t="s">
        <v>67</v>
      </c>
      <c r="G456" s="537" t="s">
        <v>606</v>
      </c>
    </row>
    <row r="457" spans="1:7">
      <c r="A457" s="534" t="s">
        <v>81</v>
      </c>
      <c r="B457" s="527" t="s">
        <v>81</v>
      </c>
      <c r="C457" s="534" t="s">
        <v>522</v>
      </c>
      <c r="D457" s="534" t="s">
        <v>1463</v>
      </c>
      <c r="E457" s="527" t="s">
        <v>81</v>
      </c>
      <c r="F457" s="536" t="s">
        <v>1481</v>
      </c>
      <c r="G457" s="537" t="s">
        <v>649</v>
      </c>
    </row>
    <row r="458" spans="1:7">
      <c r="A458" s="534" t="s">
        <v>54</v>
      </c>
      <c r="B458" s="527" t="s">
        <v>54</v>
      </c>
      <c r="C458" s="534" t="s">
        <v>522</v>
      </c>
      <c r="D458" s="534" t="s">
        <v>1464</v>
      </c>
      <c r="E458" s="527" t="s">
        <v>54</v>
      </c>
      <c r="F458" s="536" t="s">
        <v>54</v>
      </c>
      <c r="G458" s="537" t="s">
        <v>565</v>
      </c>
    </row>
    <row r="459" spans="1:7">
      <c r="A459" s="534" t="s">
        <v>62</v>
      </c>
      <c r="B459" s="527" t="s">
        <v>62</v>
      </c>
      <c r="C459" s="534" t="s">
        <v>522</v>
      </c>
      <c r="D459" s="534" t="s">
        <v>1465</v>
      </c>
      <c r="E459" s="527" t="s">
        <v>62</v>
      </c>
      <c r="F459" s="536" t="s">
        <v>1479</v>
      </c>
      <c r="G459" s="537" t="s">
        <v>594</v>
      </c>
    </row>
    <row r="460" spans="1:7">
      <c r="A460" s="534" t="s">
        <v>90</v>
      </c>
      <c r="B460" s="527" t="s">
        <v>90</v>
      </c>
      <c r="C460" s="534" t="s">
        <v>522</v>
      </c>
      <c r="D460" s="534" t="s">
        <v>1466</v>
      </c>
      <c r="E460" s="527" t="s">
        <v>90</v>
      </c>
      <c r="F460" s="536" t="s">
        <v>1480</v>
      </c>
      <c r="G460" s="537" t="s">
        <v>348</v>
      </c>
    </row>
    <row r="461" spans="1:7">
      <c r="A461" s="534" t="s">
        <v>67</v>
      </c>
      <c r="B461" s="527" t="s">
        <v>67</v>
      </c>
      <c r="C461" s="534" t="s">
        <v>522</v>
      </c>
      <c r="D461" s="534" t="s">
        <v>1467</v>
      </c>
      <c r="E461" s="527" t="s">
        <v>67</v>
      </c>
      <c r="F461" s="536" t="s">
        <v>67</v>
      </c>
      <c r="G461" s="537" t="s">
        <v>606</v>
      </c>
    </row>
    <row r="462" spans="1:7">
      <c r="A462" s="534" t="s">
        <v>81</v>
      </c>
      <c r="B462" s="527" t="s">
        <v>81</v>
      </c>
      <c r="C462" s="534" t="s">
        <v>522</v>
      </c>
      <c r="D462" s="534" t="s">
        <v>1468</v>
      </c>
      <c r="E462" s="527" t="s">
        <v>81</v>
      </c>
      <c r="F462" s="536" t="s">
        <v>1481</v>
      </c>
      <c r="G462" s="537" t="s">
        <v>649</v>
      </c>
    </row>
    <row r="463" spans="1:7">
      <c r="A463" s="534" t="s">
        <v>54</v>
      </c>
      <c r="B463" s="527" t="s">
        <v>54</v>
      </c>
      <c r="C463" s="534" t="s">
        <v>522</v>
      </c>
      <c r="D463" s="534" t="s">
        <v>1469</v>
      </c>
      <c r="E463" s="527" t="s">
        <v>54</v>
      </c>
      <c r="F463" s="536" t="s">
        <v>54</v>
      </c>
      <c r="G463" s="537" t="s">
        <v>565</v>
      </c>
    </row>
    <row r="464" spans="1:7">
      <c r="A464" s="534" t="s">
        <v>62</v>
      </c>
      <c r="B464" s="527" t="s">
        <v>62</v>
      </c>
      <c r="C464" s="534" t="s">
        <v>522</v>
      </c>
      <c r="D464" s="534" t="s">
        <v>1470</v>
      </c>
      <c r="E464" s="527" t="s">
        <v>62</v>
      </c>
      <c r="F464" s="536" t="s">
        <v>1479</v>
      </c>
      <c r="G464" s="537" t="s">
        <v>594</v>
      </c>
    </row>
    <row r="465" spans="1:7">
      <c r="A465" s="534" t="s">
        <v>90</v>
      </c>
      <c r="B465" s="527" t="s">
        <v>90</v>
      </c>
      <c r="C465" s="534" t="s">
        <v>522</v>
      </c>
      <c r="D465" s="534" t="s">
        <v>1471</v>
      </c>
      <c r="E465" s="527" t="s">
        <v>90</v>
      </c>
      <c r="F465" s="536" t="s">
        <v>1480</v>
      </c>
      <c r="G465" s="537" t="s">
        <v>348</v>
      </c>
    </row>
    <row r="466" spans="1:7">
      <c r="A466" s="534" t="s">
        <v>67</v>
      </c>
      <c r="B466" s="527" t="s">
        <v>67</v>
      </c>
      <c r="C466" s="534" t="s">
        <v>522</v>
      </c>
      <c r="D466" s="534" t="s">
        <v>1472</v>
      </c>
      <c r="E466" s="527" t="s">
        <v>67</v>
      </c>
      <c r="F466" s="536" t="s">
        <v>67</v>
      </c>
      <c r="G466" s="537" t="s">
        <v>606</v>
      </c>
    </row>
    <row r="467" spans="1:7">
      <c r="A467" s="534" t="s">
        <v>81</v>
      </c>
      <c r="B467" s="527" t="s">
        <v>81</v>
      </c>
      <c r="C467" s="534" t="s">
        <v>522</v>
      </c>
      <c r="D467" s="534" t="s">
        <v>1473</v>
      </c>
      <c r="E467" s="527" t="s">
        <v>81</v>
      </c>
      <c r="F467" s="536" t="s">
        <v>1481</v>
      </c>
      <c r="G467" s="537" t="s">
        <v>649</v>
      </c>
    </row>
    <row r="468" spans="1:7">
      <c r="A468" s="534" t="s">
        <v>54</v>
      </c>
      <c r="B468" s="527" t="s">
        <v>54</v>
      </c>
      <c r="C468" s="534" t="s">
        <v>522</v>
      </c>
      <c r="D468" s="534" t="s">
        <v>1474</v>
      </c>
      <c r="E468" s="527" t="s">
        <v>54</v>
      </c>
      <c r="F468" s="536" t="s">
        <v>54</v>
      </c>
      <c r="G468" s="537" t="s">
        <v>565</v>
      </c>
    </row>
    <row r="469" spans="1:7">
      <c r="A469" s="534" t="s">
        <v>62</v>
      </c>
      <c r="B469" s="527" t="s">
        <v>62</v>
      </c>
      <c r="C469" s="534" t="s">
        <v>522</v>
      </c>
      <c r="D469" s="534" t="s">
        <v>1475</v>
      </c>
      <c r="E469" s="527" t="s">
        <v>62</v>
      </c>
      <c r="F469" s="536" t="s">
        <v>1479</v>
      </c>
      <c r="G469" s="537" t="s">
        <v>594</v>
      </c>
    </row>
    <row r="470" spans="1:7">
      <c r="A470" s="534" t="s">
        <v>90</v>
      </c>
      <c r="B470" s="527" t="s">
        <v>90</v>
      </c>
      <c r="C470" s="534" t="s">
        <v>522</v>
      </c>
      <c r="D470" s="534" t="s">
        <v>1476</v>
      </c>
      <c r="E470" s="527" t="s">
        <v>90</v>
      </c>
      <c r="F470" s="536" t="s">
        <v>1480</v>
      </c>
      <c r="G470" s="537" t="s">
        <v>348</v>
      </c>
    </row>
    <row r="471" spans="1:7">
      <c r="A471" s="534" t="s">
        <v>67</v>
      </c>
      <c r="B471" s="527" t="s">
        <v>67</v>
      </c>
      <c r="C471" s="534" t="s">
        <v>522</v>
      </c>
      <c r="D471" s="534" t="s">
        <v>1477</v>
      </c>
      <c r="E471" s="527" t="s">
        <v>67</v>
      </c>
      <c r="F471" s="536" t="s">
        <v>67</v>
      </c>
      <c r="G471" s="537" t="s">
        <v>606</v>
      </c>
    </row>
    <row r="472" spans="1:7">
      <c r="A472" s="534" t="s">
        <v>81</v>
      </c>
      <c r="B472" s="527" t="s">
        <v>81</v>
      </c>
      <c r="C472" s="534" t="s">
        <v>522</v>
      </c>
      <c r="D472" s="552" t="s">
        <v>1482</v>
      </c>
      <c r="E472" s="527" t="s">
        <v>81</v>
      </c>
      <c r="F472" s="557" t="s">
        <v>1485</v>
      </c>
      <c r="G472" s="537" t="s">
        <v>649</v>
      </c>
    </row>
    <row r="473" spans="1:7">
      <c r="A473" s="534" t="s">
        <v>81</v>
      </c>
      <c r="B473" s="527" t="s">
        <v>81</v>
      </c>
      <c r="C473" s="534" t="s">
        <v>522</v>
      </c>
      <c r="D473" s="534" t="s">
        <v>1478</v>
      </c>
      <c r="E473" s="527" t="s">
        <v>81</v>
      </c>
      <c r="F473" s="551" t="s">
        <v>1481</v>
      </c>
      <c r="G473" s="537" t="s">
        <v>649</v>
      </c>
    </row>
    <row r="474" spans="1:7">
      <c r="A474" s="534" t="s">
        <v>294</v>
      </c>
      <c r="B474" s="527" t="s">
        <v>294</v>
      </c>
      <c r="C474" s="534" t="s">
        <v>1149</v>
      </c>
      <c r="D474" s="534" t="s">
        <v>1441</v>
      </c>
      <c r="E474" s="527" t="s">
        <v>1599</v>
      </c>
      <c r="F474" s="564" t="s">
        <v>1600</v>
      </c>
      <c r="G474" s="537" t="s">
        <v>1601</v>
      </c>
    </row>
    <row r="475" spans="1:7">
      <c r="A475" s="534" t="s">
        <v>295</v>
      </c>
      <c r="B475" s="527" t="s">
        <v>295</v>
      </c>
      <c r="C475" s="534" t="s">
        <v>1149</v>
      </c>
      <c r="D475" s="534" t="s">
        <v>1442</v>
      </c>
      <c r="E475" s="527" t="s">
        <v>1602</v>
      </c>
      <c r="F475" s="564" t="s">
        <v>1603</v>
      </c>
      <c r="G475" s="537" t="s">
        <v>1604</v>
      </c>
    </row>
    <row r="476" spans="1:7">
      <c r="A476" s="534" t="s">
        <v>296</v>
      </c>
      <c r="B476" s="527" t="s">
        <v>296</v>
      </c>
      <c r="C476" s="534" t="s">
        <v>1149</v>
      </c>
      <c r="D476" s="534" t="s">
        <v>1443</v>
      </c>
      <c r="E476" s="527" t="s">
        <v>1605</v>
      </c>
      <c r="F476" s="564" t="s">
        <v>1606</v>
      </c>
      <c r="G476" s="537" t="s">
        <v>1607</v>
      </c>
    </row>
    <row r="477" spans="1:7" ht="16">
      <c r="A477" s="532" t="s">
        <v>1154</v>
      </c>
      <c r="B477" s="533" t="s">
        <v>1155</v>
      </c>
      <c r="C477" s="532" t="s">
        <v>1149</v>
      </c>
      <c r="D477" s="532" t="s">
        <v>1076</v>
      </c>
      <c r="F477" s="564"/>
      <c r="G477" s="527"/>
    </row>
    <row r="478" spans="1:7" ht="16">
      <c r="A478" s="532" t="s">
        <v>1156</v>
      </c>
      <c r="B478" s="533" t="s">
        <v>248</v>
      </c>
      <c r="C478" s="532" t="s">
        <v>1149</v>
      </c>
      <c r="D478" s="532" t="s">
        <v>1157</v>
      </c>
      <c r="F478" s="564"/>
      <c r="G478" s="527"/>
    </row>
    <row r="479" spans="1:7" ht="16">
      <c r="A479" s="532" t="s">
        <v>1158</v>
      </c>
      <c r="B479" s="533" t="s">
        <v>249</v>
      </c>
      <c r="C479" s="532" t="s">
        <v>1149</v>
      </c>
      <c r="D479" s="532" t="s">
        <v>1159</v>
      </c>
      <c r="F479" s="563"/>
      <c r="G479" s="527"/>
    </row>
    <row r="480" spans="1:7" ht="16">
      <c r="A480" s="532" t="s">
        <v>1160</v>
      </c>
      <c r="B480" s="533" t="s">
        <v>250</v>
      </c>
      <c r="C480" s="532" t="s">
        <v>1149</v>
      </c>
      <c r="D480" s="532" t="s">
        <v>1161</v>
      </c>
      <c r="G480" s="527"/>
    </row>
    <row r="481" spans="1:7" ht="32">
      <c r="A481" s="532" t="s">
        <v>1162</v>
      </c>
      <c r="B481" s="533" t="s">
        <v>1163</v>
      </c>
      <c r="C481" s="532" t="s">
        <v>1149</v>
      </c>
      <c r="D481" s="532" t="s">
        <v>1164</v>
      </c>
      <c r="G481" s="527"/>
    </row>
    <row r="482" spans="1:7" ht="16">
      <c r="A482" s="532" t="s">
        <v>254</v>
      </c>
      <c r="B482" s="533" t="s">
        <v>254</v>
      </c>
      <c r="C482" s="532" t="s">
        <v>1149</v>
      </c>
      <c r="D482" s="532" t="s">
        <v>1167</v>
      </c>
      <c r="G482" s="527"/>
    </row>
    <row r="483" spans="1:7" ht="16">
      <c r="A483" s="532" t="s">
        <v>255</v>
      </c>
      <c r="B483" s="533" t="s">
        <v>255</v>
      </c>
      <c r="C483" s="532" t="s">
        <v>1149</v>
      </c>
      <c r="D483" s="532" t="s">
        <v>1168</v>
      </c>
      <c r="G483" s="527"/>
    </row>
    <row r="484" spans="1:7" ht="144">
      <c r="A484" s="532" t="s">
        <v>1165</v>
      </c>
      <c r="B484" s="533" t="s">
        <v>252</v>
      </c>
      <c r="C484" s="532" t="s">
        <v>1149</v>
      </c>
      <c r="D484" s="532" t="s">
        <v>1166</v>
      </c>
      <c r="G484" s="527"/>
    </row>
    <row r="485" spans="1:7" ht="16">
      <c r="A485" s="532" t="s">
        <v>256</v>
      </c>
      <c r="B485" s="533" t="s">
        <v>256</v>
      </c>
      <c r="C485" s="532" t="s">
        <v>1149</v>
      </c>
      <c r="D485" s="532" t="s">
        <v>1169</v>
      </c>
      <c r="G485" s="527"/>
    </row>
    <row r="486" spans="1:7" ht="16">
      <c r="A486" s="532" t="s">
        <v>1170</v>
      </c>
      <c r="B486" s="533" t="s">
        <v>265</v>
      </c>
      <c r="C486" s="532" t="s">
        <v>1149</v>
      </c>
      <c r="D486" s="532" t="s">
        <v>1171</v>
      </c>
      <c r="G486" s="527"/>
    </row>
    <row r="487" spans="1:7" ht="16">
      <c r="A487" s="532" t="s">
        <v>266</v>
      </c>
      <c r="B487" s="533" t="s">
        <v>266</v>
      </c>
      <c r="C487" s="532" t="s">
        <v>1149</v>
      </c>
      <c r="D487" s="532" t="s">
        <v>1176</v>
      </c>
      <c r="G487" s="527"/>
    </row>
    <row r="488" spans="1:7" ht="16">
      <c r="A488" s="532" t="s">
        <v>268</v>
      </c>
      <c r="B488" s="533" t="s">
        <v>268</v>
      </c>
      <c r="C488" s="532" t="s">
        <v>1149</v>
      </c>
      <c r="D488" s="532" t="s">
        <v>1185</v>
      </c>
      <c r="G488" s="527"/>
    </row>
    <row r="489" spans="1:7" ht="16">
      <c r="A489" s="532" t="s">
        <v>258</v>
      </c>
      <c r="B489" s="533" t="s">
        <v>258</v>
      </c>
      <c r="C489" s="532" t="s">
        <v>1149</v>
      </c>
      <c r="D489" s="532" t="s">
        <v>1190</v>
      </c>
      <c r="G489" s="527"/>
    </row>
    <row r="490" spans="1:7" ht="16">
      <c r="A490" s="532" t="s">
        <v>269</v>
      </c>
      <c r="B490" s="533" t="s">
        <v>269</v>
      </c>
      <c r="C490" s="532" t="s">
        <v>1149</v>
      </c>
      <c r="D490" s="532" t="s">
        <v>1196</v>
      </c>
      <c r="F490" s="551"/>
      <c r="G490" s="527"/>
    </row>
    <row r="491" spans="1:7" ht="16">
      <c r="A491" s="532" t="s">
        <v>270</v>
      </c>
      <c r="B491" s="533" t="s">
        <v>270</v>
      </c>
      <c r="C491" s="532" t="s">
        <v>1149</v>
      </c>
      <c r="D491" s="532" t="s">
        <v>1203</v>
      </c>
      <c r="G491" s="527"/>
    </row>
    <row r="492" spans="1:7" ht="16">
      <c r="A492" s="532" t="s">
        <v>271</v>
      </c>
      <c r="B492" s="533" t="s">
        <v>271</v>
      </c>
      <c r="C492" s="532" t="s">
        <v>1149</v>
      </c>
      <c r="D492" s="532" t="s">
        <v>1210</v>
      </c>
      <c r="G492" s="527"/>
    </row>
    <row r="493" spans="1:7" ht="16">
      <c r="A493" s="532" t="s">
        <v>272</v>
      </c>
      <c r="B493" s="533" t="s">
        <v>272</v>
      </c>
      <c r="C493" s="532" t="s">
        <v>1149</v>
      </c>
      <c r="D493" s="532" t="s">
        <v>1215</v>
      </c>
      <c r="G493" s="527"/>
    </row>
    <row r="494" spans="1:7" ht="16">
      <c r="A494" s="532" t="s">
        <v>273</v>
      </c>
      <c r="B494" s="533" t="s">
        <v>273</v>
      </c>
      <c r="C494" s="532" t="s">
        <v>1149</v>
      </c>
      <c r="D494" s="532" t="s">
        <v>1219</v>
      </c>
      <c r="G494" s="527"/>
    </row>
    <row r="495" spans="1:7" ht="16">
      <c r="A495" s="532" t="s">
        <v>1224</v>
      </c>
      <c r="B495" s="533" t="s">
        <v>274</v>
      </c>
      <c r="C495" s="532" t="s">
        <v>1149</v>
      </c>
      <c r="D495" s="532" t="s">
        <v>1225</v>
      </c>
      <c r="G495" s="527"/>
    </row>
    <row r="496" spans="1:7" ht="16">
      <c r="A496" s="532" t="s">
        <v>275</v>
      </c>
      <c r="B496" s="533" t="s">
        <v>275</v>
      </c>
      <c r="C496" s="532" t="s">
        <v>1149</v>
      </c>
      <c r="D496" s="532" t="s">
        <v>1172</v>
      </c>
      <c r="G496" s="527"/>
    </row>
    <row r="497" spans="1:7" ht="16">
      <c r="A497" s="532" t="s">
        <v>276</v>
      </c>
      <c r="B497" s="533" t="s">
        <v>276</v>
      </c>
      <c r="C497" s="532" t="s">
        <v>1149</v>
      </c>
      <c r="D497" s="532" t="s">
        <v>1177</v>
      </c>
      <c r="G497" s="527"/>
    </row>
    <row r="498" spans="1:7" ht="16">
      <c r="A498" s="532" t="s">
        <v>278</v>
      </c>
      <c r="B498" s="533" t="s">
        <v>278</v>
      </c>
      <c r="C498" s="532" t="s">
        <v>1149</v>
      </c>
      <c r="D498" s="532" t="s">
        <v>1186</v>
      </c>
      <c r="G498" s="527"/>
    </row>
    <row r="499" spans="1:7" ht="16">
      <c r="A499" s="532" t="s">
        <v>262</v>
      </c>
      <c r="B499" s="533" t="s">
        <v>262</v>
      </c>
      <c r="C499" s="532" t="s">
        <v>1149</v>
      </c>
      <c r="D499" s="532" t="s">
        <v>1191</v>
      </c>
      <c r="G499" s="527"/>
    </row>
    <row r="500" spans="1:7" ht="16">
      <c r="A500" s="532" t="s">
        <v>1197</v>
      </c>
      <c r="B500" s="533" t="s">
        <v>279</v>
      </c>
      <c r="C500" s="532" t="s">
        <v>1149</v>
      </c>
      <c r="D500" s="532" t="s">
        <v>1198</v>
      </c>
      <c r="G500" s="527"/>
    </row>
    <row r="501" spans="1:7" ht="16">
      <c r="A501" s="532" t="s">
        <v>1204</v>
      </c>
      <c r="B501" s="533" t="s">
        <v>280</v>
      </c>
      <c r="C501" s="532" t="s">
        <v>1149</v>
      </c>
      <c r="D501" s="532" t="s">
        <v>1205</v>
      </c>
      <c r="G501" s="527"/>
    </row>
    <row r="502" spans="1:7" ht="16">
      <c r="A502" s="532" t="s">
        <v>48</v>
      </c>
      <c r="B502" s="533" t="s">
        <v>48</v>
      </c>
      <c r="C502" s="532" t="s">
        <v>1149</v>
      </c>
      <c r="D502" s="532" t="s">
        <v>1173</v>
      </c>
      <c r="G502" s="527"/>
    </row>
    <row r="503" spans="1:7" ht="16">
      <c r="A503" s="532" t="s">
        <v>1178</v>
      </c>
      <c r="B503" s="533" t="s">
        <v>281</v>
      </c>
      <c r="C503" s="532" t="s">
        <v>1149</v>
      </c>
      <c r="D503" s="532" t="s">
        <v>1179</v>
      </c>
      <c r="G503" s="527"/>
    </row>
    <row r="504" spans="1:7" ht="16">
      <c r="A504" s="532" t="s">
        <v>283</v>
      </c>
      <c r="B504" s="533" t="s">
        <v>283</v>
      </c>
      <c r="C504" s="532" t="s">
        <v>1149</v>
      </c>
      <c r="D504" s="532" t="s">
        <v>1187</v>
      </c>
      <c r="G504" s="527"/>
    </row>
    <row r="505" spans="1:7" ht="16">
      <c r="A505" s="532" t="s">
        <v>1192</v>
      </c>
      <c r="B505" s="533" t="s">
        <v>284</v>
      </c>
      <c r="C505" s="532" t="s">
        <v>1149</v>
      </c>
      <c r="D505" s="532" t="s">
        <v>1193</v>
      </c>
      <c r="G505" s="527"/>
    </row>
    <row r="506" spans="1:7" ht="16">
      <c r="A506" s="532" t="s">
        <v>285</v>
      </c>
      <c r="B506" s="533" t="s">
        <v>285</v>
      </c>
      <c r="C506" s="532" t="s">
        <v>1149</v>
      </c>
      <c r="D506" s="532" t="s">
        <v>1199</v>
      </c>
      <c r="G506" s="527"/>
    </row>
    <row r="507" spans="1:7" ht="16">
      <c r="A507" s="532" t="s">
        <v>1206</v>
      </c>
      <c r="B507" s="533" t="s">
        <v>286</v>
      </c>
      <c r="C507" s="532" t="s">
        <v>1149</v>
      </c>
      <c r="D507" s="532" t="s">
        <v>1207</v>
      </c>
      <c r="G507" s="527"/>
    </row>
    <row r="508" spans="1:7" ht="16">
      <c r="A508" s="532" t="s">
        <v>1211</v>
      </c>
      <c r="B508" s="533" t="s">
        <v>287</v>
      </c>
      <c r="C508" s="532" t="s">
        <v>1149</v>
      </c>
      <c r="D508" s="532" t="s">
        <v>1212</v>
      </c>
      <c r="G508" s="527"/>
    </row>
    <row r="509" spans="1:7" ht="16">
      <c r="A509" s="532" t="s">
        <v>288</v>
      </c>
      <c r="B509" s="533" t="s">
        <v>288</v>
      </c>
      <c r="C509" s="532" t="s">
        <v>1149</v>
      </c>
      <c r="D509" s="532" t="s">
        <v>1216</v>
      </c>
      <c r="G509" s="527"/>
    </row>
    <row r="510" spans="1:7" ht="16">
      <c r="A510" s="532" t="s">
        <v>52</v>
      </c>
      <c r="B510" s="533" t="s">
        <v>52</v>
      </c>
      <c r="C510" s="532" t="s">
        <v>1149</v>
      </c>
      <c r="D510" s="532" t="s">
        <v>1220</v>
      </c>
      <c r="G510" s="527"/>
    </row>
    <row r="511" spans="1:7" ht="16">
      <c r="A511" s="532" t="s">
        <v>47</v>
      </c>
      <c r="B511" s="533" t="s">
        <v>47</v>
      </c>
      <c r="C511" s="532" t="s">
        <v>1149</v>
      </c>
      <c r="D511" s="532" t="s">
        <v>1174</v>
      </c>
      <c r="G511" s="527"/>
    </row>
    <row r="512" spans="1:7" ht="16">
      <c r="A512" s="532" t="s">
        <v>1180</v>
      </c>
      <c r="B512" s="533" t="s">
        <v>289</v>
      </c>
      <c r="C512" s="532" t="s">
        <v>1149</v>
      </c>
      <c r="D512" s="532" t="s">
        <v>1181</v>
      </c>
      <c r="G512" s="527"/>
    </row>
    <row r="513" spans="1:7" ht="16">
      <c r="A513" s="532" t="s">
        <v>1188</v>
      </c>
      <c r="B513" s="533" t="s">
        <v>290</v>
      </c>
      <c r="C513" s="532" t="s">
        <v>1149</v>
      </c>
      <c r="D513" s="532" t="s">
        <v>1189</v>
      </c>
      <c r="G513" s="527"/>
    </row>
    <row r="514" spans="1:7" ht="16">
      <c r="A514" s="532" t="s">
        <v>1194</v>
      </c>
      <c r="B514" s="533" t="s">
        <v>51</v>
      </c>
      <c r="C514" s="532" t="s">
        <v>1149</v>
      </c>
      <c r="D514" s="532" t="s">
        <v>1195</v>
      </c>
      <c r="G514" s="527"/>
    </row>
    <row r="515" spans="1:7" ht="16">
      <c r="A515" s="532" t="s">
        <v>1200</v>
      </c>
      <c r="B515" s="533" t="s">
        <v>291</v>
      </c>
      <c r="C515" s="532" t="s">
        <v>1149</v>
      </c>
      <c r="D515" s="532" t="s">
        <v>1201</v>
      </c>
      <c r="G515" s="527"/>
    </row>
    <row r="516" spans="1:7" ht="16">
      <c r="A516" s="532" t="s">
        <v>292</v>
      </c>
      <c r="B516" s="533" t="s">
        <v>292</v>
      </c>
      <c r="C516" s="532" t="s">
        <v>1149</v>
      </c>
      <c r="D516" s="532" t="s">
        <v>1208</v>
      </c>
      <c r="G516" s="527"/>
    </row>
    <row r="517" spans="1:7" ht="16">
      <c r="A517" s="532" t="s">
        <v>1213</v>
      </c>
      <c r="B517" s="533" t="s">
        <v>293</v>
      </c>
      <c r="C517" s="532" t="s">
        <v>1149</v>
      </c>
      <c r="D517" s="532" t="s">
        <v>1214</v>
      </c>
      <c r="G517" s="527"/>
    </row>
    <row r="518" spans="1:7" ht="16">
      <c r="A518" s="532" t="s">
        <v>1217</v>
      </c>
      <c r="B518" s="533" t="s">
        <v>294</v>
      </c>
      <c r="C518" s="532" t="s">
        <v>1149</v>
      </c>
      <c r="D518" s="532" t="s">
        <v>1218</v>
      </c>
      <c r="G518" s="527"/>
    </row>
    <row r="519" spans="1:7" ht="16">
      <c r="A519" s="532" t="s">
        <v>1221</v>
      </c>
      <c r="B519" s="533" t="s">
        <v>295</v>
      </c>
      <c r="C519" s="532" t="s">
        <v>1149</v>
      </c>
      <c r="D519" s="532" t="s">
        <v>1222</v>
      </c>
      <c r="F519" s="551"/>
      <c r="G519" s="527"/>
    </row>
    <row r="520" spans="1:7" ht="17" thickBot="1">
      <c r="A520" s="532" t="s">
        <v>1226</v>
      </c>
      <c r="B520" s="533" t="s">
        <v>296</v>
      </c>
      <c r="C520" s="532" t="s">
        <v>1149</v>
      </c>
      <c r="D520" s="532" t="s">
        <v>1227</v>
      </c>
      <c r="F520" s="564"/>
      <c r="G520" s="527"/>
    </row>
    <row r="521" spans="1:7" ht="16" thickBot="1">
      <c r="A521" s="534"/>
      <c r="B521" s="561" t="s">
        <v>1640</v>
      </c>
      <c r="C521" s="562" t="s">
        <v>1367</v>
      </c>
      <c r="D521" s="562" t="s">
        <v>1266</v>
      </c>
      <c r="E521" s="566" t="s">
        <v>1642</v>
      </c>
      <c r="F521" s="567" t="s">
        <v>1643</v>
      </c>
      <c r="G521" s="537" t="s">
        <v>1644</v>
      </c>
    </row>
    <row r="522" spans="1:7">
      <c r="A522" s="534"/>
      <c r="C522" s="534"/>
      <c r="D522" s="534"/>
      <c r="F522" s="564"/>
    </row>
    <row r="523" spans="1:7">
      <c r="A523" s="534"/>
      <c r="C523" s="534"/>
      <c r="D523" s="534"/>
      <c r="F523" s="564"/>
    </row>
    <row r="524" spans="1:7">
      <c r="A524" s="534"/>
      <c r="C524" s="534"/>
      <c r="D524" s="534"/>
      <c r="F524" s="564"/>
    </row>
    <row r="525" spans="1:7">
      <c r="A525" s="534"/>
      <c r="C525" s="534"/>
      <c r="D525" s="534"/>
      <c r="F525" s="564"/>
    </row>
    <row r="526" spans="1:7">
      <c r="A526" s="534"/>
      <c r="C526" s="534"/>
      <c r="D526" s="534"/>
      <c r="F526" s="564"/>
    </row>
    <row r="527" spans="1:7">
      <c r="A527" s="534"/>
      <c r="C527" s="534"/>
      <c r="D527" s="534"/>
      <c r="F527" s="564"/>
    </row>
    <row r="528" spans="1:7">
      <c r="A528" s="534"/>
      <c r="C528" s="534"/>
      <c r="D528" s="534"/>
      <c r="F528" s="563"/>
    </row>
    <row r="529" spans="1:7">
      <c r="A529" s="534"/>
      <c r="C529" s="534"/>
      <c r="D529" s="534"/>
    </row>
    <row r="530" spans="1:7">
      <c r="A530" s="534"/>
      <c r="C530" s="534"/>
      <c r="D530" s="534"/>
    </row>
    <row r="531" spans="1:7">
      <c r="A531" s="534"/>
      <c r="C531" s="534"/>
      <c r="D531" s="534"/>
    </row>
    <row r="532" spans="1:7">
      <c r="A532" s="534"/>
      <c r="C532" s="534"/>
      <c r="D532" s="534"/>
    </row>
    <row r="533" spans="1:7">
      <c r="A533" s="534"/>
      <c r="C533" s="534"/>
      <c r="D533" s="534"/>
    </row>
    <row r="534" spans="1:7">
      <c r="A534" s="534"/>
      <c r="C534" s="534"/>
      <c r="D534" s="534"/>
    </row>
    <row r="535" spans="1:7">
      <c r="A535" s="534"/>
      <c r="C535" s="534"/>
      <c r="D535" s="534"/>
    </row>
    <row r="536" spans="1:7">
      <c r="A536" s="534"/>
      <c r="C536" s="534"/>
      <c r="D536" s="534"/>
    </row>
    <row r="537" spans="1:7">
      <c r="A537" s="534"/>
      <c r="C537" s="534"/>
      <c r="D537" s="534"/>
    </row>
    <row r="538" spans="1:7">
      <c r="A538" s="534"/>
      <c r="C538" s="534"/>
      <c r="D538" s="534"/>
    </row>
    <row r="539" spans="1:7">
      <c r="A539" s="534"/>
      <c r="C539" s="534"/>
      <c r="D539" s="534"/>
    </row>
    <row r="540" spans="1:7">
      <c r="A540" s="534"/>
      <c r="C540" s="534"/>
      <c r="D540" s="534"/>
      <c r="F540" s="551"/>
    </row>
    <row r="541" spans="1:7">
      <c r="A541" s="534" t="s">
        <v>312</v>
      </c>
      <c r="B541" s="527" t="s">
        <v>312</v>
      </c>
      <c r="C541" s="534" t="s">
        <v>1283</v>
      </c>
      <c r="D541" s="534" t="s">
        <v>1410</v>
      </c>
      <c r="E541" s="527" t="s">
        <v>1651</v>
      </c>
      <c r="F541" s="536" t="s">
        <v>1652</v>
      </c>
      <c r="G541" s="537" t="s">
        <v>1653</v>
      </c>
    </row>
    <row r="542" spans="1:7">
      <c r="A542" s="534" t="s">
        <v>318</v>
      </c>
      <c r="B542" s="527" t="s">
        <v>318</v>
      </c>
      <c r="C542" s="534" t="s">
        <v>1283</v>
      </c>
      <c r="D542" s="534" t="s">
        <v>1654</v>
      </c>
      <c r="E542" s="527" t="s">
        <v>1655</v>
      </c>
      <c r="F542" s="551" t="s">
        <v>1656</v>
      </c>
      <c r="G542" s="537" t="s">
        <v>1657</v>
      </c>
    </row>
    <row r="543" spans="1:7">
      <c r="A543" s="534" t="s">
        <v>43</v>
      </c>
      <c r="B543" s="527" t="s">
        <v>43</v>
      </c>
      <c r="C543" s="534" t="s">
        <v>1283</v>
      </c>
      <c r="D543" s="534" t="s">
        <v>1105</v>
      </c>
      <c r="E543" s="527" t="s">
        <v>529</v>
      </c>
      <c r="F543" s="536" t="s">
        <v>1658</v>
      </c>
      <c r="G543" s="537" t="s">
        <v>531</v>
      </c>
    </row>
    <row r="544" spans="1:7">
      <c r="A544" s="534" t="s">
        <v>330</v>
      </c>
      <c r="B544" s="527" t="s">
        <v>330</v>
      </c>
      <c r="C544" s="534" t="s">
        <v>1283</v>
      </c>
      <c r="D544" s="534" t="s">
        <v>1659</v>
      </c>
      <c r="E544" s="527" t="s">
        <v>105</v>
      </c>
      <c r="F544" s="536" t="s">
        <v>722</v>
      </c>
      <c r="G544" s="537" t="s">
        <v>1660</v>
      </c>
    </row>
    <row r="545" spans="1:7">
      <c r="A545" s="534" t="s">
        <v>320</v>
      </c>
      <c r="B545" s="527" t="s">
        <v>320</v>
      </c>
      <c r="C545" s="534" t="s">
        <v>1283</v>
      </c>
      <c r="D545" s="534" t="s">
        <v>1661</v>
      </c>
      <c r="E545" s="527" t="s">
        <v>320</v>
      </c>
      <c r="F545" s="536" t="s">
        <v>1662</v>
      </c>
      <c r="G545" s="537" t="s">
        <v>1663</v>
      </c>
    </row>
    <row r="546" spans="1:7">
      <c r="A546" s="534" t="s">
        <v>80</v>
      </c>
      <c r="B546" s="527" t="s">
        <v>80</v>
      </c>
      <c r="C546" s="534" t="s">
        <v>1283</v>
      </c>
      <c r="D546" s="534" t="s">
        <v>1664</v>
      </c>
      <c r="E546" s="527" t="s">
        <v>645</v>
      </c>
      <c r="F546" s="536" t="s">
        <v>646</v>
      </c>
      <c r="G546" s="537" t="s">
        <v>1665</v>
      </c>
    </row>
    <row r="547" spans="1:7">
      <c r="A547" s="534" t="s">
        <v>321</v>
      </c>
      <c r="B547" s="527" t="s">
        <v>1666</v>
      </c>
      <c r="C547" s="534" t="s">
        <v>1283</v>
      </c>
      <c r="D547" s="534" t="s">
        <v>1667</v>
      </c>
      <c r="E547" s="527" t="s">
        <v>1668</v>
      </c>
      <c r="F547" s="536" t="s">
        <v>1669</v>
      </c>
      <c r="G547" s="537" t="s">
        <v>1670</v>
      </c>
    </row>
    <row r="548" spans="1:7">
      <c r="A548" s="534" t="s">
        <v>322</v>
      </c>
      <c r="B548" s="527" t="s">
        <v>322</v>
      </c>
      <c r="C548" s="534" t="s">
        <v>1283</v>
      </c>
      <c r="D548" s="534" t="s">
        <v>1671</v>
      </c>
      <c r="E548" s="527" t="s">
        <v>1672</v>
      </c>
      <c r="F548" s="551" t="s">
        <v>1673</v>
      </c>
      <c r="G548" s="537" t="s">
        <v>1674</v>
      </c>
    </row>
    <row r="549" spans="1:7">
      <c r="A549" s="534" t="s">
        <v>1675</v>
      </c>
      <c r="B549" s="527" t="s">
        <v>1675</v>
      </c>
      <c r="C549" s="562" t="s">
        <v>1685</v>
      </c>
      <c r="D549" s="534" t="s">
        <v>1401</v>
      </c>
      <c r="E549" s="527" t="s">
        <v>1676</v>
      </c>
      <c r="F549" s="536" t="s">
        <v>1677</v>
      </c>
      <c r="G549" s="537" t="s">
        <v>1678</v>
      </c>
    </row>
    <row r="550" spans="1:7">
      <c r="A550" s="534" t="s">
        <v>382</v>
      </c>
      <c r="B550" s="527" t="s">
        <v>382</v>
      </c>
      <c r="C550" s="562" t="s">
        <v>1685</v>
      </c>
      <c r="D550" s="534" t="s">
        <v>1403</v>
      </c>
      <c r="E550" s="527" t="s">
        <v>1679</v>
      </c>
      <c r="F550" s="536" t="s">
        <v>1680</v>
      </c>
      <c r="G550" s="537" t="s">
        <v>1681</v>
      </c>
    </row>
    <row r="551" spans="1:7">
      <c r="A551" s="534" t="s">
        <v>380</v>
      </c>
      <c r="B551" s="527" t="s">
        <v>380</v>
      </c>
      <c r="C551" s="562" t="s">
        <v>1685</v>
      </c>
      <c r="D551" s="534" t="s">
        <v>601</v>
      </c>
      <c r="E551" s="527" t="s">
        <v>1682</v>
      </c>
      <c r="F551" s="551" t="s">
        <v>1683</v>
      </c>
      <c r="G551" s="537" t="s">
        <v>1684</v>
      </c>
    </row>
    <row r="552" spans="1:7">
      <c r="A552" s="534" t="s">
        <v>1686</v>
      </c>
      <c r="B552" s="527" t="s">
        <v>1686</v>
      </c>
      <c r="C552" s="534" t="s">
        <v>1367</v>
      </c>
      <c r="D552" s="562" t="s">
        <v>1688</v>
      </c>
      <c r="E552" s="527" t="s">
        <v>1689</v>
      </c>
      <c r="F552" s="551" t="s">
        <v>1690</v>
      </c>
      <c r="G552" s="537" t="s">
        <v>1691</v>
      </c>
    </row>
    <row r="553" spans="1:7">
      <c r="A553" s="534" t="s">
        <v>377</v>
      </c>
      <c r="B553" s="527" t="s">
        <v>377</v>
      </c>
      <c r="C553" s="534" t="s">
        <v>1685</v>
      </c>
      <c r="D553" s="534" t="s">
        <v>1398</v>
      </c>
      <c r="E553" s="527" t="s">
        <v>377</v>
      </c>
      <c r="F553" s="536" t="s">
        <v>1693</v>
      </c>
      <c r="G553" s="537" t="s">
        <v>1694</v>
      </c>
    </row>
    <row r="554" spans="1:7">
      <c r="A554" s="534" t="s">
        <v>378</v>
      </c>
      <c r="B554" s="527" t="s">
        <v>378</v>
      </c>
      <c r="C554" s="534" t="s">
        <v>1685</v>
      </c>
      <c r="D554" s="534" t="s">
        <v>1119</v>
      </c>
      <c r="E554" s="527" t="s">
        <v>1695</v>
      </c>
      <c r="F554" s="536" t="s">
        <v>1696</v>
      </c>
      <c r="G554" s="537" t="s">
        <v>1697</v>
      </c>
    </row>
    <row r="555" spans="1:7">
      <c r="A555" s="534" t="s">
        <v>1692</v>
      </c>
      <c r="B555" s="527" t="s">
        <v>1692</v>
      </c>
      <c r="C555" s="534" t="s">
        <v>1367</v>
      </c>
      <c r="D555" s="534" t="s">
        <v>1268</v>
      </c>
      <c r="E555" s="527" t="s">
        <v>1698</v>
      </c>
      <c r="F555" s="551" t="s">
        <v>1699</v>
      </c>
      <c r="G555" s="537" t="s">
        <v>1700</v>
      </c>
    </row>
    <row r="556" spans="1:7" ht="16">
      <c r="A556" s="534" t="s">
        <v>27</v>
      </c>
      <c r="B556" s="568" t="s">
        <v>1702</v>
      </c>
      <c r="C556" s="562" t="s">
        <v>1367</v>
      </c>
      <c r="D556" s="562" t="s">
        <v>426</v>
      </c>
      <c r="E556" s="561" t="s">
        <v>1702</v>
      </c>
      <c r="F556" s="569" t="s">
        <v>1703</v>
      </c>
      <c r="G556" s="570" t="s">
        <v>1704</v>
      </c>
    </row>
  </sheetData>
  <sheetProtection algorithmName="SHA-512" hashValue="icLIQErdlFVHhmq4rFS4bItORKWBybTzYBu8qFddE+/ScK74tAuAWDNNFfp2p1UN/kf9z5FjpNz9+FAjRRNFwA==" saltValue="4Sp+lQPYcSLX/VgkYM+6rg==" spinCount="100000" sheet="1" objects="1" scenarios="1"/>
  <phoneticPr fontId="152" type="noConversion"/>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A03A-0CB3-4C8A-989D-C68C40A401AD}">
  <sheetPr codeName="Blad12"/>
  <dimension ref="A1"/>
  <sheetViews>
    <sheetView workbookViewId="0">
      <selection activeCell="A2" sqref="A2"/>
    </sheetView>
  </sheetViews>
  <sheetFormatPr baseColWidth="10" defaultColWidth="8.83203125" defaultRowHeight="13"/>
  <sheetData>
    <row r="1" spans="1:1">
      <c r="A1" s="341" t="s">
        <v>352</v>
      </c>
    </row>
  </sheetData>
  <sheetProtection algorithmName="SHA-512" hashValue="XgsA+BX6V/dIK8CbnMcq6hC0fgEfAYqNJK160Twj/lsORk0l0Iw7HJuZQ+MvS8coyC5bH28UB6ZyxoLVoIESaA==" saltValue="rMsg8LrN0RbjY7qdZp5SVg==" spinCount="100000" sheet="1" objects="1" scenarios="1" selectLockedCells="1" selectUnlockedCell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49A7E-E219-42AD-8AEC-693FE83AB110}">
  <sheetPr codeName="Blad14"/>
  <dimension ref="B1:AA60"/>
  <sheetViews>
    <sheetView topLeftCell="D1" zoomScaleNormal="100" workbookViewId="0">
      <selection activeCell="B10" sqref="B10"/>
    </sheetView>
  </sheetViews>
  <sheetFormatPr baseColWidth="10" defaultColWidth="11.5" defaultRowHeight="13"/>
  <cols>
    <col min="2" max="2" width="35.6640625" customWidth="1"/>
    <col min="3" max="3" width="42.6640625" bestFit="1" customWidth="1"/>
    <col min="4" max="4" width="37.5" bestFit="1" customWidth="1"/>
    <col min="5" max="5" width="37.1640625" bestFit="1" customWidth="1"/>
    <col min="6" max="6" width="37.33203125" bestFit="1" customWidth="1"/>
    <col min="7" max="7" width="32.1640625" bestFit="1" customWidth="1"/>
    <col min="8" max="8" width="31.5" bestFit="1" customWidth="1"/>
    <col min="9" max="9" width="24.83203125" customWidth="1"/>
    <col min="10" max="10" width="23.6640625" customWidth="1"/>
    <col min="11" max="12" width="11.83203125" bestFit="1" customWidth="1"/>
  </cols>
  <sheetData>
    <row r="1" spans="2:14">
      <c r="B1" t="s">
        <v>353</v>
      </c>
      <c r="C1" s="343" t="s">
        <v>354</v>
      </c>
      <c r="D1" s="343" t="s">
        <v>355</v>
      </c>
      <c r="E1" s="343" t="s">
        <v>320</v>
      </c>
      <c r="F1" s="343" t="s">
        <v>356</v>
      </c>
      <c r="G1" s="345" t="s">
        <v>357</v>
      </c>
      <c r="H1" s="345" t="s">
        <v>358</v>
      </c>
      <c r="I1" s="345" t="s">
        <v>359</v>
      </c>
      <c r="J1" s="345" t="s">
        <v>102</v>
      </c>
      <c r="K1" s="341" t="s">
        <v>360</v>
      </c>
      <c r="L1" t="s">
        <v>361</v>
      </c>
      <c r="M1" t="s">
        <v>362</v>
      </c>
      <c r="N1" t="s">
        <v>363</v>
      </c>
    </row>
    <row r="2" spans="2:14">
      <c r="B2" t="str">
        <f t="shared" ref="B2:B11" ca="1" si="0">IF(G38&lt;&gt;0,C38,"")</f>
        <v/>
      </c>
      <c r="C2" s="342" t="str">
        <f>IF(D38 &lt;&gt; 0,D38,"")</f>
        <v/>
      </c>
      <c r="D2" s="342" t="str">
        <f ca="1">IF(E38 &lt;&gt; 0,E38,"")</f>
        <v/>
      </c>
      <c r="E2" s="342" t="str">
        <f ca="1">IF(G38 &lt;&gt; 0,G38,"")</f>
        <v/>
      </c>
      <c r="F2" s="342" t="str">
        <f ca="1">IF(F38&lt;&gt;0,F38,"")</f>
        <v/>
      </c>
      <c r="G2" s="346" t="e">
        <f>IF(D51 &lt;&gt; 0,D51,"")</f>
        <v>#VALUE!</v>
      </c>
      <c r="H2" s="344" t="str">
        <f t="shared" ref="H2:H11" si="1">IF(E51&lt;&gt; 0,E51,"")</f>
        <v/>
      </c>
      <c r="I2" s="344" t="str">
        <f t="shared" ref="I2:I11" si="2">IF(G51&lt;&gt; 0,G51,"")</f>
        <v/>
      </c>
      <c r="J2" s="344" t="str">
        <f>IF(F51&lt;&gt; 0,F51,"")</f>
        <v/>
      </c>
      <c r="K2" t="str">
        <f>IF('1. LCC Befintlig Installation'!O175 &lt;&gt; 0,'1. LCC Befintlig Installation'!O175,"")</f>
        <v/>
      </c>
      <c r="L2" t="str">
        <f>IF('1. LCC Befintlig Installation'!P175 &lt;&gt; 0,'1. LCC Befintlig Installation'!P175,"")</f>
        <v/>
      </c>
      <c r="M2" t="str">
        <f>IF('1. LCC Befintlig Installation'!Q175 &lt;&gt; 0,'1. LCC Befintlig Installation'!Q175,"")</f>
        <v/>
      </c>
      <c r="N2" t="str">
        <f>IF('1. LCC Befintlig Installation'!R175 &lt;&gt; 0,'1. LCC Befintlig Installation'!R175,"")</f>
        <v/>
      </c>
    </row>
    <row r="3" spans="2:14">
      <c r="B3" t="str">
        <f t="shared" ca="1" si="0"/>
        <v/>
      </c>
      <c r="C3" s="342" t="str">
        <f t="shared" ref="C3:D11" si="3">IF(D39 &lt;&gt; 0,D39,"")</f>
        <v/>
      </c>
      <c r="D3" s="342" t="str">
        <f t="shared" ca="1" si="3"/>
        <v/>
      </c>
      <c r="E3" s="342" t="str">
        <f t="shared" ref="E3:E11" ca="1" si="4">IF(G39 &lt;&gt; 0,G39,"")</f>
        <v/>
      </c>
      <c r="F3" s="342" t="str">
        <f t="shared" ref="F3:F11" ca="1" si="5">IF(F39&lt;&gt;0,F39,"")</f>
        <v/>
      </c>
      <c r="G3" s="346" t="e">
        <f>IF(D52 &lt;&gt; 0,D52,0)</f>
        <v>#VALUE!</v>
      </c>
      <c r="H3" s="344">
        <f>IF(E52&lt;&gt; 0,E52,0)</f>
        <v>0</v>
      </c>
      <c r="I3" s="344">
        <f>IF(G52&lt;&gt; 0,G52,0)</f>
        <v>0</v>
      </c>
      <c r="J3" s="344">
        <f>IF(F52&lt;&gt; 0,F52,0)</f>
        <v>0</v>
      </c>
      <c r="K3" t="str">
        <f ca="1">IF('1. LCC Befintlig Installation'!O194&lt;&gt; 0,'1. LCC Befintlig Installation'!O194,"")</f>
        <v/>
      </c>
      <c r="L3" t="str">
        <f ca="1">IF('1. LCC Befintlig Installation'!P194&lt;&gt; 0,'1. LCC Befintlig Installation'!P194,"")</f>
        <v/>
      </c>
      <c r="M3" t="str">
        <f ca="1">IF('1. LCC Befintlig Installation'!Q194&lt;&gt; 0,'1. LCC Befintlig Installation'!Q194,"")</f>
        <v/>
      </c>
      <c r="N3" t="str">
        <f ca="1">IF('1. LCC Befintlig Installation'!R194&lt;&gt; 0,'1. LCC Befintlig Installation'!R194,"")</f>
        <v/>
      </c>
    </row>
    <row r="4" spans="2:14">
      <c r="B4" t="str">
        <f t="shared" ca="1" si="0"/>
        <v/>
      </c>
      <c r="C4" s="342" t="str">
        <f t="shared" si="3"/>
        <v/>
      </c>
      <c r="D4" s="342" t="str">
        <f t="shared" ca="1" si="3"/>
        <v/>
      </c>
      <c r="E4" s="342" t="str">
        <f t="shared" ca="1" si="4"/>
        <v/>
      </c>
      <c r="F4" s="342" t="str">
        <f t="shared" ca="1" si="5"/>
        <v/>
      </c>
      <c r="G4" s="346" t="str">
        <f t="shared" ref="G4:G11" si="6">IF(D53 &lt;&gt; 0,D53,"")</f>
        <v/>
      </c>
      <c r="H4" s="344" t="str">
        <f t="shared" si="1"/>
        <v/>
      </c>
      <c r="I4" s="344" t="str">
        <f t="shared" si="2"/>
        <v/>
      </c>
      <c r="J4" s="344" t="str">
        <f t="shared" ref="J4:J11" si="7">IF(F53&lt;&gt; 0,F53,"")</f>
        <v/>
      </c>
      <c r="K4" t="str">
        <f ca="1">IF('1. LCC Befintlig Installation'!O194&lt;&gt; 0,'1. LCC Befintlig Installation'!O215,"")</f>
        <v/>
      </c>
      <c r="L4" t="str">
        <f ca="1">IF('1. LCC Befintlig Installation'!P194&lt;&gt; 0,'1. LCC Befintlig Installation'!P215,"")</f>
        <v/>
      </c>
      <c r="M4" t="str">
        <f ca="1">IF('1. LCC Befintlig Installation'!Q194&lt;&gt; 0,'1. LCC Befintlig Installation'!Q215,"")</f>
        <v/>
      </c>
      <c r="N4" t="str">
        <f ca="1">IF('1. LCC Befintlig Installation'!R194&lt;&gt; 0,'1. LCC Befintlig Installation'!R215,"")</f>
        <v/>
      </c>
    </row>
    <row r="5" spans="2:14">
      <c r="B5" t="str">
        <f t="shared" ca="1" si="0"/>
        <v/>
      </c>
      <c r="C5" s="342" t="str">
        <f t="shared" si="3"/>
        <v/>
      </c>
      <c r="D5" s="342" t="str">
        <f t="shared" ca="1" si="3"/>
        <v/>
      </c>
      <c r="E5" s="342" t="str">
        <f t="shared" ca="1" si="4"/>
        <v/>
      </c>
      <c r="F5" s="342" t="str">
        <f t="shared" ca="1" si="5"/>
        <v/>
      </c>
      <c r="G5" s="346" t="str">
        <f t="shared" si="6"/>
        <v/>
      </c>
      <c r="H5" s="344" t="str">
        <f t="shared" si="1"/>
        <v/>
      </c>
      <c r="I5" s="344" t="str">
        <f t="shared" si="2"/>
        <v/>
      </c>
      <c r="J5" s="344" t="str">
        <f t="shared" si="7"/>
        <v/>
      </c>
    </row>
    <row r="6" spans="2:14">
      <c r="B6" t="str">
        <f t="shared" ca="1" si="0"/>
        <v/>
      </c>
      <c r="C6" s="342" t="str">
        <f t="shared" si="3"/>
        <v/>
      </c>
      <c r="D6" s="342" t="str">
        <f t="shared" ca="1" si="3"/>
        <v/>
      </c>
      <c r="E6" s="342" t="str">
        <f t="shared" ca="1" si="4"/>
        <v/>
      </c>
      <c r="F6" s="342" t="str">
        <f t="shared" ca="1" si="5"/>
        <v/>
      </c>
      <c r="G6" s="346" t="str">
        <f t="shared" si="6"/>
        <v/>
      </c>
      <c r="H6" s="344" t="str">
        <f>IF(E55&lt;&gt;0,E55,"")</f>
        <v/>
      </c>
      <c r="I6" s="344" t="str">
        <f t="shared" si="2"/>
        <v/>
      </c>
      <c r="J6" s="344" t="str">
        <f t="shared" si="7"/>
        <v/>
      </c>
    </row>
    <row r="7" spans="2:14">
      <c r="B7" t="str">
        <f t="shared" ca="1" si="0"/>
        <v/>
      </c>
      <c r="C7" s="342" t="str">
        <f t="shared" si="3"/>
        <v/>
      </c>
      <c r="D7" s="342" t="str">
        <f t="shared" ca="1" si="3"/>
        <v/>
      </c>
      <c r="E7" s="342" t="str">
        <f t="shared" ca="1" si="4"/>
        <v/>
      </c>
      <c r="F7" s="342" t="str">
        <f t="shared" ca="1" si="5"/>
        <v/>
      </c>
      <c r="G7" s="346" t="str">
        <f t="shared" si="6"/>
        <v/>
      </c>
      <c r="H7" s="344" t="str">
        <f t="shared" si="1"/>
        <v/>
      </c>
      <c r="I7" s="344" t="str">
        <f t="shared" si="2"/>
        <v/>
      </c>
      <c r="J7" s="344" t="str">
        <f t="shared" si="7"/>
        <v/>
      </c>
      <c r="K7" t="str">
        <f>IF('2. LCC Ny Installation'!O175 &lt;&gt; 0,'2. LCC Ny Installation'!O162,"")</f>
        <v/>
      </c>
      <c r="L7" t="str">
        <f>IF('2. LCC Ny Installation'!P175 &lt;&gt; 0,'2. LCC Ny Installation'!P162,"")</f>
        <v/>
      </c>
      <c r="M7" t="str">
        <f>IF('2. LCC Ny Installation'!Q175 &lt;&gt; 0,'2. LCC Ny Installation'!Q162,"")</f>
        <v/>
      </c>
      <c r="N7" t="str">
        <f>IF('2. LCC Ny Installation'!R175 &lt;&gt; 0,'2. LCC Ny Installation'!R162,"")</f>
        <v/>
      </c>
    </row>
    <row r="8" spans="2:14">
      <c r="B8" t="str">
        <f t="shared" ca="1" si="0"/>
        <v/>
      </c>
      <c r="C8" s="342" t="str">
        <f t="shared" si="3"/>
        <v/>
      </c>
      <c r="D8" s="342" t="str">
        <f t="shared" ca="1" si="3"/>
        <v/>
      </c>
      <c r="E8" s="342" t="str">
        <f t="shared" ca="1" si="4"/>
        <v/>
      </c>
      <c r="F8" s="342" t="str">
        <f t="shared" ca="1" si="5"/>
        <v/>
      </c>
      <c r="G8" s="346" t="str">
        <f t="shared" si="6"/>
        <v/>
      </c>
      <c r="H8" s="344" t="str">
        <f t="shared" si="1"/>
        <v/>
      </c>
      <c r="I8" s="344" t="str">
        <f t="shared" si="2"/>
        <v/>
      </c>
      <c r="J8" s="344" t="str">
        <f t="shared" si="7"/>
        <v/>
      </c>
      <c r="K8" t="str">
        <f>IF('2. LCC Ny Installation'!O175 &lt;&gt; 0,'2. LCC Ny Installation'!O175,"")</f>
        <v/>
      </c>
      <c r="L8" t="str">
        <f>IF('2. LCC Ny Installation'!P175 &lt;&gt; 0,'2. LCC Ny Installation'!P175,"")</f>
        <v/>
      </c>
      <c r="M8" t="str">
        <f>IF('2. LCC Ny Installation'!Q175 &lt;&gt; 0,'2. LCC Ny Installation'!Q175,"")</f>
        <v/>
      </c>
      <c r="N8" t="str">
        <f>IF('2. LCC Ny Installation'!R175 &lt;&gt; 0,'2. LCC Ny Installation'!R175,"")</f>
        <v/>
      </c>
    </row>
    <row r="9" spans="2:14">
      <c r="B9" t="str">
        <f t="shared" ca="1" si="0"/>
        <v/>
      </c>
      <c r="C9" s="342" t="str">
        <f t="shared" si="3"/>
        <v/>
      </c>
      <c r="D9" s="342" t="str">
        <f t="shared" ca="1" si="3"/>
        <v/>
      </c>
      <c r="E9" s="342" t="str">
        <f t="shared" ca="1" si="4"/>
        <v/>
      </c>
      <c r="F9" s="342" t="str">
        <f t="shared" ca="1" si="5"/>
        <v/>
      </c>
      <c r="G9" s="346" t="str">
        <f t="shared" si="6"/>
        <v/>
      </c>
      <c r="H9" s="344" t="str">
        <f t="shared" si="1"/>
        <v/>
      </c>
      <c r="I9" s="344" t="str">
        <f t="shared" si="2"/>
        <v/>
      </c>
      <c r="J9" s="344" t="str">
        <f t="shared" si="7"/>
        <v/>
      </c>
      <c r="K9" t="str">
        <f>IF('2. LCC Ny Installation'!O194&lt;&gt; 0,'2. LCC Ny Installation'!O215,"")</f>
        <v/>
      </c>
      <c r="L9" t="str">
        <f>IF('2. LCC Ny Installation'!P194&lt;&gt; 0,'2. LCC Ny Installation'!P215,"")</f>
        <v/>
      </c>
      <c r="M9" t="str">
        <f>IF('2. LCC Ny Installation'!Q194&lt;&gt; 0,'2. LCC Ny Installation'!Q215,"")</f>
        <v/>
      </c>
      <c r="N9" t="str">
        <f>IF('2. LCC Ny Installation'!R194&lt;&gt; 0,'2. LCC Ny Installation'!R215,"")</f>
        <v/>
      </c>
    </row>
    <row r="10" spans="2:14">
      <c r="B10" t="str">
        <f t="shared" ca="1" si="0"/>
        <v/>
      </c>
      <c r="C10" s="342" t="str">
        <f t="shared" si="3"/>
        <v/>
      </c>
      <c r="D10" s="342" t="str">
        <f t="shared" ca="1" si="3"/>
        <v/>
      </c>
      <c r="E10" s="342" t="str">
        <f t="shared" ca="1" si="4"/>
        <v/>
      </c>
      <c r="F10" s="342" t="str">
        <f t="shared" ca="1" si="5"/>
        <v/>
      </c>
      <c r="G10" s="346" t="str">
        <f t="shared" si="6"/>
        <v/>
      </c>
      <c r="H10" s="344" t="str">
        <f t="shared" si="1"/>
        <v/>
      </c>
      <c r="I10" s="344" t="str">
        <f t="shared" si="2"/>
        <v/>
      </c>
      <c r="J10" s="344" t="str">
        <f t="shared" si="7"/>
        <v/>
      </c>
    </row>
    <row r="11" spans="2:14">
      <c r="B11" t="str">
        <f t="shared" ca="1" si="0"/>
        <v/>
      </c>
      <c r="C11" s="342" t="str">
        <f t="shared" si="3"/>
        <v/>
      </c>
      <c r="D11" s="342" t="str">
        <f t="shared" ca="1" si="3"/>
        <v/>
      </c>
      <c r="E11" s="342" t="str">
        <f t="shared" ca="1" si="4"/>
        <v/>
      </c>
      <c r="F11" s="342" t="str">
        <f t="shared" ca="1" si="5"/>
        <v/>
      </c>
      <c r="G11" s="346" t="str">
        <f t="shared" si="6"/>
        <v/>
      </c>
      <c r="H11" s="344" t="str">
        <f t="shared" si="1"/>
        <v/>
      </c>
      <c r="I11" s="344" t="str">
        <f t="shared" si="2"/>
        <v/>
      </c>
      <c r="J11" s="344" t="str">
        <f t="shared" si="7"/>
        <v/>
      </c>
      <c r="K11" t="str">
        <f t="shared" ref="K11:N11" si="8">IF(K8 &lt;&gt; "", K3-K8,"")</f>
        <v/>
      </c>
      <c r="L11" t="str">
        <f t="shared" si="8"/>
        <v/>
      </c>
      <c r="M11" t="str">
        <f t="shared" si="8"/>
        <v/>
      </c>
      <c r="N11" t="str">
        <f t="shared" si="8"/>
        <v/>
      </c>
    </row>
    <row r="12" spans="2:14">
      <c r="B12" t="s">
        <v>364</v>
      </c>
      <c r="C12" s="483">
        <f>SUBTOTAL(109,Tabell1[[Installationskostnader ]])</f>
        <v>0</v>
      </c>
      <c r="D12" s="483">
        <f ca="1">SUBTOTAL(109,Tabell1[[Energiåtgång ]])</f>
        <v>0</v>
      </c>
      <c r="E12" s="483">
        <f ca="1">SUBTOTAL(109,Tabell1[Energikostnader])</f>
        <v>0</v>
      </c>
      <c r="F12" s="342">
        <f ca="1">SUM(Tabell1[[Klimatpåverkan ]])</f>
        <v>0</v>
      </c>
      <c r="G12" s="346" t="e">
        <f>SUBTOTAL(109,Tabell1[Installationskostnader])</f>
        <v>#VALUE!</v>
      </c>
      <c r="H12" s="346">
        <f>SUBTOTAL(109,Tabell1[Energiåtgång 2])</f>
        <v>0</v>
      </c>
      <c r="I12" s="346">
        <f>SUBTOTAL(109,Tabell1[Energikostnader2])</f>
        <v>0</v>
      </c>
      <c r="J12" s="346">
        <f>SUBTOTAL(109,Tabell1[Klimatpåverkan])</f>
        <v>0</v>
      </c>
    </row>
    <row r="15" spans="2:14">
      <c r="B15" t="s">
        <v>365</v>
      </c>
      <c r="C15" s="341" t="s">
        <v>357</v>
      </c>
      <c r="D15" s="341" t="s">
        <v>366</v>
      </c>
      <c r="E15" s="341" t="s">
        <v>102</v>
      </c>
      <c r="F15" s="341" t="s">
        <v>320</v>
      </c>
    </row>
    <row r="16" spans="2:14">
      <c r="B16" t="str">
        <f t="shared" ref="B16:B25" si="9">IF(C38&lt;&gt; 0,C38,"")</f>
        <v/>
      </c>
      <c r="C16" s="348" t="str">
        <f t="shared" ref="C16:C20" si="10">IF(C2&lt;&gt; "",C2-G2,"")</f>
        <v/>
      </c>
      <c r="D16" s="348" t="str">
        <f ca="1">IF(D2&lt;&gt;"",D2-H2,"")</f>
        <v/>
      </c>
      <c r="E16" s="348" t="str">
        <f ca="1">IF(F2&lt;&gt;"",F2-J2,"")</f>
        <v/>
      </c>
      <c r="F16" s="350" t="str">
        <f ca="1">IF(E2&lt;&gt;"",E2-I2,"")</f>
        <v/>
      </c>
    </row>
    <row r="17" spans="2:27">
      <c r="B17" t="str">
        <f t="shared" si="9"/>
        <v/>
      </c>
      <c r="C17" s="348" t="str">
        <f t="shared" si="10"/>
        <v/>
      </c>
      <c r="D17" s="348" t="str">
        <f t="shared" ref="D17" ca="1" si="11">IF(D3&lt;&gt; "",D3-H3,"")</f>
        <v/>
      </c>
      <c r="E17" s="348" t="str">
        <f t="shared" ref="E17" ca="1" si="12">IF(E3&lt;&gt; "",E3-I3,"")</f>
        <v/>
      </c>
      <c r="F17" s="348" t="str">
        <f ca="1">IF(F3&lt;&gt; "",F3-J3,"")</f>
        <v/>
      </c>
    </row>
    <row r="18" spans="2:27">
      <c r="B18" t="str">
        <f t="shared" si="9"/>
        <v/>
      </c>
      <c r="C18" s="348" t="str">
        <f t="shared" si="10"/>
        <v/>
      </c>
      <c r="D18" s="348" t="str">
        <f t="shared" ref="D18:D25" ca="1" si="13">IF(D4&lt;&gt;"",D4-H4,"")</f>
        <v/>
      </c>
      <c r="E18" s="348" t="str">
        <f t="shared" ref="E18:E25" ca="1" si="14">IF(F4&lt;&gt;"",F4-J4,"")</f>
        <v/>
      </c>
      <c r="F18" s="350" t="str">
        <f t="shared" ref="F18:F25" ca="1" si="15">IF(E4&lt;&gt;"",E4-I4,"")</f>
        <v/>
      </c>
      <c r="H18" s="341">
        <f ca="1">YEAR(TODAY())+1</f>
        <v>2027</v>
      </c>
      <c r="I18" s="341">
        <f ca="1">H18+1</f>
        <v>2028</v>
      </c>
      <c r="J18" s="341">
        <f t="shared" ref="J18:AA18" ca="1" si="16">I18+1</f>
        <v>2029</v>
      </c>
      <c r="K18" s="341">
        <f t="shared" ca="1" si="16"/>
        <v>2030</v>
      </c>
      <c r="L18" s="341">
        <f t="shared" ca="1" si="16"/>
        <v>2031</v>
      </c>
      <c r="M18" s="341">
        <f t="shared" ca="1" si="16"/>
        <v>2032</v>
      </c>
      <c r="N18" s="341">
        <f t="shared" ca="1" si="16"/>
        <v>2033</v>
      </c>
      <c r="O18" s="341">
        <f t="shared" ca="1" si="16"/>
        <v>2034</v>
      </c>
      <c r="P18" s="341">
        <f t="shared" ca="1" si="16"/>
        <v>2035</v>
      </c>
      <c r="Q18" s="341">
        <f t="shared" ca="1" si="16"/>
        <v>2036</v>
      </c>
      <c r="R18" s="341">
        <f t="shared" ca="1" si="16"/>
        <v>2037</v>
      </c>
      <c r="S18" s="341">
        <f t="shared" ca="1" si="16"/>
        <v>2038</v>
      </c>
      <c r="T18" s="341">
        <f t="shared" ca="1" si="16"/>
        <v>2039</v>
      </c>
      <c r="U18" s="341">
        <f t="shared" ca="1" si="16"/>
        <v>2040</v>
      </c>
      <c r="V18" s="341">
        <f t="shared" ca="1" si="16"/>
        <v>2041</v>
      </c>
      <c r="W18" s="341">
        <f t="shared" ca="1" si="16"/>
        <v>2042</v>
      </c>
      <c r="X18" s="341">
        <f t="shared" ca="1" si="16"/>
        <v>2043</v>
      </c>
      <c r="Y18" s="341">
        <f t="shared" ca="1" si="16"/>
        <v>2044</v>
      </c>
      <c r="Z18" s="341">
        <f t="shared" ca="1" si="16"/>
        <v>2045</v>
      </c>
      <c r="AA18" s="341">
        <f t="shared" ca="1" si="16"/>
        <v>2046</v>
      </c>
    </row>
    <row r="19" spans="2:27">
      <c r="B19" t="str">
        <f t="shared" si="9"/>
        <v/>
      </c>
      <c r="C19" s="348" t="str">
        <f t="shared" si="10"/>
        <v/>
      </c>
      <c r="D19" s="348" t="str">
        <f t="shared" ca="1" si="13"/>
        <v/>
      </c>
      <c r="E19" s="348" t="str">
        <f t="shared" ca="1" si="14"/>
        <v/>
      </c>
      <c r="F19" s="350" t="str">
        <f t="shared" ca="1" si="15"/>
        <v/>
      </c>
    </row>
    <row r="20" spans="2:27">
      <c r="B20" t="str">
        <f t="shared" si="9"/>
        <v/>
      </c>
      <c r="C20" s="348" t="str">
        <f t="shared" si="10"/>
        <v/>
      </c>
      <c r="D20" s="348" t="str">
        <f t="shared" ca="1" si="13"/>
        <v/>
      </c>
      <c r="E20" s="348" t="str">
        <f t="shared" ca="1" si="14"/>
        <v/>
      </c>
      <c r="F20" s="350" t="str">
        <f t="shared" ca="1" si="15"/>
        <v/>
      </c>
    </row>
    <row r="21" spans="2:27">
      <c r="B21" t="str">
        <f t="shared" si="9"/>
        <v/>
      </c>
      <c r="C21" s="348" t="str">
        <f t="shared" ref="C21:C25" si="17">IF(C7&lt;&gt; "",C7-G7,"")</f>
        <v/>
      </c>
      <c r="D21" s="348" t="str">
        <f t="shared" ca="1" si="13"/>
        <v/>
      </c>
      <c r="E21" s="348" t="str">
        <f t="shared" ca="1" si="14"/>
        <v/>
      </c>
      <c r="F21" s="350" t="str">
        <f t="shared" ca="1" si="15"/>
        <v/>
      </c>
    </row>
    <row r="22" spans="2:27">
      <c r="B22" t="str">
        <f t="shared" si="9"/>
        <v/>
      </c>
      <c r="C22" s="348" t="str">
        <f t="shared" si="17"/>
        <v/>
      </c>
      <c r="D22" s="348" t="str">
        <f t="shared" ca="1" si="13"/>
        <v/>
      </c>
      <c r="E22" s="348" t="str">
        <f t="shared" ca="1" si="14"/>
        <v/>
      </c>
      <c r="F22" s="350" t="str">
        <f t="shared" ca="1" si="15"/>
        <v/>
      </c>
    </row>
    <row r="23" spans="2:27">
      <c r="B23" t="str">
        <f t="shared" si="9"/>
        <v/>
      </c>
      <c r="C23" s="348" t="str">
        <f t="shared" si="17"/>
        <v/>
      </c>
      <c r="D23" s="348" t="str">
        <f t="shared" ca="1" si="13"/>
        <v/>
      </c>
      <c r="E23" s="348" t="str">
        <f t="shared" ca="1" si="14"/>
        <v/>
      </c>
      <c r="F23" s="350" t="str">
        <f t="shared" ca="1" si="15"/>
        <v/>
      </c>
    </row>
    <row r="24" spans="2:27">
      <c r="B24" t="str">
        <f t="shared" si="9"/>
        <v/>
      </c>
      <c r="C24" s="348" t="str">
        <f t="shared" si="17"/>
        <v/>
      </c>
      <c r="D24" s="348" t="str">
        <f t="shared" ca="1" si="13"/>
        <v/>
      </c>
      <c r="E24" s="348" t="str">
        <f t="shared" ca="1" si="14"/>
        <v/>
      </c>
      <c r="F24" s="350" t="str">
        <f t="shared" ca="1" si="15"/>
        <v/>
      </c>
    </row>
    <row r="25" spans="2:27">
      <c r="B25" t="str">
        <f t="shared" si="9"/>
        <v/>
      </c>
      <c r="C25" s="348" t="str">
        <f t="shared" si="17"/>
        <v/>
      </c>
      <c r="D25" s="348" t="str">
        <f t="shared" ca="1" si="13"/>
        <v/>
      </c>
      <c r="E25" s="348" t="str">
        <f t="shared" ca="1" si="14"/>
        <v/>
      </c>
      <c r="F25" s="350" t="str">
        <f t="shared" ca="1" si="15"/>
        <v/>
      </c>
      <c r="H25" t="str">
        <f ca="1">CONCATENATE(Variabler!$B$9," 1")</f>
        <v>År 1</v>
      </c>
      <c r="I25" t="str">
        <f ca="1">CONCATENATE(Variabler!$B$9," 2")</f>
        <v>År 2</v>
      </c>
      <c r="J25" t="str">
        <f ca="1">CONCATENATE(Variabler!$B$9," 3")</f>
        <v>År 3</v>
      </c>
      <c r="K25" t="str">
        <f ca="1">CONCATENATE(Variabler!$B$9," 4")</f>
        <v>År 4</v>
      </c>
      <c r="L25" t="str">
        <f ca="1">CONCATENATE(Variabler!$B$9," 5")</f>
        <v>År 5</v>
      </c>
      <c r="M25" t="str">
        <f ca="1">CONCATENATE(Variabler!$B$9," 6")</f>
        <v>År 6</v>
      </c>
      <c r="N25" t="str">
        <f ca="1">CONCATENATE(Variabler!$B$9," 7")</f>
        <v>År 7</v>
      </c>
      <c r="O25" t="str">
        <f ca="1">CONCATENATE(Variabler!$B$9," 8")</f>
        <v>År 8</v>
      </c>
      <c r="P25" t="str">
        <f ca="1">CONCATENATE(Variabler!$B$9," 9")</f>
        <v>År 9</v>
      </c>
      <c r="Q25" t="str">
        <f ca="1">CONCATENATE(Variabler!$B$9," 10")</f>
        <v>År 10</v>
      </c>
    </row>
    <row r="26" spans="2:27">
      <c r="G26" t="s">
        <v>365</v>
      </c>
      <c r="H26" s="341" t="s">
        <v>1321</v>
      </c>
      <c r="I26" s="341" t="s">
        <v>368</v>
      </c>
      <c r="J26" s="341" t="s">
        <v>369</v>
      </c>
      <c r="K26" s="341" t="s">
        <v>370</v>
      </c>
      <c r="L26" s="341" t="s">
        <v>371</v>
      </c>
      <c r="M26" s="341" t="s">
        <v>372</v>
      </c>
      <c r="N26" s="341" t="s">
        <v>373</v>
      </c>
      <c r="O26" s="341" t="s">
        <v>374</v>
      </c>
      <c r="P26" s="341" t="s">
        <v>375</v>
      </c>
      <c r="Q26" s="341" t="s">
        <v>376</v>
      </c>
    </row>
    <row r="27" spans="2:27">
      <c r="G27" t="str" cm="1">
        <f t="array" aca="1" ref="G27" ca="1">IFERROR(
  INDEX(
    tblStrings[],
    MATCH(
      1,
      (tblStrings[Cell]=SUBSTITUTE(CELL("adress",INDIRECT("RC",FALSE)),"$","")) *
      (tblStrings[Sheet]=AllStrings!$C$550),
      0
    ),
    MATCH(Språkval, tblStrings[#Headers], 0)
  ),
)</f>
        <v>Investeringskostnad</v>
      </c>
      <c r="H27" s="348" t="e">
        <f>Tabell1[[#Totals],[Installationskostnader]]</f>
        <v>#VALUE!</v>
      </c>
      <c r="I27" s="348" t="e">
        <f>H27</f>
        <v>#VALUE!</v>
      </c>
      <c r="J27" s="348" t="e">
        <f t="shared" ref="J27:Q27" si="18">I27</f>
        <v>#VALUE!</v>
      </c>
      <c r="K27" s="348" t="e">
        <f t="shared" si="18"/>
        <v>#VALUE!</v>
      </c>
      <c r="L27" s="348" t="e">
        <f t="shared" si="18"/>
        <v>#VALUE!</v>
      </c>
      <c r="M27" s="348" t="e">
        <f t="shared" si="18"/>
        <v>#VALUE!</v>
      </c>
      <c r="N27" s="348" t="e">
        <f t="shared" si="18"/>
        <v>#VALUE!</v>
      </c>
      <c r="O27" s="348" t="e">
        <f t="shared" si="18"/>
        <v>#VALUE!</v>
      </c>
      <c r="P27" s="348" t="e">
        <f t="shared" si="18"/>
        <v>#VALUE!</v>
      </c>
      <c r="Q27" s="348" t="e">
        <f t="shared" si="18"/>
        <v>#VALUE!</v>
      </c>
    </row>
    <row r="28" spans="2:27">
      <c r="G28" t="str" cm="1">
        <f t="array" aca="1" ref="G28" ca="1">IFERROR(
  INDEX(
    tblStrings[],
    MATCH(
      1,
      (tblStrings[Cell]=SUBSTITUTE(CELL("adress",INDIRECT("RC",FALSE)),"$","")) *
      (tblStrings[Sheet]=AllStrings!$C$550),
      0
    ),
    MATCH(Språkval, tblStrings[#Headers], 0)
  ),
)</f>
        <v>Energibesparing</v>
      </c>
      <c r="H28" s="351">
        <f ca="1">H31</f>
        <v>0</v>
      </c>
      <c r="I28" s="348">
        <f ca="1">($H$28*2)*(1+H30)</f>
        <v>0</v>
      </c>
      <c r="J28" s="348">
        <f ca="1">$H$28+I28</f>
        <v>0</v>
      </c>
      <c r="K28" s="348">
        <f t="shared" ref="K28:Q28" ca="1" si="19">$H$28+J28</f>
        <v>0</v>
      </c>
      <c r="L28" s="348">
        <f t="shared" ca="1" si="19"/>
        <v>0</v>
      </c>
      <c r="M28" s="348">
        <f t="shared" ca="1" si="19"/>
        <v>0</v>
      </c>
      <c r="N28" s="348">
        <f t="shared" ca="1" si="19"/>
        <v>0</v>
      </c>
      <c r="O28" s="348">
        <f t="shared" ca="1" si="19"/>
        <v>0</v>
      </c>
      <c r="P28" s="348">
        <f t="shared" ca="1" si="19"/>
        <v>0</v>
      </c>
      <c r="Q28" s="348">
        <f t="shared" ca="1" si="19"/>
        <v>0</v>
      </c>
    </row>
    <row r="30" spans="2:27">
      <c r="B30" t="s">
        <v>379</v>
      </c>
      <c r="C30" s="341" t="str" cm="1">
        <f t="array" aca="1" ref="C30" ca="1">IFERROR(
  INDEX(
    tblStrings[],
    MATCH(
      1,
      (tblStrings[Cell]=SUBSTITUTE(CELL("adress",INDIRECT("RC",FALSE)),"$","")) *
      (tblStrings[Sheet]=AllStrings!$C$550),
      0
    ),
    MATCH(Språkval, tblStrings[#Headers], 0)
  ),
)</f>
        <v>Energiåtgång (kWh)</v>
      </c>
      <c r="D30" s="341" t="str" cm="1">
        <f t="array" aca="1" ref="D30" ca="1">IFERROR(
  INDEX(
    tblStrings[],
    MATCH(
      1,
      (tblStrings[Cell]=SUBSTITUTE(CELL("adress",INDIRECT("RC",FALSE)),"$","")) *
      (tblStrings[Sheet]=AllStrings!$C$550),
      0
    ),
    MATCH(Språkval, tblStrings[#Headers], 0)
  ),
)</f>
        <v>Klimatpåverkan (kg CO₂)</v>
      </c>
      <c r="E30" s="341" t="str" cm="1">
        <f t="array" aca="1" ref="E30" ca="1">IFERROR(
  INDEX(
    tblStrings[],
    MATCH(
      1,
      (tblStrings[Cell]=SUBSTITUTE(CELL("adress",INDIRECT("RC",FALSE)),"$","")) *
      (tblStrings[Sheet]=AllStrings!$C$550),
      0
    ),
    MATCH(Språkval, tblStrings[#Headers], 0)
  ),
)</f>
        <v>Energikostnad (SEK)</v>
      </c>
      <c r="H30" s="352">
        <v>0.02</v>
      </c>
    </row>
    <row r="31" spans="2:27">
      <c r="B31" t="str" cm="1">
        <f t="array" ref="B31">_xlfn.UNIQUE(Tabell2[Kolumn1])</f>
        <v/>
      </c>
      <c r="C31" s="522">
        <f ca="1">SUMIF(Tabell1[Rum],$B31,Tabell1[[Energiåtgång ]])-SUMIF(Tabell1[Rum],$B31,Tabell1[Energiåtgång 2])</f>
        <v>0</v>
      </c>
      <c r="D31" s="522">
        <f ca="1">SUMIF(Tabell1[Rum],$B31,Tabell1[[Klimatpåverkan ]])-SUMIF(Tabell1[Rum],$B31,Tabell1[Klimatpåverkan])</f>
        <v>0</v>
      </c>
      <c r="E31" s="522">
        <f ca="1">SUMIF(Tabell1[Rum],$B31,Tabell1[Energikostnader])-SUMIF(Tabell1[Rum],$B31,Tabell1[Energikostnader2])</f>
        <v>0</v>
      </c>
      <c r="H31" s="348">
        <f ca="1">SUM(Tabell1[[#Totals],[Energikostnader]]-Tabell1[[#Totals],[Energikostnader2]])</f>
        <v>0</v>
      </c>
    </row>
    <row r="32" spans="2:27">
      <c r="C32" s="522">
        <f ca="1">SUMIF(Tabell1[Rum],$B32,Tabell1[[Energiåtgång ]])-SUMIF(Tabell1[Rum],$B32,Tabell1[Energiåtgång 2])</f>
        <v>0</v>
      </c>
      <c r="D32" s="522">
        <f ca="1">SUMIF(Tabell1[Rum],$B32,Tabell1[[Klimatpåverkan ]])-SUMIF(Tabell1[Rum],$B32,Tabell1[Klimatpåverkan])</f>
        <v>0</v>
      </c>
      <c r="E32" s="522">
        <f ca="1">SUMIF(Tabell1[Rum],$B32,Tabell1[Energikostnader])-SUMIF(Tabell1[Rum],$B32,Tabell1[Energikostnader2])</f>
        <v>0</v>
      </c>
    </row>
    <row r="33" spans="3:8">
      <c r="C33" s="522">
        <f ca="1">SUMIF(Tabell1[Rum],$B33,Tabell1[[Energiåtgång ]])-SUMIF(Tabell1[Rum],$B33,Tabell1[Energiåtgång 2])</f>
        <v>0</v>
      </c>
      <c r="D33" s="522">
        <f ca="1">SUMIF(Tabell1[Rum],$B33,Tabell1[[Klimatpåverkan ]])-SUMIF(Tabell1[Rum],$B33,Tabell1[Klimatpåverkan])</f>
        <v>0</v>
      </c>
      <c r="E33" s="522">
        <f ca="1">SUMIF(Tabell1[Rum],$B33,Tabell1[Energikostnader])-SUMIF(Tabell1[Rum],$B33,Tabell1[Energikostnader2])</f>
        <v>0</v>
      </c>
    </row>
    <row r="34" spans="3:8">
      <c r="C34" s="522">
        <f ca="1">SUMIF(Tabell1[Rum],$B34,Tabell1[[Energiåtgång ]])-SUMIF(Tabell1[Rum],$B34,Tabell1[Energiåtgång 2])</f>
        <v>0</v>
      </c>
      <c r="D34" s="522">
        <f ca="1">SUMIF(Tabell1[Rum],$B34,Tabell1[[Klimatpåverkan ]])-SUMIF(Tabell1[Rum],$B34,Tabell1[Klimatpåverkan])</f>
        <v>0</v>
      </c>
      <c r="E34" s="522">
        <f ca="1">SUMIF(Tabell1[Rum],$B34,Tabell1[Energikostnader])-SUMIF(Tabell1[Rum],$B34,Tabell1[Energikostnader2])</f>
        <v>0</v>
      </c>
      <c r="H34" s="341">
        <f ca="1">YEAR(TODAY())</f>
        <v>2026</v>
      </c>
    </row>
    <row r="35" spans="3:8">
      <c r="C35" s="522">
        <f ca="1">SUMIF(Tabell1[Rum],$B35,Tabell1[[Energiåtgång ]])-SUMIF(Tabell1[Rum],$B35,Tabell1[Energiåtgång 2])</f>
        <v>0</v>
      </c>
      <c r="D35" s="522">
        <f ca="1">SUMIF(Tabell1[Rum],$B35,Tabell1[[Klimatpåverkan ]])-SUMIF(Tabell1[Rum],$B35,Tabell1[Klimatpåverkan])</f>
        <v>0</v>
      </c>
      <c r="E35" s="522">
        <f ca="1">SUMIF(Tabell1[Rum],$B35,Tabell1[Energikostnader])-SUMIF(Tabell1[Rum],$B35,Tabell1[Energikostnader2])</f>
        <v>0</v>
      </c>
    </row>
    <row r="36" spans="3:8" ht="25">
      <c r="D36" s="347" t="s">
        <v>383</v>
      </c>
    </row>
    <row r="37" spans="3:8">
      <c r="D37" t="s">
        <v>357</v>
      </c>
      <c r="E37" s="341" t="s">
        <v>384</v>
      </c>
      <c r="F37" t="s">
        <v>102</v>
      </c>
      <c r="G37" s="341" t="s">
        <v>385</v>
      </c>
    </row>
    <row r="38" spans="3:8">
      <c r="C38" cm="1">
        <f t="array" ref="C38:C47">TRANSPOSE('1. LCC Befintlig Installation'!I22:R22)</f>
        <v>0</v>
      </c>
      <c r="D38" cm="1">
        <f t="array" ref="D38:D47">TRANSPOSE('1. LCC Befintlig Installation'!I175:R175)</f>
        <v>0</v>
      </c>
      <c r="E38" cm="1">
        <f t="array" aca="1" ref="E38:E47" ca="1">TRANSPOSE('1. LCC Befintlig Installation'!I191:R191)</f>
        <v>0</v>
      </c>
      <c r="F38" cm="1">
        <f t="array" aca="1" ref="F38:F47" ca="1">TRANSPOSE('1. LCC Befintlig Installation'!I215:R215)</f>
        <v>0</v>
      </c>
      <c r="G38" s="349" cm="1">
        <f t="array" aca="1" ref="G38:G47" ca="1">TRANSPOSE('1. LCC Befintlig Installation'!I194:R194)</f>
        <v>0</v>
      </c>
    </row>
    <row r="39" spans="3:8">
      <c r="C39">
        <v>0</v>
      </c>
      <c r="D39">
        <v>0</v>
      </c>
      <c r="E39">
        <f ca="1"/>
        <v>0</v>
      </c>
      <c r="F39">
        <f ca="1"/>
        <v>0</v>
      </c>
      <c r="G39" s="349">
        <f ca="1"/>
        <v>0</v>
      </c>
    </row>
    <row r="40" spans="3:8">
      <c r="C40">
        <v>0</v>
      </c>
      <c r="D40">
        <v>0</v>
      </c>
      <c r="E40">
        <f ca="1"/>
        <v>0</v>
      </c>
      <c r="F40">
        <f ca="1"/>
        <v>0</v>
      </c>
      <c r="G40" s="349">
        <f ca="1"/>
        <v>0</v>
      </c>
    </row>
    <row r="41" spans="3:8">
      <c r="C41">
        <v>0</v>
      </c>
      <c r="D41">
        <v>0</v>
      </c>
      <c r="E41">
        <f ca="1"/>
        <v>0</v>
      </c>
      <c r="F41">
        <f ca="1"/>
        <v>0</v>
      </c>
      <c r="G41" s="349">
        <f ca="1"/>
        <v>0</v>
      </c>
    </row>
    <row r="42" spans="3:8">
      <c r="C42">
        <v>0</v>
      </c>
      <c r="D42">
        <v>0</v>
      </c>
      <c r="E42">
        <f ca="1"/>
        <v>0</v>
      </c>
      <c r="F42">
        <f ca="1"/>
        <v>0</v>
      </c>
      <c r="G42" s="349">
        <f ca="1"/>
        <v>0</v>
      </c>
    </row>
    <row r="43" spans="3:8">
      <c r="C43">
        <v>0</v>
      </c>
      <c r="D43">
        <v>0</v>
      </c>
      <c r="E43">
        <f ca="1"/>
        <v>0</v>
      </c>
      <c r="F43">
        <f ca="1"/>
        <v>0</v>
      </c>
      <c r="G43" s="349">
        <f ca="1"/>
        <v>0</v>
      </c>
    </row>
    <row r="44" spans="3:8">
      <c r="C44">
        <v>0</v>
      </c>
      <c r="D44">
        <v>0</v>
      </c>
      <c r="E44">
        <f ca="1"/>
        <v>0</v>
      </c>
      <c r="F44">
        <f ca="1"/>
        <v>0</v>
      </c>
      <c r="G44" s="349">
        <f ca="1"/>
        <v>0</v>
      </c>
    </row>
    <row r="45" spans="3:8">
      <c r="C45">
        <v>0</v>
      </c>
      <c r="D45">
        <v>0</v>
      </c>
      <c r="E45">
        <f ca="1"/>
        <v>0</v>
      </c>
      <c r="F45">
        <f ca="1"/>
        <v>0</v>
      </c>
      <c r="G45" s="349">
        <f ca="1"/>
        <v>0</v>
      </c>
    </row>
    <row r="46" spans="3:8">
      <c r="C46">
        <v>0</v>
      </c>
      <c r="D46">
        <v>0</v>
      </c>
      <c r="E46">
        <f ca="1"/>
        <v>0</v>
      </c>
      <c r="F46">
        <f ca="1"/>
        <v>0</v>
      </c>
      <c r="G46" s="349">
        <f ca="1"/>
        <v>0</v>
      </c>
    </row>
    <row r="47" spans="3:8">
      <c r="C47">
        <v>0</v>
      </c>
      <c r="D47">
        <v>0</v>
      </c>
      <c r="E47">
        <f ca="1"/>
        <v>0</v>
      </c>
      <c r="F47">
        <f ca="1"/>
        <v>0</v>
      </c>
      <c r="G47" s="349">
        <f ca="1"/>
        <v>0</v>
      </c>
    </row>
    <row r="49" spans="4:7" ht="25">
      <c r="D49" s="347" t="s">
        <v>386</v>
      </c>
    </row>
    <row r="50" spans="4:7">
      <c r="D50" t="s">
        <v>357</v>
      </c>
      <c r="E50" s="341" t="s">
        <v>384</v>
      </c>
      <c r="F50" t="s">
        <v>102</v>
      </c>
      <c r="G50" t="s">
        <v>385</v>
      </c>
    </row>
    <row r="51" spans="4:7">
      <c r="D51" t="e" cm="1">
        <f t="array" ref="D51:D60">TRANSPOSE('2. LCC Ny Installation'!I175:R175)</f>
        <v>#VALUE!</v>
      </c>
      <c r="E51" cm="1">
        <f t="array" ref="E51:E60">TRANSPOSE('2. LCC Ny Installation'!I191:R191)</f>
        <v>0</v>
      </c>
      <c r="F51" cm="1">
        <f t="array" ref="F51:F60">TRANSPOSE('2. LCC Ny Installation'!I215:R215)</f>
        <v>0</v>
      </c>
      <c r="G51" cm="1">
        <f t="array" ref="G51:G60">TRANSPOSE('2. LCC Ny Installation'!I194:R194)</f>
        <v>0</v>
      </c>
    </row>
    <row r="52" spans="4:7">
      <c r="D52" t="e">
        <v>#VALUE!</v>
      </c>
      <c r="E52">
        <v>0</v>
      </c>
      <c r="F52">
        <v>0</v>
      </c>
      <c r="G52">
        <v>0</v>
      </c>
    </row>
    <row r="53" spans="4:7">
      <c r="D53">
        <v>0</v>
      </c>
      <c r="E53">
        <v>0</v>
      </c>
      <c r="F53">
        <v>0</v>
      </c>
      <c r="G53">
        <v>0</v>
      </c>
    </row>
    <row r="54" spans="4:7">
      <c r="D54">
        <v>0</v>
      </c>
      <c r="E54">
        <v>0</v>
      </c>
      <c r="F54">
        <v>0</v>
      </c>
      <c r="G54">
        <v>0</v>
      </c>
    </row>
    <row r="55" spans="4:7">
      <c r="D55">
        <v>0</v>
      </c>
      <c r="E55">
        <v>0</v>
      </c>
      <c r="F55">
        <v>0</v>
      </c>
      <c r="G55">
        <v>0</v>
      </c>
    </row>
    <row r="56" spans="4:7">
      <c r="D56">
        <v>0</v>
      </c>
      <c r="E56">
        <v>0</v>
      </c>
      <c r="F56">
        <v>0</v>
      </c>
      <c r="G56">
        <v>0</v>
      </c>
    </row>
    <row r="57" spans="4:7">
      <c r="D57">
        <v>0</v>
      </c>
      <c r="E57">
        <v>0</v>
      </c>
      <c r="F57">
        <v>0</v>
      </c>
      <c r="G57">
        <v>0</v>
      </c>
    </row>
    <row r="58" spans="4:7">
      <c r="D58">
        <v>0</v>
      </c>
      <c r="E58">
        <v>0</v>
      </c>
      <c r="F58">
        <v>0</v>
      </c>
      <c r="G58">
        <v>0</v>
      </c>
    </row>
    <row r="59" spans="4:7">
      <c r="D59">
        <v>0</v>
      </c>
      <c r="E59">
        <v>0</v>
      </c>
      <c r="F59">
        <v>0</v>
      </c>
      <c r="G59">
        <v>0</v>
      </c>
    </row>
    <row r="60" spans="4:7">
      <c r="D60">
        <v>0</v>
      </c>
      <c r="E60">
        <v>0</v>
      </c>
      <c r="F60">
        <v>0</v>
      </c>
      <c r="G60">
        <v>0</v>
      </c>
    </row>
  </sheetData>
  <sheetProtection algorithmName="SHA-512" hashValue="Pbwd6XrlmXHK4T2p5ADODf/7Lr4E2puYqIK/ceyNQvN2s132OxMJ/zuf4na1i4CGlGwqR4sggxULSggeiGz4Ig==" saltValue="fgBvx8Z9Ofs9QF/fwE9d2A==" spinCount="100000" sheet="1" objects="1" scenarios="1"/>
  <phoneticPr fontId="82" type="noConversion"/>
  <pageMargins left="0.7" right="0.7" top="0.75" bottom="0.75" header="0.3" footer="0.3"/>
  <pageSetup paperSize="9" orientation="portrait" horizontalDpi="0" verticalDpi="0"/>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CFF08-091F-D94D-A415-B4894D076500}">
  <sheetPr codeName="Blad15">
    <tabColor rgb="FF92D050"/>
  </sheetPr>
  <dimension ref="A1"/>
  <sheetViews>
    <sheetView workbookViewId="0">
      <selection activeCell="U29" sqref="U29"/>
    </sheetView>
  </sheetViews>
  <sheetFormatPr baseColWidth="10" defaultColWidth="10.83203125" defaultRowHeight="13"/>
  <cols>
    <col min="1" max="16384" width="10.83203125" style="169"/>
  </cols>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CD5B4-1108-47A2-A8CB-41937497C4AA}">
  <sheetPr codeName="Blad7">
    <tabColor rgb="FF6B2879"/>
    <pageSetUpPr fitToPage="1"/>
  </sheetPr>
  <dimension ref="A1:AD83"/>
  <sheetViews>
    <sheetView workbookViewId="0"/>
  </sheetViews>
  <sheetFormatPr baseColWidth="10" defaultColWidth="9.1640625" defaultRowHeight="14"/>
  <cols>
    <col min="1" max="31" width="8.5" style="13" customWidth="1"/>
    <col min="32" max="16384" width="9.1640625" style="13"/>
  </cols>
  <sheetData>
    <row r="1" spans="1:30">
      <c r="A1" s="269" t="s">
        <v>0</v>
      </c>
    </row>
    <row r="2" spans="1:30" ht="38">
      <c r="G2" s="92" t="s">
        <v>1</v>
      </c>
    </row>
    <row r="3" spans="1:30">
      <c r="G3" s="13" t="str">
        <f>'1. Introduktion'!G3</f>
        <v>Version 3.0</v>
      </c>
    </row>
    <row r="4" spans="1:30">
      <c r="G4" s="13" t="str">
        <f>'1. Introduktion'!G4</f>
        <v>Datum: 2024-12-17</v>
      </c>
    </row>
    <row r="6" spans="1:30" s="6" customFormat="1" ht="41.25" customHeight="1">
      <c r="B6" s="631"/>
      <c r="C6" s="631"/>
      <c r="D6" s="631"/>
      <c r="E6" s="631"/>
      <c r="F6" s="631"/>
      <c r="G6" s="631"/>
      <c r="H6" s="631"/>
      <c r="I6" s="631"/>
      <c r="J6" s="631"/>
      <c r="K6" s="631"/>
      <c r="L6" s="631"/>
      <c r="M6" s="631"/>
      <c r="N6" s="631"/>
      <c r="O6" s="631"/>
      <c r="P6" s="631"/>
      <c r="Q6" s="631"/>
      <c r="R6" s="631"/>
      <c r="S6" s="631"/>
      <c r="T6" s="631"/>
      <c r="U6" s="631"/>
      <c r="V6" s="631"/>
      <c r="W6" s="631"/>
    </row>
    <row r="9" spans="1:30" ht="27" thickBot="1">
      <c r="B9" s="17"/>
      <c r="C9" s="17"/>
      <c r="D9" s="36" t="s">
        <v>387</v>
      </c>
      <c r="E9" s="36"/>
      <c r="F9" s="36"/>
      <c r="G9" s="36"/>
      <c r="H9" s="36"/>
      <c r="I9" s="36"/>
      <c r="M9" s="13" t="s">
        <v>388</v>
      </c>
      <c r="S9" s="17"/>
      <c r="T9" s="100" t="s">
        <v>387</v>
      </c>
      <c r="U9" s="100"/>
      <c r="V9" s="100"/>
      <c r="W9" s="100"/>
      <c r="X9" s="100"/>
      <c r="Y9" s="100"/>
      <c r="AC9" s="13" t="s">
        <v>389</v>
      </c>
    </row>
    <row r="10" spans="1:30" ht="15">
      <c r="D10" s="13" t="s">
        <v>390</v>
      </c>
      <c r="J10" s="29"/>
      <c r="K10" s="29"/>
      <c r="L10" s="29"/>
      <c r="T10" s="13" t="s">
        <v>1</v>
      </c>
      <c r="Z10" s="29"/>
      <c r="AA10" s="29"/>
      <c r="AB10" s="29"/>
    </row>
    <row r="11" spans="1:30" ht="15">
      <c r="C11" s="101"/>
      <c r="D11" s="13" t="s">
        <v>391</v>
      </c>
      <c r="S11" s="101"/>
      <c r="T11" s="13" t="s">
        <v>391</v>
      </c>
    </row>
    <row r="12" spans="1:30" ht="21">
      <c r="C12" s="101"/>
      <c r="D12" s="102" t="s">
        <v>177</v>
      </c>
      <c r="I12" s="13" t="s">
        <v>392</v>
      </c>
      <c r="K12" s="741"/>
      <c r="L12" s="741"/>
      <c r="M12" s="741"/>
      <c r="N12" s="741"/>
      <c r="S12" s="101"/>
    </row>
    <row r="13" spans="1:30" ht="21">
      <c r="C13" s="101"/>
      <c r="D13" s="16" t="s">
        <v>53</v>
      </c>
      <c r="E13" s="16"/>
      <c r="F13" s="16"/>
      <c r="G13" s="16"/>
      <c r="H13" s="16"/>
      <c r="I13" s="16" t="s">
        <v>54</v>
      </c>
      <c r="J13" s="29"/>
      <c r="K13" s="742"/>
      <c r="L13" s="742"/>
      <c r="M13" s="742"/>
      <c r="N13" s="742"/>
      <c r="S13" s="101"/>
      <c r="T13" s="102" t="s">
        <v>393</v>
      </c>
      <c r="Y13" s="13" t="s">
        <v>392</v>
      </c>
      <c r="AA13" s="741"/>
      <c r="AB13" s="741"/>
      <c r="AC13" s="741"/>
      <c r="AD13" s="741"/>
    </row>
    <row r="14" spans="1:30" ht="15">
      <c r="C14" s="101"/>
      <c r="D14" s="16" t="s">
        <v>55</v>
      </c>
      <c r="E14" s="16"/>
      <c r="F14" s="16"/>
      <c r="G14" s="16"/>
      <c r="H14" s="16"/>
      <c r="I14" s="16" t="s">
        <v>394</v>
      </c>
      <c r="J14" s="29"/>
      <c r="K14" s="742"/>
      <c r="L14" s="742"/>
      <c r="M14" s="742"/>
      <c r="N14" s="742"/>
      <c r="S14" s="101"/>
      <c r="T14" s="16"/>
      <c r="U14" s="16"/>
      <c r="V14" s="16"/>
      <c r="W14" s="16"/>
      <c r="X14" s="16"/>
      <c r="Y14" s="16"/>
      <c r="Z14" s="29"/>
      <c r="AA14" s="16"/>
      <c r="AB14" s="16"/>
      <c r="AC14" s="16"/>
      <c r="AD14" s="16"/>
    </row>
    <row r="15" spans="1:30" ht="15">
      <c r="C15" s="101"/>
      <c r="D15" s="16" t="s">
        <v>85</v>
      </c>
      <c r="E15" s="16"/>
      <c r="F15" s="16"/>
      <c r="G15" s="16"/>
      <c r="H15" s="16"/>
      <c r="I15" s="16" t="s">
        <v>81</v>
      </c>
      <c r="J15" s="29"/>
      <c r="K15" s="742"/>
      <c r="L15" s="742"/>
      <c r="M15" s="742"/>
      <c r="N15" s="742"/>
      <c r="S15" s="101"/>
      <c r="T15" s="16"/>
      <c r="U15" s="16"/>
      <c r="V15" s="16"/>
      <c r="W15" s="16"/>
      <c r="X15" s="16"/>
      <c r="Y15" s="16"/>
      <c r="Z15" s="29"/>
      <c r="AA15" s="104"/>
      <c r="AB15" s="104"/>
      <c r="AC15" s="104"/>
      <c r="AD15" s="104"/>
    </row>
    <row r="16" spans="1:30" ht="15">
      <c r="C16" s="101"/>
      <c r="D16" s="16"/>
      <c r="E16" s="16"/>
      <c r="F16" s="16"/>
      <c r="G16" s="16"/>
      <c r="H16" s="16"/>
      <c r="I16" s="16"/>
      <c r="J16" s="29"/>
      <c r="K16" s="104"/>
      <c r="L16" s="104"/>
      <c r="M16" s="104"/>
      <c r="N16" s="104"/>
      <c r="S16" s="101"/>
      <c r="T16" s="16"/>
      <c r="U16" s="16"/>
      <c r="V16" s="16"/>
      <c r="W16" s="16"/>
      <c r="X16" s="16"/>
      <c r="Y16" s="16"/>
      <c r="Z16" s="29"/>
      <c r="AA16" s="104"/>
      <c r="AB16" s="104"/>
      <c r="AC16" s="104"/>
      <c r="AD16" s="104"/>
    </row>
    <row r="17" spans="3:30" ht="15">
      <c r="C17" s="101"/>
      <c r="D17" s="39" t="s">
        <v>395</v>
      </c>
      <c r="E17" s="16"/>
      <c r="F17" s="16"/>
      <c r="G17" s="16"/>
      <c r="H17" s="16"/>
      <c r="I17" s="16"/>
      <c r="J17" s="30"/>
      <c r="K17" s="52"/>
      <c r="L17" s="52"/>
      <c r="M17" s="53"/>
      <c r="N17" s="53"/>
      <c r="S17" s="101"/>
      <c r="T17" s="39" t="s">
        <v>396</v>
      </c>
      <c r="Y17" s="16"/>
      <c r="AA17" s="105"/>
      <c r="AB17" s="105"/>
      <c r="AC17" s="105"/>
      <c r="AD17" s="105"/>
    </row>
    <row r="18" spans="3:30" ht="15">
      <c r="C18" s="101"/>
      <c r="D18" s="16" t="s">
        <v>219</v>
      </c>
      <c r="E18" s="16"/>
      <c r="F18" s="16"/>
      <c r="G18" s="16"/>
      <c r="H18" s="16"/>
      <c r="I18" s="16" t="s">
        <v>54</v>
      </c>
      <c r="J18" s="54"/>
      <c r="K18" s="743"/>
      <c r="L18" s="743"/>
      <c r="M18" s="743"/>
      <c r="N18" s="743"/>
      <c r="S18" s="101"/>
      <c r="T18" s="16" t="s">
        <v>219</v>
      </c>
      <c r="Y18" s="13" t="s">
        <v>54</v>
      </c>
      <c r="AA18" s="67"/>
      <c r="AB18" s="67"/>
      <c r="AC18" s="67"/>
      <c r="AD18" s="67"/>
    </row>
    <row r="19" spans="3:30" ht="15">
      <c r="C19" s="101"/>
      <c r="D19" s="16" t="s">
        <v>61</v>
      </c>
      <c r="E19" s="16"/>
      <c r="F19" s="16"/>
      <c r="G19" s="16"/>
      <c r="H19" s="16"/>
      <c r="I19" s="16" t="s">
        <v>62</v>
      </c>
      <c r="J19" s="54"/>
      <c r="K19" s="740"/>
      <c r="L19" s="740"/>
      <c r="M19" s="740"/>
      <c r="N19" s="740"/>
      <c r="S19" s="101"/>
      <c r="T19" s="16" t="s">
        <v>61</v>
      </c>
      <c r="U19" s="16"/>
      <c r="V19" s="16"/>
      <c r="W19" s="16"/>
      <c r="X19" s="16"/>
      <c r="Y19" s="16" t="s">
        <v>62</v>
      </c>
      <c r="Z19" s="29"/>
      <c r="AA19" s="103"/>
      <c r="AB19" s="103"/>
      <c r="AC19" s="103"/>
      <c r="AD19" s="103"/>
    </row>
    <row r="20" spans="3:30" ht="15">
      <c r="C20" s="101"/>
      <c r="D20" s="16" t="s">
        <v>64</v>
      </c>
      <c r="E20" s="55"/>
      <c r="F20" s="55"/>
      <c r="G20" s="55"/>
      <c r="H20" s="55"/>
      <c r="I20" s="16" t="s">
        <v>62</v>
      </c>
      <c r="J20" s="54"/>
      <c r="K20" s="740"/>
      <c r="L20" s="740"/>
      <c r="M20" s="740"/>
      <c r="N20" s="740"/>
      <c r="S20" s="101"/>
      <c r="T20" s="16" t="s">
        <v>64</v>
      </c>
      <c r="U20" s="16"/>
      <c r="V20" s="16"/>
      <c r="W20" s="16"/>
      <c r="X20" s="16"/>
      <c r="Y20" s="16" t="s">
        <v>62</v>
      </c>
      <c r="Z20" s="30"/>
      <c r="AA20" s="103"/>
      <c r="AB20" s="103"/>
      <c r="AC20" s="103"/>
      <c r="AD20" s="103"/>
    </row>
    <row r="21" spans="3:30" ht="15">
      <c r="C21" s="106"/>
      <c r="D21" s="55" t="s">
        <v>66</v>
      </c>
      <c r="E21" s="56"/>
      <c r="F21" s="56"/>
      <c r="G21" s="56"/>
      <c r="H21" s="56"/>
      <c r="I21" s="16" t="s">
        <v>67</v>
      </c>
      <c r="J21" s="54"/>
      <c r="K21" s="740"/>
      <c r="L21" s="740"/>
      <c r="M21" s="740"/>
      <c r="N21" s="740"/>
      <c r="S21" s="106"/>
      <c r="T21" s="55" t="s">
        <v>66</v>
      </c>
      <c r="U21" s="16"/>
      <c r="V21" s="16"/>
      <c r="W21" s="16"/>
      <c r="X21" s="16"/>
      <c r="Y21" s="16" t="s">
        <v>67</v>
      </c>
      <c r="Z21" s="54"/>
      <c r="AA21" s="68"/>
      <c r="AB21" s="68"/>
      <c r="AC21" s="68"/>
      <c r="AD21" s="68"/>
    </row>
    <row r="22" spans="3:30" ht="15">
      <c r="D22" s="56" t="s">
        <v>69</v>
      </c>
      <c r="E22" s="57"/>
      <c r="F22" s="57"/>
      <c r="G22" s="57"/>
      <c r="H22" s="57"/>
      <c r="I22" s="16"/>
      <c r="J22" s="54"/>
      <c r="K22" s="740"/>
      <c r="L22" s="740"/>
      <c r="M22" s="740"/>
      <c r="N22" s="740"/>
      <c r="T22" s="56" t="s">
        <v>69</v>
      </c>
      <c r="U22" s="16"/>
      <c r="V22" s="16"/>
      <c r="W22" s="16"/>
      <c r="X22" s="16"/>
      <c r="Y22" s="16"/>
      <c r="Z22" s="54"/>
      <c r="AA22" s="69"/>
      <c r="AB22" s="69"/>
      <c r="AC22" s="69"/>
      <c r="AD22" s="69"/>
    </row>
    <row r="23" spans="3:30" ht="15">
      <c r="D23" s="57" t="s">
        <v>397</v>
      </c>
      <c r="E23" s="57"/>
      <c r="F23" s="57"/>
      <c r="G23" s="57"/>
      <c r="H23" s="57"/>
      <c r="I23" s="16"/>
      <c r="J23" s="54"/>
      <c r="K23" s="744"/>
      <c r="L23" s="744"/>
      <c r="M23" s="744"/>
      <c r="N23" s="744"/>
      <c r="T23" s="57" t="s">
        <v>397</v>
      </c>
      <c r="U23" s="55"/>
      <c r="V23" s="55"/>
      <c r="W23" s="55"/>
      <c r="X23" s="55"/>
      <c r="Y23" s="16"/>
      <c r="Z23" s="54"/>
      <c r="AA23" s="69"/>
      <c r="AB23" s="69"/>
      <c r="AC23" s="69"/>
      <c r="AD23" s="69"/>
    </row>
    <row r="24" spans="3:30" ht="15">
      <c r="D24" s="57" t="s">
        <v>398</v>
      </c>
      <c r="E24" s="58"/>
      <c r="F24" s="58"/>
      <c r="G24" s="58"/>
      <c r="H24" s="58"/>
      <c r="I24" s="107"/>
      <c r="J24" s="59"/>
      <c r="K24" s="745"/>
      <c r="L24" s="745"/>
      <c r="M24" s="745"/>
      <c r="N24" s="745"/>
      <c r="T24" s="57" t="s">
        <v>398</v>
      </c>
      <c r="U24" s="56"/>
      <c r="V24" s="56"/>
      <c r="W24" s="56"/>
      <c r="X24" s="56"/>
      <c r="Y24" s="16"/>
      <c r="Z24" s="54"/>
      <c r="AA24" s="69"/>
      <c r="AB24" s="69"/>
      <c r="AC24" s="69"/>
      <c r="AD24" s="69"/>
    </row>
    <row r="25" spans="3:30" ht="15">
      <c r="D25" s="58" t="s">
        <v>76</v>
      </c>
      <c r="K25" s="745"/>
      <c r="L25" s="745"/>
      <c r="M25" s="745"/>
      <c r="N25" s="745"/>
      <c r="T25" s="58" t="s">
        <v>76</v>
      </c>
      <c r="U25" s="57"/>
      <c r="V25" s="57"/>
      <c r="W25" s="57"/>
      <c r="X25" s="57"/>
      <c r="Y25" s="16"/>
      <c r="Z25" s="54"/>
      <c r="AA25" s="69"/>
      <c r="AB25" s="69"/>
      <c r="AC25" s="69"/>
      <c r="AD25" s="69"/>
    </row>
    <row r="26" spans="3:30" ht="15">
      <c r="D26" s="16" t="s">
        <v>80</v>
      </c>
      <c r="I26" s="16" t="s">
        <v>81</v>
      </c>
      <c r="K26" s="745"/>
      <c r="L26" s="745"/>
      <c r="M26" s="745"/>
      <c r="N26" s="745"/>
      <c r="T26" s="16" t="s">
        <v>80</v>
      </c>
      <c r="U26" s="57"/>
      <c r="V26" s="57"/>
      <c r="W26" s="57"/>
      <c r="X26" s="57"/>
      <c r="Y26" s="16" t="s">
        <v>81</v>
      </c>
      <c r="Z26" s="54"/>
      <c r="AA26" s="740"/>
      <c r="AB26" s="740"/>
      <c r="AC26" s="740"/>
      <c r="AD26" s="740"/>
    </row>
    <row r="27" spans="3:30" ht="15">
      <c r="D27" s="16"/>
      <c r="I27" s="16"/>
      <c r="K27" s="105"/>
      <c r="L27" s="105"/>
      <c r="M27" s="105"/>
      <c r="N27" s="105"/>
      <c r="T27" s="16"/>
      <c r="U27" s="57"/>
      <c r="V27" s="57"/>
      <c r="W27" s="57"/>
      <c r="X27" s="57"/>
      <c r="Y27" s="16"/>
      <c r="Z27" s="54"/>
    </row>
    <row r="28" spans="3:30" ht="15">
      <c r="D28" s="39" t="s">
        <v>399</v>
      </c>
      <c r="I28" s="16"/>
      <c r="K28" s="105"/>
      <c r="L28" s="105"/>
      <c r="M28" s="105"/>
      <c r="N28" s="105"/>
      <c r="T28" s="39" t="s">
        <v>400</v>
      </c>
      <c r="Y28" s="16"/>
      <c r="AA28" s="105"/>
      <c r="AB28" s="105"/>
      <c r="AC28" s="105"/>
      <c r="AD28" s="105"/>
    </row>
    <row r="29" spans="3:30" ht="15">
      <c r="D29" s="16" t="s">
        <v>219</v>
      </c>
      <c r="I29" s="13" t="s">
        <v>54</v>
      </c>
      <c r="K29" s="741"/>
      <c r="L29" s="741"/>
      <c r="M29" s="741"/>
      <c r="N29" s="741"/>
      <c r="T29" s="16" t="s">
        <v>219</v>
      </c>
      <c r="Y29" s="13" t="s">
        <v>54</v>
      </c>
      <c r="AA29" s="67"/>
      <c r="AB29" s="67"/>
      <c r="AC29" s="67"/>
      <c r="AD29" s="67"/>
    </row>
    <row r="30" spans="3:30" ht="15">
      <c r="D30" s="16" t="s">
        <v>61</v>
      </c>
      <c r="E30" s="16"/>
      <c r="F30" s="16"/>
      <c r="G30" s="16"/>
      <c r="H30" s="16"/>
      <c r="I30" s="16" t="s">
        <v>62</v>
      </c>
      <c r="J30" s="29"/>
      <c r="K30" s="742"/>
      <c r="L30" s="742"/>
      <c r="M30" s="742"/>
      <c r="N30" s="742"/>
      <c r="T30" s="16" t="s">
        <v>61</v>
      </c>
      <c r="U30" s="16"/>
      <c r="V30" s="16"/>
      <c r="W30" s="16"/>
      <c r="X30" s="16"/>
      <c r="Y30" s="16" t="s">
        <v>62</v>
      </c>
      <c r="Z30" s="29"/>
      <c r="AA30" s="103"/>
      <c r="AB30" s="103"/>
      <c r="AC30" s="103"/>
      <c r="AD30" s="103"/>
    </row>
    <row r="31" spans="3:30" ht="15">
      <c r="D31" s="16" t="s">
        <v>64</v>
      </c>
      <c r="E31" s="16"/>
      <c r="F31" s="16"/>
      <c r="G31" s="16"/>
      <c r="H31" s="16"/>
      <c r="I31" s="16" t="s">
        <v>62</v>
      </c>
      <c r="J31" s="30"/>
      <c r="K31" s="742"/>
      <c r="L31" s="742"/>
      <c r="M31" s="742"/>
      <c r="N31" s="742"/>
      <c r="T31" s="16" t="s">
        <v>64</v>
      </c>
      <c r="U31" s="16"/>
      <c r="V31" s="16"/>
      <c r="W31" s="16"/>
      <c r="X31" s="16"/>
      <c r="Y31" s="16" t="s">
        <v>62</v>
      </c>
      <c r="Z31" s="30"/>
      <c r="AA31" s="103"/>
      <c r="AB31" s="103"/>
      <c r="AC31" s="103"/>
      <c r="AD31" s="103"/>
    </row>
    <row r="32" spans="3:30" ht="15">
      <c r="D32" s="55" t="s">
        <v>66</v>
      </c>
      <c r="E32" s="16"/>
      <c r="F32" s="16"/>
      <c r="G32" s="16"/>
      <c r="H32" s="16"/>
      <c r="I32" s="16" t="s">
        <v>67</v>
      </c>
      <c r="J32" s="54"/>
      <c r="K32" s="743"/>
      <c r="L32" s="743"/>
      <c r="M32" s="743"/>
      <c r="N32" s="743"/>
      <c r="T32" s="55" t="s">
        <v>66</v>
      </c>
      <c r="U32" s="16"/>
      <c r="V32" s="16"/>
      <c r="W32" s="16"/>
      <c r="X32" s="16"/>
      <c r="Y32" s="16" t="s">
        <v>67</v>
      </c>
      <c r="Z32" s="54"/>
      <c r="AA32" s="68"/>
      <c r="AB32" s="68"/>
      <c r="AC32" s="68"/>
      <c r="AD32" s="68"/>
    </row>
    <row r="33" spans="4:30" ht="15">
      <c r="D33" s="56" t="s">
        <v>69</v>
      </c>
      <c r="E33" s="16"/>
      <c r="F33" s="16"/>
      <c r="G33" s="16"/>
      <c r="H33" s="16"/>
      <c r="I33" s="16"/>
      <c r="J33" s="54"/>
      <c r="K33" s="740"/>
      <c r="L33" s="740"/>
      <c r="M33" s="740"/>
      <c r="N33" s="740"/>
      <c r="T33" s="56" t="s">
        <v>69</v>
      </c>
      <c r="U33" s="16"/>
      <c r="V33" s="16"/>
      <c r="W33" s="16"/>
      <c r="X33" s="16"/>
      <c r="Y33" s="16"/>
      <c r="Z33" s="54"/>
      <c r="AA33" s="69"/>
      <c r="AB33" s="69"/>
      <c r="AC33" s="69"/>
      <c r="AD33" s="69"/>
    </row>
    <row r="34" spans="4:30" ht="15">
      <c r="D34" s="57" t="s">
        <v>397</v>
      </c>
      <c r="E34" s="55"/>
      <c r="F34" s="55"/>
      <c r="G34" s="55"/>
      <c r="H34" s="55"/>
      <c r="I34" s="16"/>
      <c r="J34" s="54"/>
      <c r="K34" s="740"/>
      <c r="L34" s="740"/>
      <c r="M34" s="740"/>
      <c r="N34" s="740"/>
      <c r="T34" s="57" t="s">
        <v>397</v>
      </c>
      <c r="U34" s="55"/>
      <c r="V34" s="55"/>
      <c r="W34" s="55"/>
      <c r="X34" s="55"/>
      <c r="Y34" s="16"/>
      <c r="Z34" s="54"/>
      <c r="AA34" s="69"/>
      <c r="AB34" s="69"/>
      <c r="AC34" s="69"/>
      <c r="AD34" s="69"/>
    </row>
    <row r="35" spans="4:30" ht="15">
      <c r="D35" s="57" t="s">
        <v>398</v>
      </c>
      <c r="E35" s="56"/>
      <c r="F35" s="56"/>
      <c r="G35" s="56"/>
      <c r="H35" s="56"/>
      <c r="I35" s="16"/>
      <c r="J35" s="54"/>
      <c r="K35" s="740"/>
      <c r="L35" s="740"/>
      <c r="M35" s="740"/>
      <c r="N35" s="740"/>
      <c r="T35" s="57" t="s">
        <v>398</v>
      </c>
      <c r="U35" s="56"/>
      <c r="V35" s="56"/>
      <c r="W35" s="56"/>
      <c r="X35" s="56"/>
      <c r="Y35" s="16"/>
      <c r="Z35" s="54"/>
      <c r="AA35" s="69"/>
      <c r="AB35" s="69"/>
      <c r="AC35" s="69"/>
      <c r="AD35" s="69"/>
    </row>
    <row r="36" spans="4:30" ht="15">
      <c r="D36" s="58" t="s">
        <v>76</v>
      </c>
      <c r="E36" s="57"/>
      <c r="F36" s="57"/>
      <c r="G36" s="57"/>
      <c r="H36" s="57"/>
      <c r="I36" s="16"/>
      <c r="J36" s="54"/>
      <c r="K36" s="740"/>
      <c r="L36" s="740"/>
      <c r="M36" s="740"/>
      <c r="N36" s="740"/>
      <c r="T36" s="58" t="s">
        <v>76</v>
      </c>
      <c r="U36" s="57"/>
      <c r="V36" s="57"/>
      <c r="W36" s="57"/>
      <c r="X36" s="57"/>
      <c r="Y36" s="16"/>
      <c r="Z36" s="54"/>
      <c r="AA36" s="69"/>
      <c r="AB36" s="69"/>
      <c r="AC36" s="69"/>
      <c r="AD36" s="69"/>
    </row>
    <row r="37" spans="4:30" ht="15">
      <c r="D37" s="16" t="s">
        <v>80</v>
      </c>
      <c r="E37" s="57"/>
      <c r="F37" s="57"/>
      <c r="G37" s="57"/>
      <c r="H37" s="57"/>
      <c r="I37" s="16" t="s">
        <v>81</v>
      </c>
      <c r="J37" s="54"/>
      <c r="K37" s="740"/>
      <c r="L37" s="740"/>
      <c r="M37" s="740"/>
      <c r="N37" s="740"/>
      <c r="T37" s="16" t="s">
        <v>80</v>
      </c>
      <c r="U37" s="57"/>
      <c r="V37" s="57"/>
      <c r="W37" s="57"/>
      <c r="X37" s="57"/>
      <c r="Y37" s="16" t="s">
        <v>81</v>
      </c>
      <c r="Z37" s="54"/>
      <c r="AA37" s="740"/>
      <c r="AB37" s="740"/>
      <c r="AC37" s="740"/>
      <c r="AD37" s="740"/>
    </row>
    <row r="38" spans="4:30" ht="15">
      <c r="D38" s="57"/>
      <c r="E38" s="58"/>
      <c r="F38" s="58"/>
      <c r="G38" s="58"/>
      <c r="H38" s="58"/>
      <c r="I38" s="107"/>
      <c r="J38" s="59"/>
      <c r="K38" s="105"/>
      <c r="L38" s="105"/>
      <c r="M38" s="105"/>
      <c r="N38" s="105"/>
    </row>
    <row r="39" spans="4:30" ht="15">
      <c r="D39" s="39" t="s">
        <v>401</v>
      </c>
      <c r="I39" s="16"/>
      <c r="K39" s="105"/>
      <c r="L39" s="105"/>
      <c r="M39" s="105"/>
      <c r="N39" s="105"/>
      <c r="T39" s="39" t="s">
        <v>402</v>
      </c>
      <c r="Y39" s="16"/>
      <c r="AA39" s="105"/>
      <c r="AB39" s="105"/>
      <c r="AC39" s="105"/>
      <c r="AD39" s="105"/>
    </row>
    <row r="40" spans="4:30" ht="15">
      <c r="D40" s="16" t="s">
        <v>219</v>
      </c>
      <c r="I40" s="13" t="s">
        <v>54</v>
      </c>
      <c r="K40" s="741"/>
      <c r="L40" s="741"/>
      <c r="M40" s="741"/>
      <c r="N40" s="741"/>
      <c r="T40" s="16" t="s">
        <v>219</v>
      </c>
      <c r="Y40" s="13" t="s">
        <v>54</v>
      </c>
      <c r="AA40" s="67"/>
      <c r="AB40" s="67"/>
      <c r="AC40" s="67"/>
      <c r="AD40" s="67"/>
    </row>
    <row r="41" spans="4:30" ht="15">
      <c r="D41" s="16" t="s">
        <v>61</v>
      </c>
      <c r="E41" s="16"/>
      <c r="F41" s="16"/>
      <c r="G41" s="16"/>
      <c r="H41" s="16"/>
      <c r="I41" s="16" t="s">
        <v>62</v>
      </c>
      <c r="J41" s="29"/>
      <c r="K41" s="742"/>
      <c r="L41" s="742"/>
      <c r="M41" s="742"/>
      <c r="N41" s="742"/>
      <c r="T41" s="16" t="s">
        <v>61</v>
      </c>
      <c r="U41" s="16"/>
      <c r="V41" s="16"/>
      <c r="W41" s="16"/>
      <c r="X41" s="16"/>
      <c r="Y41" s="16" t="s">
        <v>62</v>
      </c>
      <c r="Z41" s="29"/>
      <c r="AA41" s="103"/>
      <c r="AB41" s="103"/>
      <c r="AC41" s="103"/>
      <c r="AD41" s="103"/>
    </row>
    <row r="42" spans="4:30" ht="15">
      <c r="D42" s="16" t="s">
        <v>64</v>
      </c>
      <c r="E42" s="16"/>
      <c r="F42" s="16"/>
      <c r="G42" s="16"/>
      <c r="H42" s="16"/>
      <c r="I42" s="16" t="s">
        <v>62</v>
      </c>
      <c r="J42" s="30"/>
      <c r="K42" s="742"/>
      <c r="L42" s="742"/>
      <c r="M42" s="742"/>
      <c r="N42" s="742"/>
      <c r="T42" s="16" t="s">
        <v>64</v>
      </c>
      <c r="U42" s="16"/>
      <c r="V42" s="16"/>
      <c r="W42" s="16"/>
      <c r="X42" s="16"/>
      <c r="Y42" s="16" t="s">
        <v>62</v>
      </c>
      <c r="Z42" s="30"/>
      <c r="AA42" s="103"/>
      <c r="AB42" s="103"/>
      <c r="AC42" s="103"/>
      <c r="AD42" s="103"/>
    </row>
    <row r="43" spans="4:30" ht="15">
      <c r="D43" s="55" t="s">
        <v>66</v>
      </c>
      <c r="E43" s="16"/>
      <c r="F43" s="16"/>
      <c r="G43" s="16"/>
      <c r="H43" s="16"/>
      <c r="I43" s="16" t="s">
        <v>67</v>
      </c>
      <c r="J43" s="54"/>
      <c r="K43" s="743"/>
      <c r="L43" s="743"/>
      <c r="M43" s="743"/>
      <c r="N43" s="743"/>
      <c r="T43" s="55" t="s">
        <v>66</v>
      </c>
      <c r="U43" s="16"/>
      <c r="V43" s="16"/>
      <c r="W43" s="16"/>
      <c r="X43" s="16"/>
      <c r="Y43" s="16" t="s">
        <v>67</v>
      </c>
      <c r="Z43" s="54"/>
      <c r="AA43" s="68"/>
      <c r="AB43" s="68"/>
      <c r="AC43" s="68"/>
      <c r="AD43" s="68"/>
    </row>
    <row r="44" spans="4:30" ht="15">
      <c r="D44" s="56" t="s">
        <v>69</v>
      </c>
      <c r="E44" s="16"/>
      <c r="F44" s="16"/>
      <c r="G44" s="16"/>
      <c r="H44" s="16"/>
      <c r="I44" s="16"/>
      <c r="J44" s="54"/>
      <c r="K44" s="740"/>
      <c r="L44" s="740"/>
      <c r="M44" s="740"/>
      <c r="N44" s="740"/>
      <c r="T44" s="56" t="s">
        <v>69</v>
      </c>
      <c r="U44" s="16"/>
      <c r="V44" s="16"/>
      <c r="W44" s="16"/>
      <c r="X44" s="16"/>
      <c r="Y44" s="16"/>
      <c r="Z44" s="54"/>
      <c r="AA44" s="69"/>
      <c r="AB44" s="69"/>
      <c r="AC44" s="69"/>
      <c r="AD44" s="69"/>
    </row>
    <row r="45" spans="4:30" ht="15">
      <c r="D45" s="57" t="s">
        <v>397</v>
      </c>
      <c r="E45" s="55"/>
      <c r="F45" s="55"/>
      <c r="G45" s="55"/>
      <c r="H45" s="55"/>
      <c r="I45" s="16"/>
      <c r="J45" s="54"/>
      <c r="K45" s="740"/>
      <c r="L45" s="740"/>
      <c r="M45" s="740"/>
      <c r="N45" s="740"/>
      <c r="T45" s="57" t="s">
        <v>397</v>
      </c>
      <c r="U45" s="55"/>
      <c r="V45" s="55"/>
      <c r="W45" s="55"/>
      <c r="X45" s="55"/>
      <c r="Y45" s="16"/>
      <c r="Z45" s="54"/>
      <c r="AA45" s="69"/>
      <c r="AB45" s="69"/>
      <c r="AC45" s="69"/>
      <c r="AD45" s="69"/>
    </row>
    <row r="46" spans="4:30" ht="15">
      <c r="D46" s="57" t="s">
        <v>398</v>
      </c>
      <c r="E46" s="56"/>
      <c r="F46" s="56"/>
      <c r="G46" s="56"/>
      <c r="H46" s="56"/>
      <c r="I46" s="16"/>
      <c r="J46" s="54"/>
      <c r="K46" s="740"/>
      <c r="L46" s="740"/>
      <c r="M46" s="740"/>
      <c r="N46" s="740"/>
      <c r="T46" s="57" t="s">
        <v>398</v>
      </c>
      <c r="U46" s="56"/>
      <c r="V46" s="56"/>
      <c r="W46" s="56"/>
      <c r="X46" s="56"/>
      <c r="Y46" s="16"/>
      <c r="Z46" s="54"/>
      <c r="AA46" s="69"/>
      <c r="AB46" s="69"/>
      <c r="AC46" s="69"/>
      <c r="AD46" s="69"/>
    </row>
    <row r="47" spans="4:30" ht="15">
      <c r="D47" s="58" t="s">
        <v>76</v>
      </c>
      <c r="E47" s="57"/>
      <c r="F47" s="57"/>
      <c r="G47" s="57"/>
      <c r="H47" s="57"/>
      <c r="I47" s="16"/>
      <c r="J47" s="54"/>
      <c r="K47" s="740"/>
      <c r="L47" s="740"/>
      <c r="M47" s="740"/>
      <c r="N47" s="740"/>
      <c r="T47" s="58" t="s">
        <v>76</v>
      </c>
      <c r="U47" s="57"/>
      <c r="V47" s="57"/>
      <c r="W47" s="57"/>
      <c r="X47" s="57"/>
      <c r="Y47" s="16"/>
      <c r="Z47" s="54"/>
      <c r="AA47" s="69"/>
      <c r="AB47" s="69"/>
      <c r="AC47" s="69"/>
      <c r="AD47" s="69"/>
    </row>
    <row r="48" spans="4:30" ht="15">
      <c r="D48" s="16" t="s">
        <v>80</v>
      </c>
      <c r="E48" s="57"/>
      <c r="F48" s="57"/>
      <c r="G48" s="57"/>
      <c r="H48" s="57"/>
      <c r="I48" s="16" t="s">
        <v>81</v>
      </c>
      <c r="J48" s="54"/>
      <c r="K48" s="740"/>
      <c r="L48" s="740"/>
      <c r="M48" s="740"/>
      <c r="N48" s="740"/>
      <c r="T48" s="16" t="s">
        <v>80</v>
      </c>
      <c r="U48" s="57"/>
      <c r="V48" s="57"/>
      <c r="W48" s="57"/>
      <c r="X48" s="57"/>
      <c r="Y48" s="16" t="s">
        <v>81</v>
      </c>
      <c r="Z48" s="54"/>
      <c r="AA48" s="740"/>
      <c r="AB48" s="740"/>
      <c r="AC48" s="740"/>
      <c r="AD48" s="740"/>
    </row>
    <row r="49" spans="4:30" ht="15">
      <c r="D49" s="56"/>
      <c r="E49" s="57"/>
      <c r="F49" s="57"/>
      <c r="G49" s="57"/>
      <c r="H49" s="57"/>
      <c r="I49" s="16"/>
      <c r="J49" s="54"/>
      <c r="K49" s="16"/>
      <c r="L49" s="16"/>
      <c r="M49" s="16"/>
      <c r="N49" s="16"/>
    </row>
    <row r="50" spans="4:30" ht="15">
      <c r="D50" s="39" t="s">
        <v>403</v>
      </c>
      <c r="I50" s="16"/>
      <c r="K50" s="105"/>
      <c r="L50" s="105"/>
      <c r="M50" s="105"/>
      <c r="N50" s="105"/>
      <c r="T50" s="39" t="s">
        <v>404</v>
      </c>
      <c r="Y50" s="16"/>
      <c r="AA50" s="105"/>
      <c r="AB50" s="105"/>
      <c r="AC50" s="105"/>
      <c r="AD50" s="105"/>
    </row>
    <row r="51" spans="4:30" ht="15">
      <c r="D51" s="16" t="s">
        <v>219</v>
      </c>
      <c r="I51" s="13" t="s">
        <v>54</v>
      </c>
      <c r="K51" s="741"/>
      <c r="L51" s="741"/>
      <c r="M51" s="741"/>
      <c r="N51" s="741"/>
      <c r="T51" s="16" t="s">
        <v>219</v>
      </c>
      <c r="Y51" s="13" t="s">
        <v>54</v>
      </c>
      <c r="AA51" s="67"/>
      <c r="AB51" s="67"/>
      <c r="AC51" s="67"/>
      <c r="AD51" s="67"/>
    </row>
    <row r="52" spans="4:30" ht="15">
      <c r="D52" s="16" t="s">
        <v>61</v>
      </c>
      <c r="E52" s="16"/>
      <c r="F52" s="16"/>
      <c r="G52" s="16"/>
      <c r="H52" s="16"/>
      <c r="I52" s="16" t="s">
        <v>62</v>
      </c>
      <c r="J52" s="29"/>
      <c r="K52" s="742"/>
      <c r="L52" s="742"/>
      <c r="M52" s="742"/>
      <c r="N52" s="742"/>
      <c r="T52" s="16" t="s">
        <v>61</v>
      </c>
      <c r="U52" s="16"/>
      <c r="V52" s="16"/>
      <c r="W52" s="16"/>
      <c r="X52" s="16"/>
      <c r="Y52" s="16" t="s">
        <v>62</v>
      </c>
      <c r="Z52" s="29"/>
      <c r="AA52" s="103"/>
      <c r="AB52" s="103"/>
      <c r="AC52" s="103"/>
      <c r="AD52" s="103"/>
    </row>
    <row r="53" spans="4:30" ht="15">
      <c r="D53" s="16" t="s">
        <v>64</v>
      </c>
      <c r="E53" s="16"/>
      <c r="F53" s="16"/>
      <c r="G53" s="16"/>
      <c r="H53" s="16"/>
      <c r="I53" s="16" t="s">
        <v>62</v>
      </c>
      <c r="J53" s="30"/>
      <c r="K53" s="742"/>
      <c r="L53" s="742"/>
      <c r="M53" s="742"/>
      <c r="N53" s="742"/>
      <c r="T53" s="16" t="s">
        <v>64</v>
      </c>
      <c r="U53" s="16"/>
      <c r="V53" s="16"/>
      <c r="W53" s="16"/>
      <c r="X53" s="16"/>
      <c r="Y53" s="16" t="s">
        <v>62</v>
      </c>
      <c r="Z53" s="30"/>
      <c r="AA53" s="103"/>
      <c r="AB53" s="103"/>
      <c r="AC53" s="103"/>
      <c r="AD53" s="103"/>
    </row>
    <row r="54" spans="4:30" ht="15">
      <c r="D54" s="55" t="s">
        <v>66</v>
      </c>
      <c r="E54" s="16"/>
      <c r="F54" s="16"/>
      <c r="G54" s="16"/>
      <c r="H54" s="16"/>
      <c r="I54" s="16" t="s">
        <v>67</v>
      </c>
      <c r="J54" s="54"/>
      <c r="K54" s="743"/>
      <c r="L54" s="743"/>
      <c r="M54" s="743"/>
      <c r="N54" s="743"/>
      <c r="T54" s="55" t="s">
        <v>66</v>
      </c>
      <c r="U54" s="16"/>
      <c r="V54" s="16"/>
      <c r="W54" s="16"/>
      <c r="X54" s="16"/>
      <c r="Y54" s="16" t="s">
        <v>67</v>
      </c>
      <c r="Z54" s="54"/>
      <c r="AA54" s="68"/>
      <c r="AB54" s="68"/>
      <c r="AC54" s="68"/>
      <c r="AD54" s="68"/>
    </row>
    <row r="55" spans="4:30" ht="15">
      <c r="D55" s="56" t="s">
        <v>69</v>
      </c>
      <c r="E55" s="16"/>
      <c r="F55" s="16"/>
      <c r="G55" s="16"/>
      <c r="H55" s="16"/>
      <c r="I55" s="16"/>
      <c r="J55" s="54"/>
      <c r="K55" s="740"/>
      <c r="L55" s="740"/>
      <c r="M55" s="740"/>
      <c r="N55" s="740"/>
      <c r="T55" s="56" t="s">
        <v>69</v>
      </c>
      <c r="U55" s="16"/>
      <c r="V55" s="16"/>
      <c r="W55" s="16"/>
      <c r="X55" s="16"/>
      <c r="Y55" s="16"/>
      <c r="Z55" s="54"/>
      <c r="AA55" s="69"/>
      <c r="AB55" s="69"/>
      <c r="AC55" s="69"/>
      <c r="AD55" s="69"/>
    </row>
    <row r="56" spans="4:30" ht="15">
      <c r="D56" s="57" t="s">
        <v>397</v>
      </c>
      <c r="E56" s="55"/>
      <c r="F56" s="55"/>
      <c r="G56" s="55"/>
      <c r="H56" s="55"/>
      <c r="I56" s="16"/>
      <c r="J56" s="54"/>
      <c r="K56" s="740"/>
      <c r="L56" s="740"/>
      <c r="M56" s="740"/>
      <c r="N56" s="740"/>
      <c r="T56" s="57" t="s">
        <v>397</v>
      </c>
      <c r="U56" s="55"/>
      <c r="V56" s="55"/>
      <c r="W56" s="55"/>
      <c r="X56" s="55"/>
      <c r="Y56" s="16"/>
      <c r="Z56" s="54"/>
      <c r="AA56" s="69"/>
      <c r="AB56" s="69"/>
      <c r="AC56" s="69"/>
      <c r="AD56" s="69"/>
    </row>
    <row r="57" spans="4:30" ht="15">
      <c r="D57" s="57" t="s">
        <v>398</v>
      </c>
      <c r="E57" s="56"/>
      <c r="F57" s="56"/>
      <c r="G57" s="56"/>
      <c r="H57" s="56"/>
      <c r="I57" s="16"/>
      <c r="J57" s="54"/>
      <c r="K57" s="740"/>
      <c r="L57" s="740"/>
      <c r="M57" s="740"/>
      <c r="N57" s="740"/>
      <c r="T57" s="57" t="s">
        <v>398</v>
      </c>
      <c r="U57" s="56"/>
      <c r="V57" s="56"/>
      <c r="W57" s="56"/>
      <c r="X57" s="56"/>
      <c r="Y57" s="16"/>
      <c r="Z57" s="54"/>
      <c r="AA57" s="69"/>
      <c r="AB57" s="69"/>
      <c r="AC57" s="69"/>
      <c r="AD57" s="69"/>
    </row>
    <row r="58" spans="4:30" ht="15">
      <c r="D58" s="58" t="s">
        <v>76</v>
      </c>
      <c r="E58" s="57"/>
      <c r="F58" s="57"/>
      <c r="G58" s="57"/>
      <c r="H58" s="57"/>
      <c r="I58" s="16"/>
      <c r="J58" s="54"/>
      <c r="K58" s="740"/>
      <c r="L58" s="740"/>
      <c r="M58" s="740"/>
      <c r="N58" s="740"/>
      <c r="T58" s="58" t="s">
        <v>76</v>
      </c>
      <c r="U58" s="57"/>
      <c r="V58" s="57"/>
      <c r="W58" s="57"/>
      <c r="X58" s="57"/>
      <c r="Y58" s="16"/>
      <c r="Z58" s="54"/>
      <c r="AA58" s="69"/>
      <c r="AB58" s="69"/>
      <c r="AC58" s="69"/>
      <c r="AD58" s="69"/>
    </row>
    <row r="59" spans="4:30" ht="15">
      <c r="D59" s="16" t="s">
        <v>80</v>
      </c>
      <c r="E59" s="57"/>
      <c r="F59" s="57"/>
      <c r="G59" s="57"/>
      <c r="H59" s="57"/>
      <c r="I59" s="16" t="s">
        <v>81</v>
      </c>
      <c r="J59" s="54"/>
      <c r="K59" s="740"/>
      <c r="L59" s="740"/>
      <c r="M59" s="740"/>
      <c r="N59" s="740"/>
      <c r="T59" s="16" t="s">
        <v>80</v>
      </c>
      <c r="U59" s="57"/>
      <c r="V59" s="57"/>
      <c r="W59" s="57"/>
      <c r="X59" s="57"/>
      <c r="Y59" s="16" t="s">
        <v>81</v>
      </c>
      <c r="Z59" s="54"/>
      <c r="AA59" s="740"/>
      <c r="AB59" s="740"/>
      <c r="AC59" s="740"/>
      <c r="AD59" s="740"/>
    </row>
    <row r="60" spans="4:30" ht="15">
      <c r="D60" s="16"/>
      <c r="E60" s="16"/>
      <c r="F60" s="16"/>
      <c r="G60" s="16"/>
      <c r="H60" s="16"/>
      <c r="I60" s="16"/>
      <c r="J60" s="54"/>
      <c r="K60" s="16"/>
      <c r="L60" s="16"/>
      <c r="M60" s="16"/>
      <c r="N60" s="16"/>
    </row>
    <row r="61" spans="4:30" ht="15">
      <c r="D61" s="39" t="s">
        <v>405</v>
      </c>
      <c r="I61" s="16"/>
      <c r="K61" s="105"/>
      <c r="L61" s="105"/>
      <c r="M61" s="105"/>
      <c r="N61" s="105"/>
      <c r="T61" s="39" t="s">
        <v>406</v>
      </c>
      <c r="Y61" s="16"/>
      <c r="AA61" s="105"/>
      <c r="AB61" s="105"/>
      <c r="AC61" s="105"/>
      <c r="AD61" s="105"/>
    </row>
    <row r="62" spans="4:30" ht="15">
      <c r="D62" s="16" t="s">
        <v>219</v>
      </c>
      <c r="I62" s="13" t="s">
        <v>54</v>
      </c>
      <c r="K62" s="741"/>
      <c r="L62" s="741"/>
      <c r="M62" s="741"/>
      <c r="N62" s="741"/>
      <c r="T62" s="16" t="s">
        <v>219</v>
      </c>
      <c r="Y62" s="13" t="s">
        <v>54</v>
      </c>
      <c r="AA62" s="67"/>
      <c r="AB62" s="67"/>
      <c r="AC62" s="67"/>
      <c r="AD62" s="67"/>
    </row>
    <row r="63" spans="4:30" ht="15">
      <c r="D63" s="16" t="s">
        <v>61</v>
      </c>
      <c r="E63" s="16"/>
      <c r="F63" s="16"/>
      <c r="G63" s="16"/>
      <c r="H63" s="16"/>
      <c r="I63" s="16" t="s">
        <v>62</v>
      </c>
      <c r="J63" s="29"/>
      <c r="K63" s="742"/>
      <c r="L63" s="742"/>
      <c r="M63" s="742"/>
      <c r="N63" s="742"/>
      <c r="T63" s="16" t="s">
        <v>61</v>
      </c>
      <c r="U63" s="16"/>
      <c r="V63" s="16"/>
      <c r="W63" s="16"/>
      <c r="X63" s="16"/>
      <c r="Y63" s="16" t="s">
        <v>62</v>
      </c>
      <c r="Z63" s="29"/>
      <c r="AA63" s="103"/>
      <c r="AB63" s="103"/>
      <c r="AC63" s="103"/>
      <c r="AD63" s="103"/>
    </row>
    <row r="64" spans="4:30" ht="15">
      <c r="D64" s="16" t="s">
        <v>64</v>
      </c>
      <c r="E64" s="16"/>
      <c r="F64" s="16"/>
      <c r="G64" s="16"/>
      <c r="H64" s="16"/>
      <c r="I64" s="16" t="s">
        <v>62</v>
      </c>
      <c r="J64" s="30"/>
      <c r="K64" s="742"/>
      <c r="L64" s="742"/>
      <c r="M64" s="742"/>
      <c r="N64" s="742"/>
      <c r="T64" s="16" t="s">
        <v>64</v>
      </c>
      <c r="U64" s="16"/>
      <c r="V64" s="16"/>
      <c r="W64" s="16"/>
      <c r="X64" s="16"/>
      <c r="Y64" s="16" t="s">
        <v>62</v>
      </c>
      <c r="Z64" s="30"/>
      <c r="AA64" s="103"/>
      <c r="AB64" s="103"/>
      <c r="AC64" s="103"/>
      <c r="AD64" s="103"/>
    </row>
    <row r="65" spans="4:30" ht="15">
      <c r="D65" s="55" t="s">
        <v>66</v>
      </c>
      <c r="E65" s="16"/>
      <c r="F65" s="16"/>
      <c r="G65" s="16"/>
      <c r="H65" s="16"/>
      <c r="I65" s="16" t="s">
        <v>67</v>
      </c>
      <c r="J65" s="54"/>
      <c r="K65" s="743"/>
      <c r="L65" s="743"/>
      <c r="M65" s="743"/>
      <c r="N65" s="743"/>
      <c r="T65" s="55" t="s">
        <v>66</v>
      </c>
      <c r="U65" s="16"/>
      <c r="V65" s="16"/>
      <c r="W65" s="16"/>
      <c r="X65" s="16"/>
      <c r="Y65" s="16" t="s">
        <v>67</v>
      </c>
      <c r="Z65" s="54"/>
      <c r="AA65" s="68"/>
      <c r="AB65" s="68"/>
      <c r="AC65" s="68"/>
      <c r="AD65" s="68"/>
    </row>
    <row r="66" spans="4:30" ht="15">
      <c r="D66" s="56" t="s">
        <v>69</v>
      </c>
      <c r="E66" s="16"/>
      <c r="F66" s="16"/>
      <c r="G66" s="16"/>
      <c r="H66" s="16"/>
      <c r="I66" s="16"/>
      <c r="J66" s="54"/>
      <c r="K66" s="740"/>
      <c r="L66" s="740"/>
      <c r="M66" s="740"/>
      <c r="N66" s="740"/>
      <c r="T66" s="56" t="s">
        <v>69</v>
      </c>
      <c r="U66" s="16"/>
      <c r="V66" s="16"/>
      <c r="W66" s="16"/>
      <c r="X66" s="16"/>
      <c r="Y66" s="16"/>
      <c r="Z66" s="54"/>
      <c r="AA66" s="69"/>
      <c r="AB66" s="69"/>
      <c r="AC66" s="69"/>
      <c r="AD66" s="69"/>
    </row>
    <row r="67" spans="4:30" ht="15">
      <c r="D67" s="57" t="s">
        <v>397</v>
      </c>
      <c r="E67" s="55"/>
      <c r="F67" s="55"/>
      <c r="G67" s="55"/>
      <c r="H67" s="55"/>
      <c r="I67" s="16"/>
      <c r="J67" s="54"/>
      <c r="K67" s="740"/>
      <c r="L67" s="740"/>
      <c r="M67" s="740"/>
      <c r="N67" s="740"/>
      <c r="T67" s="57" t="s">
        <v>397</v>
      </c>
      <c r="U67" s="55"/>
      <c r="V67" s="55"/>
      <c r="W67" s="55"/>
      <c r="X67" s="55"/>
      <c r="Y67" s="16"/>
      <c r="Z67" s="54"/>
      <c r="AA67" s="69"/>
      <c r="AB67" s="69"/>
      <c r="AC67" s="69"/>
      <c r="AD67" s="69"/>
    </row>
    <row r="68" spans="4:30" ht="15">
      <c r="D68" s="57" t="s">
        <v>398</v>
      </c>
      <c r="E68" s="56"/>
      <c r="F68" s="56"/>
      <c r="G68" s="56"/>
      <c r="H68" s="56"/>
      <c r="I68" s="16"/>
      <c r="J68" s="54"/>
      <c r="K68" s="740"/>
      <c r="L68" s="740"/>
      <c r="M68" s="740"/>
      <c r="N68" s="740"/>
      <c r="T68" s="57" t="s">
        <v>398</v>
      </c>
      <c r="U68" s="56"/>
      <c r="V68" s="56"/>
      <c r="W68" s="56"/>
      <c r="X68" s="56"/>
      <c r="Y68" s="16"/>
      <c r="Z68" s="54"/>
      <c r="AA68" s="69"/>
      <c r="AB68" s="69"/>
      <c r="AC68" s="69"/>
      <c r="AD68" s="69"/>
    </row>
    <row r="69" spans="4:30" ht="15">
      <c r="D69" s="58" t="s">
        <v>76</v>
      </c>
      <c r="E69" s="57"/>
      <c r="F69" s="57"/>
      <c r="G69" s="57"/>
      <c r="H69" s="57"/>
      <c r="I69" s="16"/>
      <c r="J69" s="54"/>
      <c r="K69" s="740"/>
      <c r="L69" s="740"/>
      <c r="M69" s="740"/>
      <c r="N69" s="740"/>
      <c r="T69" s="58" t="s">
        <v>76</v>
      </c>
      <c r="U69" s="57"/>
      <c r="V69" s="57"/>
      <c r="W69" s="57"/>
      <c r="X69" s="57"/>
      <c r="Y69" s="16"/>
      <c r="Z69" s="54"/>
      <c r="AA69" s="69"/>
      <c r="AB69" s="69"/>
      <c r="AC69" s="69"/>
      <c r="AD69" s="69"/>
    </row>
    <row r="70" spans="4:30" ht="15">
      <c r="D70" s="16" t="s">
        <v>80</v>
      </c>
      <c r="E70" s="57"/>
      <c r="F70" s="57"/>
      <c r="G70" s="57"/>
      <c r="H70" s="57"/>
      <c r="I70" s="16" t="s">
        <v>81</v>
      </c>
      <c r="J70" s="54"/>
      <c r="K70" s="740"/>
      <c r="L70" s="740"/>
      <c r="M70" s="740"/>
      <c r="N70" s="740"/>
      <c r="T70" s="16" t="s">
        <v>80</v>
      </c>
      <c r="U70" s="57"/>
      <c r="V70" s="57"/>
      <c r="W70" s="57"/>
      <c r="X70" s="57"/>
      <c r="Y70" s="16" t="s">
        <v>81</v>
      </c>
      <c r="Z70" s="54"/>
      <c r="AA70" s="740"/>
      <c r="AB70" s="740"/>
      <c r="AC70" s="740"/>
      <c r="AD70" s="740"/>
    </row>
    <row r="71" spans="4:30" ht="15">
      <c r="D71" s="16"/>
      <c r="E71" s="16"/>
      <c r="F71" s="16"/>
      <c r="G71" s="16"/>
      <c r="H71" s="16"/>
      <c r="I71" s="16"/>
      <c r="J71" s="29"/>
      <c r="K71" s="16"/>
      <c r="L71" s="16"/>
      <c r="M71" s="16"/>
      <c r="N71" s="16"/>
      <c r="T71" s="16"/>
      <c r="U71" s="57"/>
      <c r="V71" s="57"/>
      <c r="W71" s="57"/>
      <c r="X71" s="57"/>
      <c r="Y71" s="16"/>
      <c r="Z71" s="54"/>
      <c r="AA71" s="16"/>
      <c r="AB71" s="16"/>
      <c r="AC71" s="16"/>
      <c r="AD71" s="16"/>
    </row>
    <row r="72" spans="4:30" ht="15">
      <c r="D72" s="39"/>
      <c r="E72" s="16"/>
      <c r="F72" s="16"/>
      <c r="G72" s="16"/>
      <c r="H72" s="16"/>
      <c r="I72" s="16"/>
      <c r="J72" s="30"/>
      <c r="K72" s="16"/>
      <c r="L72" s="16"/>
      <c r="M72" s="16"/>
      <c r="N72" s="16"/>
      <c r="T72" s="39"/>
      <c r="U72" s="16"/>
      <c r="V72" s="16"/>
      <c r="W72" s="16"/>
      <c r="X72" s="16"/>
      <c r="Y72" s="16"/>
      <c r="Z72" s="30"/>
      <c r="AA72" s="52"/>
      <c r="AB72" s="52"/>
      <c r="AC72" s="52"/>
      <c r="AD72" s="52"/>
    </row>
    <row r="73" spans="4:30" ht="15">
      <c r="D73" s="16"/>
      <c r="E73" s="16"/>
      <c r="F73" s="16"/>
      <c r="G73" s="16"/>
      <c r="H73" s="16"/>
      <c r="I73" s="16"/>
      <c r="J73" s="54"/>
      <c r="K73" s="16"/>
      <c r="L73" s="16"/>
      <c r="M73" s="16"/>
      <c r="N73" s="16"/>
      <c r="T73" s="16"/>
      <c r="U73" s="16"/>
      <c r="V73" s="16"/>
      <c r="W73" s="16"/>
      <c r="X73" s="16"/>
      <c r="Y73" s="16"/>
      <c r="Z73" s="54"/>
      <c r="AA73" s="52"/>
      <c r="AB73" s="52"/>
      <c r="AC73" s="52"/>
      <c r="AD73" s="52"/>
    </row>
    <row r="74" spans="4:30" ht="15">
      <c r="D74" s="16"/>
      <c r="E74" s="16"/>
      <c r="F74" s="16"/>
      <c r="G74" s="16"/>
      <c r="H74" s="16"/>
      <c r="I74" s="16"/>
      <c r="J74" s="54"/>
      <c r="K74" s="16"/>
      <c r="L74" s="16"/>
      <c r="M74" s="16"/>
      <c r="N74" s="16"/>
      <c r="T74" s="16"/>
      <c r="U74" s="16"/>
      <c r="V74" s="16"/>
      <c r="W74" s="16"/>
      <c r="X74" s="16"/>
      <c r="Y74" s="16"/>
      <c r="Z74" s="54"/>
      <c r="AA74" s="52"/>
      <c r="AB74" s="52"/>
      <c r="AC74" s="52"/>
      <c r="AD74" s="52"/>
    </row>
    <row r="75" spans="4:30" ht="15">
      <c r="D75" s="16"/>
      <c r="E75" s="55"/>
      <c r="F75" s="55"/>
      <c r="G75" s="55"/>
      <c r="H75" s="55"/>
      <c r="I75" s="16"/>
      <c r="J75" s="54"/>
      <c r="K75" s="16"/>
      <c r="L75" s="16"/>
      <c r="M75" s="16"/>
      <c r="N75" s="16"/>
      <c r="T75" s="16"/>
      <c r="U75" s="55"/>
      <c r="V75" s="55"/>
      <c r="W75" s="55"/>
      <c r="X75" s="55"/>
      <c r="Y75" s="16"/>
      <c r="Z75" s="54"/>
      <c r="AA75" s="52"/>
      <c r="AB75" s="52"/>
      <c r="AC75" s="52"/>
      <c r="AD75" s="52"/>
    </row>
    <row r="76" spans="4:30" ht="15">
      <c r="D76" s="55"/>
      <c r="E76" s="56"/>
      <c r="F76" s="56"/>
      <c r="G76" s="56"/>
      <c r="H76" s="56"/>
      <c r="I76" s="16"/>
      <c r="J76" s="54"/>
      <c r="K76" s="16"/>
      <c r="L76" s="16"/>
      <c r="M76" s="16"/>
      <c r="N76" s="16"/>
      <c r="T76" s="55"/>
      <c r="U76" s="56"/>
      <c r="V76" s="56"/>
      <c r="W76" s="56"/>
      <c r="X76" s="56"/>
      <c r="Y76" s="16"/>
      <c r="Z76" s="54"/>
      <c r="AA76" s="52"/>
      <c r="AB76" s="52"/>
      <c r="AC76" s="52"/>
      <c r="AD76" s="52"/>
    </row>
    <row r="77" spans="4:30" ht="15">
      <c r="D77" s="56"/>
      <c r="E77" s="57"/>
      <c r="F77" s="57"/>
      <c r="G77" s="57"/>
      <c r="H77" s="57"/>
      <c r="I77" s="16"/>
      <c r="J77" s="54"/>
      <c r="K77" s="16"/>
      <c r="L77" s="16"/>
      <c r="M77" s="16"/>
      <c r="N77" s="16"/>
      <c r="T77" s="56"/>
      <c r="U77" s="57"/>
      <c r="V77" s="57"/>
      <c r="W77" s="57"/>
      <c r="X77" s="57"/>
      <c r="Y77" s="16"/>
      <c r="Z77" s="54"/>
      <c r="AA77" s="52"/>
      <c r="AB77" s="52"/>
      <c r="AC77" s="52"/>
      <c r="AD77" s="52"/>
    </row>
    <row r="78" spans="4:30" ht="15">
      <c r="D78" s="57"/>
      <c r="E78" s="57"/>
      <c r="F78" s="57"/>
      <c r="G78" s="57"/>
      <c r="H78" s="57"/>
      <c r="I78" s="16"/>
      <c r="J78" s="54"/>
      <c r="K78" s="16"/>
      <c r="L78" s="16"/>
      <c r="M78" s="16"/>
      <c r="N78" s="16"/>
      <c r="T78" s="57"/>
      <c r="U78" s="57"/>
      <c r="V78" s="57"/>
      <c r="W78" s="57"/>
      <c r="X78" s="57"/>
      <c r="Y78" s="16"/>
      <c r="Z78" s="54"/>
      <c r="AA78" s="52"/>
      <c r="AB78" s="52"/>
      <c r="AC78" s="52"/>
      <c r="AD78" s="52"/>
    </row>
    <row r="79" spans="4:30" ht="15">
      <c r="D79" s="57"/>
      <c r="E79" s="58"/>
      <c r="F79" s="58"/>
      <c r="G79" s="58"/>
      <c r="H79" s="58"/>
      <c r="I79" s="107"/>
      <c r="J79" s="59"/>
      <c r="K79" s="16"/>
      <c r="L79" s="16"/>
      <c r="M79" s="16"/>
      <c r="N79" s="16"/>
      <c r="T79" s="57"/>
      <c r="U79" s="58"/>
      <c r="V79" s="58"/>
      <c r="W79" s="58"/>
      <c r="X79" s="58"/>
      <c r="Y79" s="107"/>
      <c r="Z79" s="59"/>
      <c r="AA79" s="52"/>
      <c r="AB79" s="52"/>
      <c r="AC79" s="52"/>
      <c r="AD79" s="52"/>
    </row>
    <row r="80" spans="4:30" ht="15">
      <c r="D80" s="58"/>
      <c r="K80" s="16"/>
      <c r="L80" s="16"/>
      <c r="M80" s="16"/>
      <c r="N80" s="16"/>
      <c r="T80" s="58"/>
      <c r="AA80" s="52"/>
      <c r="AB80" s="52"/>
      <c r="AC80" s="52"/>
      <c r="AD80" s="52"/>
    </row>
    <row r="81" spans="4:30" ht="15">
      <c r="D81" s="16"/>
      <c r="I81" s="16"/>
      <c r="K81" s="16"/>
      <c r="L81" s="16"/>
      <c r="M81" s="16"/>
      <c r="N81" s="16"/>
      <c r="T81" s="16"/>
      <c r="Y81" s="16"/>
      <c r="AA81" s="52"/>
      <c r="AB81" s="52"/>
      <c r="AC81" s="52"/>
      <c r="AD81" s="52"/>
    </row>
    <row r="82" spans="4:30" ht="15">
      <c r="D82" s="16"/>
      <c r="K82" s="16"/>
      <c r="L82" s="16"/>
      <c r="M82" s="16"/>
      <c r="N82" s="16"/>
      <c r="T82" s="16"/>
      <c r="AA82" s="52"/>
      <c r="AB82" s="52"/>
      <c r="AC82" s="52"/>
      <c r="AD82" s="52"/>
    </row>
    <row r="83" spans="4:30">
      <c r="AA83" s="52"/>
      <c r="AB83" s="52"/>
      <c r="AC83" s="52"/>
      <c r="AD83" s="52"/>
    </row>
  </sheetData>
  <sheetProtection algorithmName="SHA-512" hashValue="1Zlzpxwx7xrIe901sUf3b8ADysWeJmm14709f05u/oSdtJ/Bf7sGI0rsguQtsd4JmDwM0YVVr6FcigdWLcLu9Q==" saltValue="/w2U+CjgTRyHQE+nzP+JiQ==" spinCount="100000" sheet="1" objects="1" scenarios="1"/>
  <mergeCells count="61">
    <mergeCell ref="P6:S6"/>
    <mergeCell ref="T6:W6"/>
    <mergeCell ref="K18:N18"/>
    <mergeCell ref="B6:C6"/>
    <mergeCell ref="D6:F6"/>
    <mergeCell ref="G6:K6"/>
    <mergeCell ref="L6:O6"/>
    <mergeCell ref="K12:N12"/>
    <mergeCell ref="K13:N13"/>
    <mergeCell ref="AA13:AD13"/>
    <mergeCell ref="K14:N14"/>
    <mergeCell ref="K15:N15"/>
    <mergeCell ref="K31:N31"/>
    <mergeCell ref="K19:N19"/>
    <mergeCell ref="K20:N20"/>
    <mergeCell ref="K21:N21"/>
    <mergeCell ref="K22:N22"/>
    <mergeCell ref="K23:N23"/>
    <mergeCell ref="K24:N24"/>
    <mergeCell ref="K25:N25"/>
    <mergeCell ref="K26:N26"/>
    <mergeCell ref="AA26:AD26"/>
    <mergeCell ref="K29:N29"/>
    <mergeCell ref="K30:N30"/>
    <mergeCell ref="K32:N32"/>
    <mergeCell ref="K33:N33"/>
    <mergeCell ref="K34:N34"/>
    <mergeCell ref="K35:N35"/>
    <mergeCell ref="K36:N36"/>
    <mergeCell ref="K57:N57"/>
    <mergeCell ref="K58:N58"/>
    <mergeCell ref="K59:N59"/>
    <mergeCell ref="K51:N51"/>
    <mergeCell ref="AA37:AD37"/>
    <mergeCell ref="K40:N40"/>
    <mergeCell ref="K41:N41"/>
    <mergeCell ref="K42:N42"/>
    <mergeCell ref="K43:N43"/>
    <mergeCell ref="K44:N44"/>
    <mergeCell ref="K37:N37"/>
    <mergeCell ref="K45:N45"/>
    <mergeCell ref="K46:N46"/>
    <mergeCell ref="K47:N47"/>
    <mergeCell ref="K48:N48"/>
    <mergeCell ref="AA48:AD48"/>
    <mergeCell ref="K52:N52"/>
    <mergeCell ref="K53:N53"/>
    <mergeCell ref="K54:N54"/>
    <mergeCell ref="K55:N55"/>
    <mergeCell ref="K56:N56"/>
    <mergeCell ref="AA59:AD59"/>
    <mergeCell ref="K62:N62"/>
    <mergeCell ref="K63:N63"/>
    <mergeCell ref="AA70:AD70"/>
    <mergeCell ref="K65:N65"/>
    <mergeCell ref="K66:N66"/>
    <mergeCell ref="K67:N67"/>
    <mergeCell ref="K68:N68"/>
    <mergeCell ref="K69:N69"/>
    <mergeCell ref="K70:N70"/>
    <mergeCell ref="K64:N64"/>
  </mergeCells>
  <pageMargins left="0.25" right="0.25" top="0.75" bottom="0.75" header="0.3" footer="0.3"/>
  <pageSetup paperSize="9" scale="64" fitToWidth="0" orientation="portrait" r:id="rId1"/>
  <colBreaks count="2" manualBreakCount="2">
    <brk id="15" min="6" max="65" man="1"/>
    <brk id="18" min="6" max="6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6853bd2-22b9-4d35-8c33-63a4997c86c0" xsi:nil="true"/>
    <lcf76f155ced4ddcb4097134ff3c332f xmlns="c85e6c78-ad1d-484a-98d1-c7d2326a9a4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700836FDFCABFB4F988F1CC218A89D0E" ma:contentTypeVersion="13" ma:contentTypeDescription="Skapa ett nytt dokument." ma:contentTypeScope="" ma:versionID="370370f73dd07b1258ae0b644d3ca6cb">
  <xsd:schema xmlns:xsd="http://www.w3.org/2001/XMLSchema" xmlns:xs="http://www.w3.org/2001/XMLSchema" xmlns:p="http://schemas.microsoft.com/office/2006/metadata/properties" xmlns:ns2="c85e6c78-ad1d-484a-98d1-c7d2326a9a4c" xmlns:ns3="b6853bd2-22b9-4d35-8c33-63a4997c86c0" targetNamespace="http://schemas.microsoft.com/office/2006/metadata/properties" ma:root="true" ma:fieldsID="cf2eb4ee0594c2ba1c12ff7c572898d3" ns2:_="" ns3:_="">
    <xsd:import namespace="c85e6c78-ad1d-484a-98d1-c7d2326a9a4c"/>
    <xsd:import namespace="b6853bd2-22b9-4d35-8c33-63a4997c86c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5e6c78-ad1d-484a-98d1-c7d2326a9a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Bildmarkeringar" ma:readOnly="false" ma:fieldId="{5cf76f15-5ced-4ddc-b409-7134ff3c332f}" ma:taxonomyMulti="true" ma:sspId="fca21c6a-0e39-422c-b6d5-4f3c7f47eaf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853bd2-22b9-4d35-8c33-63a4997c86c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ccdf26c-1956-400c-83cb-7fd62a9e57bc}" ma:internalName="TaxCatchAll" ma:showField="CatchAllData" ma:web="b6853bd2-22b9-4d35-8c33-63a4997c86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086D05BB-13A2-4D11-A482-C161E6D8E2A4}">
  <ds:schemaRefs>
    <ds:schemaRef ds:uri="http://schemas.microsoft.com/sharepoint/v3/contenttype/forms"/>
  </ds:schemaRefs>
</ds:datastoreItem>
</file>

<file path=customXml/itemProps2.xml><?xml version="1.0" encoding="utf-8"?>
<ds:datastoreItem xmlns:ds="http://schemas.openxmlformats.org/officeDocument/2006/customXml" ds:itemID="{73569D67-2C44-4CCC-9A92-DBA3B2F47374}">
  <ds:schemaRefs>
    <ds:schemaRef ds:uri="http://purl.org/dc/dcmitype/"/>
    <ds:schemaRef ds:uri="http://schemas.microsoft.com/office/2006/documentManagement/types"/>
    <ds:schemaRef ds:uri="http://schemas.microsoft.com/office/2006/metadata/properties"/>
    <ds:schemaRef ds:uri="http://www.w3.org/XML/1998/namespace"/>
    <ds:schemaRef ds:uri="c85e6c78-ad1d-484a-98d1-c7d2326a9a4c"/>
    <ds:schemaRef ds:uri="http://purl.org/dc/elements/1.1/"/>
    <ds:schemaRef ds:uri="http://schemas.microsoft.com/office/infopath/2007/PartnerControls"/>
    <ds:schemaRef ds:uri="http://schemas.openxmlformats.org/package/2006/metadata/core-properties"/>
    <ds:schemaRef ds:uri="b6853bd2-22b9-4d35-8c33-63a4997c86c0"/>
    <ds:schemaRef ds:uri="http://purl.org/dc/terms/"/>
  </ds:schemaRefs>
</ds:datastoreItem>
</file>

<file path=customXml/itemProps3.xml><?xml version="1.0" encoding="utf-8"?>
<ds:datastoreItem xmlns:ds="http://schemas.openxmlformats.org/officeDocument/2006/customXml" ds:itemID="{CD8CB229-48F2-4F53-AC70-8F888BE881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5e6c78-ad1d-484a-98d1-c7d2326a9a4c"/>
    <ds:schemaRef ds:uri="b6853bd2-22b9-4d35-8c33-63a4997c86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9F5817A-E1D2-4895-9274-103668F4D2AC}">
  <ds:schemaRefs>
    <ds:schemaRef ds:uri="http://schemas.microsoft.com/DataMashup"/>
  </ds:schemaRefs>
</ds:datastoreItem>
</file>

<file path=docMetadata/LabelInfo.xml><?xml version="1.0" encoding="utf-8"?>
<clbl:labelList xmlns:clbl="http://schemas.microsoft.com/office/2020/mipLabelMetadata">
  <clbl:label id="{59096ad9-8b60-446a-90b7-017dbb9421a3}" enabled="1" method="Standard" siteId="{3d234255-e20f-4205-88a5-9658a402999b}"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Kalkylblad</vt:lpstr>
      </vt:variant>
      <vt:variant>
        <vt:i4>18</vt:i4>
      </vt:variant>
      <vt:variant>
        <vt:lpstr>Namngivna områden</vt:lpstr>
      </vt:variant>
      <vt:variant>
        <vt:i4>23</vt:i4>
      </vt:variant>
    </vt:vector>
  </HeadingPairs>
  <TitlesOfParts>
    <vt:vector size="41" baseType="lpstr">
      <vt:lpstr>1. Introduktion</vt:lpstr>
      <vt:lpstr>Förutsättningar</vt:lpstr>
      <vt:lpstr>1. LCC Befintlig Installation</vt:lpstr>
      <vt:lpstr>2. LCC Ny Installation</vt:lpstr>
      <vt:lpstr>2. LCC A3</vt:lpstr>
      <vt:lpstr>2. LCC A4</vt:lpstr>
      <vt:lpstr>3. Kalkylparametrar</vt:lpstr>
      <vt:lpstr>4. Reduktionsfaktorer, LENI-tal</vt:lpstr>
      <vt:lpstr>5. Beräkningsfaktorer klimat</vt:lpstr>
      <vt:lpstr>6. Resultat</vt:lpstr>
      <vt:lpstr>Sammanfattning</vt:lpstr>
      <vt:lpstr>Variabler</vt:lpstr>
      <vt:lpstr>Belastningstabeller</vt:lpstr>
      <vt:lpstr>AllStrings</vt:lpstr>
      <vt:lpstr>Blad1</vt:lpstr>
      <vt:lpstr>Uträkningar</vt:lpstr>
      <vt:lpstr>Lasttabeller</vt:lpstr>
      <vt:lpstr>7. Svarsformulär</vt:lpstr>
      <vt:lpstr>BÜRO</vt:lpstr>
      <vt:lpstr>HOSPITAL</vt:lpstr>
      <vt:lpstr>IDRETTSHALL</vt:lpstr>
      <vt:lpstr>INDUSTRI</vt:lpstr>
      <vt:lpstr>INDUSTRIE</vt:lpstr>
      <vt:lpstr>INDUSTRY</vt:lpstr>
      <vt:lpstr>KONTOR</vt:lpstr>
      <vt:lpstr>KRANKENHAUS</vt:lpstr>
      <vt:lpstr>OFFICE</vt:lpstr>
      <vt:lpstr>SCHOOL_AND_RESTAURANT</vt:lpstr>
      <vt:lpstr>SCHULE_UND_RESTAURANT</vt:lpstr>
      <vt:lpstr>SJUKHUS</vt:lpstr>
      <vt:lpstr>SKOLA_OCH_RESTAURANG</vt:lpstr>
      <vt:lpstr>SKOLE_OG_RESTAURANT</vt:lpstr>
      <vt:lpstr>SPORTHALL</vt:lpstr>
      <vt:lpstr>SPORTHALLE</vt:lpstr>
      <vt:lpstr>SPORTS_HALL</vt:lpstr>
      <vt:lpstr>Förutsättningar!Språkval</vt:lpstr>
      <vt:lpstr>Språkval</vt:lpstr>
      <vt:lpstr>SYKEHUS</vt:lpstr>
      <vt:lpstr>Sammanfattning!test</vt:lpstr>
      <vt:lpstr>'7. Svarsformulär'!Utskriftsområde</vt:lpstr>
      <vt:lpstr>Sammanfattning!Utskriftsområde</vt:lpstr>
    </vt:vector>
  </TitlesOfParts>
  <Manager/>
  <Company>Aura Light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Gustavsson</dc:creator>
  <cp:keywords/>
  <dc:description/>
  <cp:lastModifiedBy>Martin Klippel</cp:lastModifiedBy>
  <cp:revision>2</cp:revision>
  <dcterms:created xsi:type="dcterms:W3CDTF">1999-02-03T14:10:33Z</dcterms:created>
  <dcterms:modified xsi:type="dcterms:W3CDTF">2026-05-05T15:25:11Z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0x010100700836FDFCABFB4F988F1CC218A89D0E</vt:lpwstr>
  </property>
  <property fmtid="{D5CDD505-2E9C-101B-9397-08002B2CF9AE}" pid="3" name="MediaServiceImageTags">
    <vt:lpwstr/>
  </property>
</Properties>
</file>