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v_\Documents\tu-delft\``FD Assignment\"/>
    </mc:Choice>
  </mc:AlternateContent>
  <xr:revisionPtr revIDLastSave="0" documentId="8_{3DC740DE-3BD3-4A49-BE3B-AD7506DDDB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6" i="1" l="1"/>
  <c r="R75" i="1"/>
  <c r="AM59" i="1"/>
  <c r="O76" i="1"/>
  <c r="P76" i="1" s="1"/>
  <c r="Q76" i="1" s="1"/>
  <c r="O75" i="1"/>
  <c r="P75" i="1" s="1"/>
  <c r="Q75" i="1" s="1"/>
  <c r="AM61" i="1"/>
  <c r="AL59" i="1"/>
  <c r="AM60" i="1"/>
  <c r="AM62" i="1"/>
  <c r="AM63" i="1"/>
  <c r="AM64" i="1"/>
  <c r="AM65" i="1"/>
  <c r="AL60" i="1"/>
  <c r="AL61" i="1"/>
  <c r="AL62" i="1"/>
  <c r="AL63" i="1"/>
  <c r="AL64" i="1"/>
  <c r="AL65" i="1"/>
  <c r="AE60" i="1"/>
  <c r="AE61" i="1"/>
  <c r="AE62" i="1"/>
  <c r="AE63" i="1"/>
  <c r="AE64" i="1"/>
  <c r="AE65" i="1"/>
  <c r="AJ60" i="1"/>
  <c r="AJ61" i="1"/>
  <c r="AJ62" i="1"/>
  <c r="AJ63" i="1"/>
  <c r="AJ64" i="1"/>
  <c r="AJ65" i="1"/>
  <c r="AJ59" i="1"/>
  <c r="AH60" i="1"/>
  <c r="AH61" i="1"/>
  <c r="AH62" i="1"/>
  <c r="AH63" i="1"/>
  <c r="AH64" i="1"/>
  <c r="AH65" i="1"/>
  <c r="AH59" i="1"/>
  <c r="AH28" i="1"/>
  <c r="AJ28" i="1" s="1"/>
  <c r="AE59" i="1"/>
  <c r="AD60" i="1"/>
  <c r="AD61" i="1"/>
  <c r="AD62" i="1"/>
  <c r="AD63" i="1"/>
  <c r="AD64" i="1"/>
  <c r="AD65" i="1"/>
  <c r="AD59" i="1"/>
  <c r="Y60" i="1"/>
  <c r="Y61" i="1"/>
  <c r="Y62" i="1"/>
  <c r="Y63" i="1"/>
  <c r="Y64" i="1"/>
  <c r="Y65" i="1"/>
  <c r="X60" i="1"/>
  <c r="X61" i="1"/>
  <c r="X62" i="1"/>
  <c r="X63" i="1"/>
  <c r="X64" i="1"/>
  <c r="X65" i="1"/>
  <c r="X59" i="1"/>
  <c r="W65" i="1"/>
  <c r="W60" i="1"/>
  <c r="W61" i="1"/>
  <c r="W62" i="1"/>
  <c r="W63" i="1"/>
  <c r="W64" i="1"/>
  <c r="W59" i="1"/>
  <c r="T65" i="1"/>
  <c r="T60" i="1"/>
  <c r="T61" i="1"/>
  <c r="T62" i="1"/>
  <c r="T63" i="1"/>
  <c r="T64" i="1"/>
  <c r="T59" i="1"/>
  <c r="AB59" i="1"/>
  <c r="AA59" i="1"/>
  <c r="AE28" i="1"/>
  <c r="AE29" i="1"/>
  <c r="AE30" i="1"/>
  <c r="AE31" i="1"/>
  <c r="AE32" i="1"/>
  <c r="AE33" i="1"/>
  <c r="AD29" i="1"/>
  <c r="AD30" i="1"/>
  <c r="AD31" i="1"/>
  <c r="AD32" i="1"/>
  <c r="AD33" i="1"/>
  <c r="AD28" i="1"/>
  <c r="X28" i="1"/>
  <c r="X29" i="1"/>
  <c r="X30" i="1"/>
  <c r="X31" i="1"/>
  <c r="X32" i="1"/>
  <c r="X33" i="1"/>
  <c r="AB29" i="1"/>
  <c r="AB30" i="1"/>
  <c r="AB31" i="1"/>
  <c r="AB32" i="1"/>
  <c r="AB33" i="1"/>
  <c r="AB28" i="1"/>
  <c r="AA29" i="1"/>
  <c r="AA30" i="1"/>
  <c r="AA31" i="1"/>
  <c r="AA32" i="1"/>
  <c r="AA33" i="1"/>
  <c r="AA28" i="1"/>
  <c r="W13" i="1"/>
  <c r="V14" i="1"/>
  <c r="U14" i="1"/>
  <c r="W14" i="1"/>
  <c r="X14" i="1"/>
  <c r="Y14" i="1"/>
  <c r="Z14" i="1"/>
  <c r="V13" i="1"/>
  <c r="X13" i="1"/>
  <c r="Y13" i="1"/>
  <c r="Z13" i="1"/>
  <c r="U13" i="1"/>
  <c r="V10" i="1" l="1"/>
  <c r="W10" i="1"/>
  <c r="X10" i="1"/>
  <c r="Y10" i="1"/>
  <c r="Z10" i="1"/>
  <c r="U10" i="1"/>
  <c r="P12" i="1"/>
  <c r="P11" i="1"/>
  <c r="O60" i="1" l="1"/>
  <c r="P60" i="1" s="1"/>
  <c r="Q60" i="1" s="1"/>
  <c r="O61" i="1"/>
  <c r="P61" i="1" s="1"/>
  <c r="Q61" i="1" s="1"/>
  <c r="O62" i="1"/>
  <c r="O63" i="1"/>
  <c r="P63" i="1" s="1"/>
  <c r="Q63" i="1" s="1"/>
  <c r="O64" i="1"/>
  <c r="O28" i="1"/>
  <c r="O65" i="1"/>
  <c r="O59" i="1"/>
  <c r="P59" i="1" s="1"/>
  <c r="Q59" i="1" s="1"/>
  <c r="P62" i="1"/>
  <c r="Q62" i="1" s="1"/>
  <c r="P64" i="1"/>
  <c r="Q64" i="1" s="1"/>
  <c r="P28" i="1"/>
  <c r="Q28" i="1" s="1"/>
  <c r="P65" i="1"/>
  <c r="Q65" i="1" s="1"/>
  <c r="O31" i="1"/>
  <c r="P31" i="1" s="1"/>
  <c r="Q31" i="1" s="1"/>
  <c r="O32" i="1"/>
  <c r="P32" i="1" s="1"/>
  <c r="Q32" i="1" s="1"/>
  <c r="O33" i="1"/>
  <c r="P33" i="1" s="1"/>
  <c r="Q33" i="1" s="1"/>
  <c r="O29" i="1"/>
  <c r="P29" i="1" s="1"/>
  <c r="Q29" i="1" s="1"/>
  <c r="O30" i="1"/>
  <c r="P30" i="1" s="1"/>
  <c r="Q30" i="1" s="1"/>
  <c r="Y59" i="1" l="1"/>
  <c r="T30" i="1"/>
  <c r="W30" i="1" s="1"/>
  <c r="Y30" i="1" s="1"/>
  <c r="AH30" i="1"/>
  <c r="AJ30" i="1" s="1"/>
  <c r="T29" i="1"/>
  <c r="W29" i="1" s="1"/>
  <c r="Y29" i="1" s="1"/>
  <c r="AH29" i="1"/>
  <c r="AJ29" i="1" s="1"/>
  <c r="T33" i="1"/>
  <c r="W33" i="1" s="1"/>
  <c r="Y33" i="1" s="1"/>
  <c r="AH33" i="1"/>
  <c r="AJ33" i="1" s="1"/>
  <c r="T31" i="1"/>
  <c r="W31" i="1" s="1"/>
  <c r="Y31" i="1" s="1"/>
  <c r="AH31" i="1"/>
  <c r="AJ31" i="1" s="1"/>
  <c r="T32" i="1"/>
  <c r="W32" i="1" s="1"/>
  <c r="Y32" i="1" s="1"/>
  <c r="AH32" i="1"/>
  <c r="AJ32" i="1" s="1"/>
  <c r="T28" i="1" l="1"/>
  <c r="W28" i="1" s="1"/>
  <c r="Y28" i="1" s="1"/>
  <c r="Y34" i="1" s="1"/>
</calcChain>
</file>

<file path=xl/sharedStrings.xml><?xml version="1.0" encoding="utf-8"?>
<sst xmlns="http://schemas.openxmlformats.org/spreadsheetml/2006/main" count="262" uniqueCount="130">
  <si>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</si>
  <si>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</si>
  <si>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</si>
  <si>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</si>
  <si>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</si>
  <si>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</si>
  <si>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</si>
  <si>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</si>
  <si>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</si>
  <si>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</si>
  <si>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</si>
  <si>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</si>
  <si>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</si>
  <si>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</si>
  <si>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</si>
  <si>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</si>
  <si>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</si>
  <si>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</si>
  <si>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</si>
  <si>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</si>
  <si>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</si>
  <si>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</si>
  <si>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</si>
  <si>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</si>
  <si>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</si>
  <si>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</si>
  <si>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</si>
  <si>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</si>
  <si>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</si>
  <si>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</si>
  <si>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</si>
  <si>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</si>
  <si>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</si>
  <si>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</si>
  <si>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</si>
  <si>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</si>
  <si>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</si>
  <si>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</si>
  <si>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</si>
  <si>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</si>
  <si>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</si>
  <si>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</si>
  <si>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</si>
  <si>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</si>
  <si>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</si>
  <si>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</si>
  <si>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</si>
  <si>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</si>
  <si>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</si>
  <si>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</si>
  <si>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</si>
  <si>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</si>
  <si>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</si>
  <si>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</si>
  <si>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</si>
  <si>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</si>
  <si>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</si>
  <si>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</si>
  <si>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</si>
  <si>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</si>
  <si>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</si>
  <si>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</si>
  <si>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</si>
  <si>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</si>
  <si>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9-3-202</t>
  </si>
  <si>
    <t>:46:31</t>
  </si>
  <si>
    <t>Joris</t>
  </si>
  <si>
    <t>Bart</t>
  </si>
  <si>
    <t>Prewesh</t>
  </si>
  <si>
    <t>Nwankwo</t>
  </si>
  <si>
    <t>Maarten</t>
  </si>
  <si>
    <t>Mustafa</t>
  </si>
  <si>
    <t>Olav</t>
  </si>
  <si>
    <t>Links</t>
  </si>
  <si>
    <t>Rechts</t>
  </si>
  <si>
    <t>Mass passengers [kg]</t>
  </si>
  <si>
    <t>Total fuel[kg]</t>
  </si>
  <si>
    <t>Fuel left</t>
  </si>
  <si>
    <t>Tdiff</t>
  </si>
  <si>
    <t>Mach</t>
  </si>
  <si>
    <t>Heigth</t>
  </si>
  <si>
    <t>Ff left</t>
  </si>
  <si>
    <t>Ff right</t>
  </si>
  <si>
    <t>Empty weight</t>
  </si>
  <si>
    <t>Total weight</t>
  </si>
  <si>
    <t>Lift[N]</t>
  </si>
  <si>
    <t>Rho</t>
  </si>
  <si>
    <t>Veq</t>
  </si>
  <si>
    <t>Surface area</t>
  </si>
  <si>
    <t>kg</t>
  </si>
  <si>
    <t>?kg?</t>
  </si>
  <si>
    <t>m^2</t>
  </si>
  <si>
    <t>CL</t>
  </si>
  <si>
    <t>cl 0 lift</t>
  </si>
  <si>
    <t>right kg/s</t>
  </si>
  <si>
    <t>left kg/s</t>
  </si>
  <si>
    <t>Thrust left</t>
  </si>
  <si>
    <t>Thrust Right</t>
  </si>
  <si>
    <t>CD</t>
  </si>
  <si>
    <t>T left</t>
  </si>
  <si>
    <t>T right</t>
  </si>
  <si>
    <t>CL^2</t>
  </si>
  <si>
    <t>CD_0</t>
  </si>
  <si>
    <t>e</t>
  </si>
  <si>
    <t>SAT</t>
  </si>
  <si>
    <t>Dynamic viscosity air</t>
  </si>
  <si>
    <t>k</t>
  </si>
  <si>
    <t>C*</t>
  </si>
  <si>
    <t>Reynolds</t>
  </si>
  <si>
    <t>Chord</t>
  </si>
  <si>
    <t>Tc</t>
  </si>
  <si>
    <t>Tcs</t>
  </si>
  <si>
    <t>Stand rho</t>
  </si>
  <si>
    <t>stand mass</t>
  </si>
  <si>
    <t>Stand ff</t>
  </si>
  <si>
    <t>T R Stand</t>
  </si>
  <si>
    <t>T left s</t>
  </si>
  <si>
    <t>N</t>
  </si>
  <si>
    <t>Reduc eq speed</t>
  </si>
  <si>
    <t>m/s</t>
  </si>
  <si>
    <t>mach eq</t>
  </si>
  <si>
    <t>319.3749  319.2645  319.4762  319.6672  319.3747  319.3447</t>
  </si>
  <si>
    <t>Sos</t>
  </si>
  <si>
    <t>Cmd</t>
  </si>
  <si>
    <t>Cmtc</t>
  </si>
  <si>
    <t>Delta e eq</t>
  </si>
  <si>
    <t>Lift</t>
  </si>
  <si>
    <t>error</t>
  </si>
  <si>
    <t>Delta e eq meas</t>
  </si>
  <si>
    <t>Fn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</si>
</sst>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0" fontId="0" fillId="0" borderId="0" xfId="0" quotePrefix="1" applyProtection="1">
      <protection locked="0"/>
    </xf>
    <xf numFmtId="11" fontId="0" fillId="0" borderId="0" xfId="0" applyNumberFormat="1"/>
  </cellXfs>
  <cellStyles count="1">
    <cellStyle name="Standaard" xfId="0" builtinId="0"/>
  </cellStyles>
  <dxfs count="35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CL-a curve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67896704604165E-2"/>
          <c:y val="0.19367378453129772"/>
          <c:w val="0.87598679496810561"/>
          <c:h val="0.70724943974237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Sheet1!$T$28:$T$33</c:f>
              <c:strCache>
                <c:ptCount val="6"/>
                <c:pt idx="0">
                  <c:v>0.558462836</c:v>
                </c:pt>
                <c:pt idx="1">
                  <c:v>0.698530693</c:v>
                </c:pt>
                <c:pt idx="2">
                  <c:v>0.940634739</c:v>
                </c:pt>
                <c:pt idx="3">
                  <c:v>1.338139061</c:v>
                </c:pt>
                <c:pt idx="4">
                  <c:v>1.954403463</c:v>
                </c:pt>
                <c:pt idx="5">
                  <c:v>2.451309848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Sheet1!$F$28:$F$33</c:f>
              <c:numCache>
                <c:formatCode>General</c:formatCode>
                <c:ptCount val="6"/>
                <c:pt idx="0">
                  <c:v>1.6</c:v>
                </c:pt>
                <c:pt idx="1">
                  <c:v>2.4</c:v>
                </c:pt>
                <c:pt idx="2">
                  <c:v>3.6</c:v>
                </c:pt>
                <c:pt idx="3">
                  <c:v>5.7</c:v>
                </c:pt>
                <c:pt idx="4">
                  <c:v>8.6999999999999993</c:v>
                </c:pt>
                <c:pt idx="5">
                  <c:v>11</c:v>
                </c:pt>
              </c:numCache>
            </c:numRef>
          </c:xVal>
          <c:yVal>
            <c:numRef>
              <c:f>Sheet1!$T$28:$T$33</c:f>
              <c:numCache>
                <c:formatCode>General</c:formatCode>
                <c:ptCount val="6"/>
                <c:pt idx="0">
                  <c:v>0.55846283604742353</c:v>
                </c:pt>
                <c:pt idx="1">
                  <c:v>0.69853069259351774</c:v>
                </c:pt>
                <c:pt idx="2">
                  <c:v>0.94063473949946041</c:v>
                </c:pt>
                <c:pt idx="3">
                  <c:v>1.3381390611466588</c:v>
                </c:pt>
                <c:pt idx="4">
                  <c:v>1.9544034633976712</c:v>
                </c:pt>
                <c:pt idx="5">
                  <c:v>2.4513098483749083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7-450F-BF67-48A149630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99000"/>
        <c:axId val="433300640"/>
      </c:scatterChart>
      <c:valAx>
        <c:axId val="43329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0640"/>
        <c:crosses val="autoZero"/>
        <c:crossBetween val="midCat"/>
      </c:valAx>
      <c:valAx>
        <c:axId val="43330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CL^2-CD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0956378359579E-2"/>
          <c:y val="0.1274742522842976"/>
          <c:w val="0.85261897798480091"/>
          <c:h val="0.78850674290334688"/>
        </c:manualLayout>
      </c:layout>
      <c:scatterChart>
        <c:scatterStyle val="lineMarker"/>
        <c:varyColors val="0"/>
        <c:ser>
          <c:idx val="0"/>
          <c:order val="0"/>
          <c:tx>
            <c:v>CL-CD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.000000000000001E-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Sheet1!$X$28:$X$33</c:f>
              <c:numCache>
                <c:formatCode>General</c:formatCode>
                <c:ptCount val="6"/>
                <c:pt idx="0">
                  <c:v>3.5938460716232995E-2</c:v>
                </c:pt>
                <c:pt idx="1">
                  <c:v>3.7214630689951532E-2</c:v>
                </c:pt>
                <c:pt idx="2">
                  <c:v>4.184090134814298E-2</c:v>
                </c:pt>
                <c:pt idx="3">
                  <c:v>5.1722892037017999E-2</c:v>
                </c:pt>
                <c:pt idx="4">
                  <c:v>8.3588699072134801E-2</c:v>
                </c:pt>
                <c:pt idx="5">
                  <c:v>0.10283936201806837</c:v>
                </c:pt>
              </c:numCache>
            </c:numRef>
          </c:xVal>
          <c:yVal>
            <c:numRef>
              <c:f>Sheet1!$W$28:$W$33</c:f>
              <c:numCache>
                <c:formatCode>General</c:formatCode>
                <c:ptCount val="6"/>
                <c:pt idx="0">
                  <c:v>0.31188073924613147</c:v>
                </c:pt>
                <c:pt idx="1">
                  <c:v>0.48794512849517957</c:v>
                </c:pt>
                <c:pt idx="2">
                  <c:v>0.88479371315321775</c:v>
                </c:pt>
                <c:pt idx="3">
                  <c:v>1.7906161469664614</c:v>
                </c:pt>
                <c:pt idx="4">
                  <c:v>3.8196928977408127</c:v>
                </c:pt>
                <c:pt idx="5">
                  <c:v>6.0089199727398155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A-412F-B51B-DF0E22E2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57144"/>
        <c:axId val="424357800"/>
      </c:scatterChart>
      <c:valAx>
        <c:axId val="42435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57800"/>
        <c:crosses val="autoZero"/>
        <c:crossBetween val="midCat"/>
      </c:valAx>
      <c:valAx>
        <c:axId val="4243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CL^2</a:t>
                </a:r>
              </a:p>
            </c:rich>
          </c:tx>
          <c:layout>
            <c:manualLayout>
              <c:xMode val="edge"/>
              <c:yMode val="edge"/>
              <c:x val="0"/>
              <c:y val="0.4533938644428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5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Cl-Cd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Sheet1!$X$28:$X$33</c:f>
              <c:numCache>
                <c:formatCode>General</c:formatCode>
                <c:ptCount val="6"/>
                <c:pt idx="0">
                  <c:v>3.5938460716232995E-2</c:v>
                </c:pt>
                <c:pt idx="1">
                  <c:v>3.7214630689951532E-2</c:v>
                </c:pt>
                <c:pt idx="2">
                  <c:v>4.184090134814298E-2</c:v>
                </c:pt>
                <c:pt idx="3">
                  <c:v>5.1722892037017999E-2</c:v>
                </c:pt>
                <c:pt idx="4">
                  <c:v>8.3588699072134801E-2</c:v>
                </c:pt>
                <c:pt idx="5">
                  <c:v>0.10283936201806837</c:v>
                </c:pt>
              </c:numCache>
            </c:numRef>
          </c:xVal>
          <c:yVal>
            <c:numRef>
              <c:f>Sheet1!$T$28:$T$33</c:f>
              <c:numCache>
                <c:formatCode>General</c:formatCode>
                <c:ptCount val="6"/>
                <c:pt idx="0">
                  <c:v>0.55846283604742353</c:v>
                </c:pt>
                <c:pt idx="1">
                  <c:v>0.69853069259351774</c:v>
                </c:pt>
                <c:pt idx="2">
                  <c:v>0.94063473949946041</c:v>
                </c:pt>
                <c:pt idx="3">
                  <c:v>1.3381390611466588</c:v>
                </c:pt>
                <c:pt idx="4">
                  <c:v>1.9544034633976712</c:v>
                </c:pt>
                <c:pt idx="5">
                  <c:v>2.4513098483749083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D-468B-9ECC-C42E87F0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0888"/>
        <c:axId val="586937384"/>
      </c:scatterChart>
      <c:valAx>
        <c:axId val="910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37384"/>
        <c:crosses val="autoZero"/>
        <c:crossBetween val="midCat"/>
      </c:valAx>
      <c:valAx>
        <c:axId val="5869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Detla e eq - Veq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Sheet1!$S$59:$S$65</c:f>
              <c:numCache>
                <c:formatCode>General</c:formatCode>
                <c:ptCount val="7"/>
                <c:pt idx="0">
                  <c:v>76.846400000000003</c:v>
                </c:pt>
                <c:pt idx="1">
                  <c:v>71.758399999999995</c:v>
                </c:pt>
                <c:pt idx="2">
                  <c:v>67.174400000000006</c:v>
                </c:pt>
                <c:pt idx="3">
                  <c:v>62.074100000000001</c:v>
                </c:pt>
                <c:pt idx="4">
                  <c:v>81.945999999999998</c:v>
                </c:pt>
                <c:pt idx="5">
                  <c:v>86.024000000000001</c:v>
                </c:pt>
                <c:pt idx="6">
                  <c:v>92.157700000000006</c:v>
                </c:pt>
              </c:numCache>
            </c:numRef>
          </c:xVal>
          <c:yVal>
            <c:numRef>
              <c:f>Sheet1!$AL$59:$AL$65</c:f>
              <c:numCache>
                <c:formatCode>General</c:formatCode>
                <c:ptCount val="7"/>
                <c:pt idx="0">
                  <c:v>-0.70111417021674005</c:v>
                </c:pt>
                <c:pt idx="1">
                  <c:v>-1.1012729746434327</c:v>
                </c:pt>
                <c:pt idx="2">
                  <c:v>-1.7014633330205693</c:v>
                </c:pt>
                <c:pt idx="3">
                  <c:v>-2.4017697692293418</c:v>
                </c:pt>
                <c:pt idx="4">
                  <c:v>-0.30069739187481132</c:v>
                </c:pt>
                <c:pt idx="5">
                  <c:v>9.9505016275959701E-2</c:v>
                </c:pt>
                <c:pt idx="6">
                  <c:v>0.39985935349933394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D-4B0A-AE8D-BF66A426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78696"/>
        <c:axId val="592879024"/>
      </c:scatterChart>
      <c:valAx>
        <c:axId val="592878696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79024"/>
        <c:crosses val="autoZero"/>
        <c:crossBetween val="midCat"/>
      </c:valAx>
      <c:valAx>
        <c:axId val="5928790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7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e eq - AOA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Sheet1!$F$59:$F$65</c:f>
              <c:numCache>
                <c:formatCode>General</c:formatCode>
                <c:ptCount val="7"/>
                <c:pt idx="0">
                  <c:v>6.4</c:v>
                </c:pt>
                <c:pt idx="1">
                  <c:v>7.5</c:v>
                </c:pt>
                <c:pt idx="2">
                  <c:v>8.6999999999999993</c:v>
                </c:pt>
                <c:pt idx="3">
                  <c:v>10.199999999999999</c:v>
                </c:pt>
                <c:pt idx="4">
                  <c:v>5.5</c:v>
                </c:pt>
                <c:pt idx="5">
                  <c:v>4.9000000000000004</c:v>
                </c:pt>
                <c:pt idx="6">
                  <c:v>4.0999999999999996</c:v>
                </c:pt>
              </c:numCache>
            </c:numRef>
          </c:xVal>
          <c:yVal>
            <c:numRef>
              <c:f>Sheet1!$AL$59:$AL$65</c:f>
              <c:numCache>
                <c:formatCode>General</c:formatCode>
                <c:ptCount val="7"/>
                <c:pt idx="0">
                  <c:v>-0.70111417021674005</c:v>
                </c:pt>
                <c:pt idx="1">
                  <c:v>-1.1012729746434327</c:v>
                </c:pt>
                <c:pt idx="2">
                  <c:v>-1.7014633330205693</c:v>
                </c:pt>
                <c:pt idx="3">
                  <c:v>-2.4017697692293418</c:v>
                </c:pt>
                <c:pt idx="4">
                  <c:v>-0.30069739187481132</c:v>
                </c:pt>
                <c:pt idx="5">
                  <c:v>9.9505016275959701E-2</c:v>
                </c:pt>
                <c:pt idx="6">
                  <c:v>0.39985935349933394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D-4F86-ACCE-87825A5C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7880"/>
        <c:axId val="505007224"/>
      </c:scatterChart>
      <c:valAx>
        <c:axId val="505007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7224"/>
        <c:crosses val="autoZero"/>
        <c:crossBetween val="midCat"/>
      </c:valAx>
      <c:valAx>
        <c:axId val="5050072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Stick force - Veq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Sheet1!$S$59:$S$65</c:f>
              <c:numCache>
                <c:formatCode>General</c:formatCode>
                <c:ptCount val="7"/>
                <c:pt idx="0">
                  <c:v>76.846400000000003</c:v>
                </c:pt>
                <c:pt idx="1">
                  <c:v>71.758399999999995</c:v>
                </c:pt>
                <c:pt idx="2">
                  <c:v>67.174400000000006</c:v>
                </c:pt>
                <c:pt idx="3">
                  <c:v>62.074100000000001</c:v>
                </c:pt>
                <c:pt idx="4">
                  <c:v>81.945999999999998</c:v>
                </c:pt>
                <c:pt idx="5">
                  <c:v>86.024000000000001</c:v>
                </c:pt>
                <c:pt idx="6">
                  <c:v>92.157700000000006</c:v>
                </c:pt>
              </c:numCache>
            </c:numRef>
          </c:xVal>
          <c:yVal>
            <c:numRef>
              <c:f>Sheet1!$AM$59:$AM$65</c:f>
              <c:numCache>
                <c:formatCode>General</c:formatCode>
                <c:ptCount val="7"/>
                <c:pt idx="0">
                  <c:v>0</c:v>
                </c:pt>
                <c:pt idx="1">
                  <c:v>-8.0748729768186109</c:v>
                </c:pt>
                <c:pt idx="2">
                  <c:v>-17.235266934030047</c:v>
                </c:pt>
                <c:pt idx="3">
                  <c:v>-22.635634805247989</c:v>
                </c:pt>
                <c:pt idx="4">
                  <c:v>9.7094535462391605</c:v>
                </c:pt>
                <c:pt idx="5">
                  <c:v>19.97099831176314</c:v>
                </c:pt>
                <c:pt idx="6">
                  <c:v>39.991212285756241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5FF-9903-1921AAEBB51D}"/>
            </c:ext>
          </c:extLst>
        </c:ser>
        <c:ser>
          <c:idx val="1"/>
          <c:order val="1"/>
          <c:tx>
            <c:v>Veq-Fe (shifted Cg)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Sheet1!$S$75:$S$76</c:f>
              <c:numCache>
                <c:formatCode>General</c:formatCode>
                <c:ptCount val="2"/>
                <c:pt idx="0">
                  <c:v>78.424400000000006</c:v>
                </c:pt>
                <c:pt idx="1">
                  <c:v>77.409899999999993</c:v>
                </c:pt>
              </c:numCache>
            </c:numRef>
          </c:xVal>
          <c:yVal>
            <c:numRef>
              <c:f>Sheet1!$R$75:$R$76</c:f>
              <c:numCache>
                <c:formatCode>General</c:formatCode>
                <c:ptCount val="2"/>
                <c:pt idx="0">
                  <c:v>0</c:v>
                </c:pt>
                <c:pt idx="1">
                  <c:v>-18.947900517800726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14-45FF-9903-1921AAEB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29144"/>
        <c:axId val="587327504"/>
      </c:scatterChart>
      <c:valAx>
        <c:axId val="587329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7504"/>
        <c:crosses val="autoZero"/>
        <c:crossBetween val="midCat"/>
      </c:valAx>
      <c:valAx>
        <c:axId val="587327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wm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213217</xdr:colOff>
      <xdr:row>35</xdr:row>
      <xdr:rowOff>132072</xdr:rowOff>
    </xdr:from>
    <xdr:to>
      <xdr:col>22</xdr:col>
      <xdr:colOff>5218</xdr:colOff>
      <xdr:row>53</xdr:row>
      <xdr:rowOff>142349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7B54547-B35B-49AD-A5B9-2F4218B3D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460059</xdr:colOff>
      <xdr:row>36</xdr:row>
      <xdr:rowOff>91632</xdr:rowOff>
    </xdr:from>
    <xdr:to>
      <xdr:col>30</xdr:col>
      <xdr:colOff>194683</xdr:colOff>
      <xdr:row>52</xdr:row>
      <xdr:rowOff>31593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277D34C-DDEC-445F-A283-14D737AB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279125</xdr:colOff>
      <xdr:row>37</xdr:row>
      <xdr:rowOff>40028</xdr:rowOff>
    </xdr:from>
    <xdr:to>
      <xdr:col>37</xdr:col>
      <xdr:colOff>587469</xdr:colOff>
      <xdr:row>51</xdr:row>
      <xdr:rowOff>155764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37B849C-6730-4BCA-A37B-E9F0DF1AF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279462</xdr:colOff>
      <xdr:row>79</xdr:row>
      <xdr:rowOff>173264</xdr:rowOff>
    </xdr:from>
    <xdr:to>
      <xdr:col>18</xdr:col>
      <xdr:colOff>416292</xdr:colOff>
      <xdr:row>95</xdr:row>
      <xdr:rowOff>91671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D192CA1-A44E-4D64-BFD5-8B57BC0E9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423413</xdr:colOff>
      <xdr:row>80</xdr:row>
      <xdr:rowOff>180562</xdr:rowOff>
    </xdr:from>
    <xdr:to>
      <xdr:col>26</xdr:col>
      <xdr:colOff>426494</xdr:colOff>
      <xdr:row>95</xdr:row>
      <xdr:rowOff>34219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17A4497-659B-495F-BA50-EA620C182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324556</xdr:colOff>
      <xdr:row>67</xdr:row>
      <xdr:rowOff>74789</xdr:rowOff>
    </xdr:from>
    <xdr:to>
      <xdr:col>34</xdr:col>
      <xdr:colOff>575028</xdr:colOff>
      <xdr:row>81</xdr:row>
      <xdr:rowOff>101600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43CE7E47-15DD-448C-BE4A-C59F00CB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4"/>
  <sheetViews>
    <sheetView tabSelected="1" zoomScale="111" zoomScaleNormal="100" workbookViewId="0">
      <selection activeCell="N78" sqref="N78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  <col min="15" max="15" width="15.85546875" bestFit="1" customWidth="1"/>
    <col min="16" max="16" width="11" bestFit="1" customWidth="1"/>
    <col min="20" max="20" width="13.140625" bestFit="1" customWidth="1"/>
    <col min="37" max="37" width="15.28515625" bestFit="1" customWidth="1"/>
    <col min="39" max="39" width="12.85546875" bestFit="1" customWidth="1"/>
  </cols>
  <sheetData>
    <row r="1" spans="1:32" x14ac:dyDescent="0.25">
      <c r="A1" s="1" t="s">
        <v>0</v>
      </c>
    </row>
    <row r="3" spans="1:32" x14ac:dyDescent="0.25">
      <c r="A3" t="s">
        <v>1</v>
      </c>
      <c r="D3" s="6" t="s">
        <v>64</v>
      </c>
      <c r="F3" t="s">
        <v>2</v>
      </c>
      <c r="H3" s="3">
        <v>0.60416666666666663</v>
      </c>
    </row>
    <row r="4" spans="1:32" x14ac:dyDescent="0.25">
      <c r="A4" t="s">
        <v>3</v>
      </c>
      <c r="D4" s="2">
        <v>3</v>
      </c>
      <c r="F4" t="s">
        <v>4</v>
      </c>
      <c r="H4" s="3">
        <v>0.66249999999999998</v>
      </c>
    </row>
    <row r="5" spans="1:32" x14ac:dyDescent="0.25">
      <c r="T5" t="s">
        <v>78</v>
      </c>
      <c r="U5">
        <v>8.6684999999999999</v>
      </c>
      <c r="V5">
        <v>8.8636999999999997</v>
      </c>
      <c r="W5">
        <v>8.5274000000000001</v>
      </c>
      <c r="X5">
        <v>8.2236999999999991</v>
      </c>
      <c r="Y5">
        <v>8.0547000000000004</v>
      </c>
      <c r="Z5">
        <v>7.8646000000000003</v>
      </c>
    </row>
    <row r="6" spans="1:32" x14ac:dyDescent="0.25">
      <c r="A6" s="1" t="s">
        <v>5</v>
      </c>
      <c r="B6" s="1"/>
    </row>
    <row r="7" spans="1:32" x14ac:dyDescent="0.25">
      <c r="D7" t="s">
        <v>6</v>
      </c>
      <c r="H7" t="s">
        <v>7</v>
      </c>
      <c r="T7" t="s">
        <v>79</v>
      </c>
      <c r="U7">
        <v>0.47449999999999998</v>
      </c>
      <c r="V7">
        <v>0.42359999999999998</v>
      </c>
      <c r="W7">
        <v>0.36499999999999999</v>
      </c>
      <c r="X7">
        <v>0.30599999999999999</v>
      </c>
      <c r="Y7">
        <v>0.25600000000000001</v>
      </c>
      <c r="Z7">
        <v>0.22950000000000001</v>
      </c>
    </row>
    <row r="8" spans="1:32" x14ac:dyDescent="0.25">
      <c r="A8" t="s">
        <v>47</v>
      </c>
      <c r="D8" s="2" t="s">
        <v>73</v>
      </c>
      <c r="H8" s="2">
        <v>104</v>
      </c>
    </row>
    <row r="9" spans="1:32" x14ac:dyDescent="0.25">
      <c r="A9" t="s">
        <v>48</v>
      </c>
      <c r="D9" s="2" t="s">
        <v>74</v>
      </c>
      <c r="H9" s="2">
        <v>90</v>
      </c>
      <c r="T9" t="s">
        <v>80</v>
      </c>
      <c r="U9" s="2">
        <v>13000</v>
      </c>
      <c r="V9" s="2">
        <v>12990</v>
      </c>
      <c r="W9" s="2">
        <v>12990</v>
      </c>
      <c r="X9" s="2">
        <v>12990</v>
      </c>
      <c r="Y9" s="2">
        <v>13310</v>
      </c>
      <c r="Z9" s="2">
        <v>13430</v>
      </c>
    </row>
    <row r="10" spans="1:32" x14ac:dyDescent="0.25">
      <c r="A10" t="s">
        <v>49</v>
      </c>
      <c r="D10" s="2" t="s">
        <v>66</v>
      </c>
      <c r="H10" s="2">
        <v>75</v>
      </c>
      <c r="U10">
        <f>U9*0.3048</f>
        <v>3962.4</v>
      </c>
      <c r="V10">
        <f t="shared" ref="V10:Z10" si="0">V9*0.3048</f>
        <v>3959.3520000000003</v>
      </c>
      <c r="W10">
        <f t="shared" si="0"/>
        <v>3959.3520000000003</v>
      </c>
      <c r="X10">
        <f t="shared" si="0"/>
        <v>3959.3520000000003</v>
      </c>
      <c r="Y10">
        <f t="shared" si="0"/>
        <v>4056.8880000000004</v>
      </c>
      <c r="Z10">
        <f t="shared" si="0"/>
        <v>4093.4640000000004</v>
      </c>
    </row>
    <row r="11" spans="1:32" x14ac:dyDescent="0.25">
      <c r="A11" t="s">
        <v>50</v>
      </c>
      <c r="D11" s="2" t="s">
        <v>67</v>
      </c>
      <c r="H11" s="2">
        <v>89</v>
      </c>
      <c r="O11" t="s">
        <v>75</v>
      </c>
      <c r="P11">
        <f>SUM(H8:H16)</f>
        <v>803</v>
      </c>
      <c r="Q11" t="s">
        <v>89</v>
      </c>
      <c r="T11" t="s">
        <v>81</v>
      </c>
      <c r="U11" s="2">
        <v>697</v>
      </c>
      <c r="V11" s="2">
        <v>585</v>
      </c>
      <c r="W11" s="2">
        <v>497</v>
      </c>
      <c r="X11" s="2">
        <v>426</v>
      </c>
      <c r="Y11" s="2">
        <v>432</v>
      </c>
      <c r="Z11" s="2">
        <v>418</v>
      </c>
    </row>
    <row r="12" spans="1:32" x14ac:dyDescent="0.25">
      <c r="A12" t="s">
        <v>51</v>
      </c>
      <c r="D12" s="2" t="s">
        <v>68</v>
      </c>
      <c r="H12" s="2">
        <v>66</v>
      </c>
      <c r="O12" t="s">
        <v>76</v>
      </c>
      <c r="P12">
        <f>0.453592*D18</f>
        <v>1814.3679999999999</v>
      </c>
      <c r="Q12" t="s">
        <v>89</v>
      </c>
      <c r="T12" t="s">
        <v>82</v>
      </c>
      <c r="U12" s="2">
        <v>762</v>
      </c>
      <c r="V12" s="2">
        <v>640</v>
      </c>
      <c r="W12" s="2">
        <v>538</v>
      </c>
      <c r="X12" s="2">
        <v>470</v>
      </c>
      <c r="Y12" s="2">
        <v>478</v>
      </c>
      <c r="Z12" s="2">
        <v>456</v>
      </c>
    </row>
    <row r="13" spans="1:32" x14ac:dyDescent="0.25">
      <c r="A13" t="s">
        <v>52</v>
      </c>
      <c r="D13" s="2" t="s">
        <v>69</v>
      </c>
      <c r="H13" s="2">
        <v>81</v>
      </c>
      <c r="O13" t="s">
        <v>83</v>
      </c>
      <c r="P13">
        <v>9165</v>
      </c>
      <c r="Q13" t="s">
        <v>90</v>
      </c>
      <c r="T13" t="s">
        <v>95</v>
      </c>
      <c r="U13">
        <f>U11/60/60*0.453592</f>
        <v>8.7820451111111114E-2</v>
      </c>
      <c r="V13">
        <f t="shared" ref="V13:Z14" si="1">V11/60/60*0.453592</f>
        <v>7.3708700000000002E-2</v>
      </c>
      <c r="W13">
        <f t="shared" si="1"/>
        <v>6.2620895555555556E-2</v>
      </c>
      <c r="X13">
        <f t="shared" si="1"/>
        <v>5.3675053333333334E-2</v>
      </c>
      <c r="Y13">
        <f t="shared" si="1"/>
        <v>5.4431040000000007E-2</v>
      </c>
      <c r="Z13">
        <f t="shared" si="1"/>
        <v>5.2667071111111109E-2</v>
      </c>
    </row>
    <row r="14" spans="1:32" x14ac:dyDescent="0.25">
      <c r="A14" t="s">
        <v>53</v>
      </c>
      <c r="D14" s="2" t="s">
        <v>70</v>
      </c>
      <c r="H14" s="2">
        <v>78</v>
      </c>
      <c r="T14" t="s">
        <v>94</v>
      </c>
      <c r="U14">
        <f>U12/60/60*0.453592</f>
        <v>9.6010306666666656E-2</v>
      </c>
      <c r="V14">
        <f t="shared" si="1"/>
        <v>8.0638577777777762E-2</v>
      </c>
      <c r="W14">
        <f t="shared" si="1"/>
        <v>6.7786804444444446E-2</v>
      </c>
      <c r="X14">
        <f t="shared" si="1"/>
        <v>5.9218955555555557E-2</v>
      </c>
      <c r="Y14">
        <f t="shared" si="1"/>
        <v>6.0226937777777774E-2</v>
      </c>
      <c r="Z14">
        <f t="shared" si="1"/>
        <v>5.7454986666666659E-2</v>
      </c>
    </row>
    <row r="15" spans="1:32" x14ac:dyDescent="0.25">
      <c r="A15" t="s">
        <v>54</v>
      </c>
      <c r="D15" s="2" t="s">
        <v>71</v>
      </c>
      <c r="H15" s="2">
        <v>133</v>
      </c>
      <c r="O15" t="s">
        <v>88</v>
      </c>
      <c r="P15">
        <v>30</v>
      </c>
      <c r="Q15" t="s">
        <v>91</v>
      </c>
      <c r="AF15" t="s">
        <v>121</v>
      </c>
    </row>
    <row r="16" spans="1:32" x14ac:dyDescent="0.25">
      <c r="A16" t="s">
        <v>55</v>
      </c>
      <c r="D16" s="2" t="s">
        <v>72</v>
      </c>
      <c r="H16" s="2">
        <v>87</v>
      </c>
      <c r="O16" t="s">
        <v>105</v>
      </c>
      <c r="P16" s="10">
        <v>1.63E-5</v>
      </c>
      <c r="T16" t="s">
        <v>96</v>
      </c>
      <c r="U16">
        <v>3296.63</v>
      </c>
      <c r="V16">
        <v>2684.49</v>
      </c>
      <c r="W16">
        <v>2251.84</v>
      </c>
      <c r="X16">
        <v>1923.08</v>
      </c>
      <c r="Y16">
        <v>2131.4</v>
      </c>
      <c r="Z16">
        <v>2116.4899999999998</v>
      </c>
    </row>
    <row r="17" spans="1:37" x14ac:dyDescent="0.25">
      <c r="O17" t="s">
        <v>109</v>
      </c>
      <c r="P17">
        <v>2.0569000000000002</v>
      </c>
      <c r="T17" t="s">
        <v>97</v>
      </c>
      <c r="U17">
        <v>3688.15</v>
      </c>
      <c r="V17">
        <v>3061.1</v>
      </c>
      <c r="W17">
        <v>2540.5700000000002</v>
      </c>
      <c r="X17">
        <v>2239.61</v>
      </c>
      <c r="Y17">
        <v>2479.0100000000002</v>
      </c>
      <c r="Z17">
        <v>2406.91</v>
      </c>
    </row>
    <row r="18" spans="1:37" x14ac:dyDescent="0.25">
      <c r="A18" t="s">
        <v>46</v>
      </c>
      <c r="D18" s="2">
        <v>4000</v>
      </c>
      <c r="O18" t="s">
        <v>112</v>
      </c>
      <c r="P18">
        <v>1.2250000000000001</v>
      </c>
    </row>
    <row r="19" spans="1:37" x14ac:dyDescent="0.25">
      <c r="O19" t="s">
        <v>113</v>
      </c>
      <c r="P19">
        <v>60500</v>
      </c>
    </row>
    <row r="20" spans="1:37" x14ac:dyDescent="0.25">
      <c r="O20" t="s">
        <v>114</v>
      </c>
      <c r="P20">
        <v>4.8000000000000001E-2</v>
      </c>
    </row>
    <row r="21" spans="1:37" x14ac:dyDescent="0.25">
      <c r="A21" s="1" t="s">
        <v>8</v>
      </c>
      <c r="O21" t="s">
        <v>123</v>
      </c>
      <c r="P21">
        <v>-1.1641999999999999</v>
      </c>
      <c r="S21" t="s">
        <v>93</v>
      </c>
      <c r="T21">
        <v>1.079</v>
      </c>
      <c r="V21" t="s">
        <v>102</v>
      </c>
      <c r="W21">
        <v>3.13887512388503E-2</v>
      </c>
    </row>
    <row r="22" spans="1:37" x14ac:dyDescent="0.25">
      <c r="O22" t="s">
        <v>124</v>
      </c>
      <c r="P22">
        <v>-6.4000000000000003E-3</v>
      </c>
    </row>
    <row r="23" spans="1:37" x14ac:dyDescent="0.25">
      <c r="A23" t="s">
        <v>44</v>
      </c>
      <c r="E23" t="s">
        <v>9</v>
      </c>
    </row>
    <row r="25" spans="1:37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  <c r="O25" t="s">
        <v>77</v>
      </c>
      <c r="P25" t="s">
        <v>84</v>
      </c>
      <c r="Q25" t="s">
        <v>85</v>
      </c>
      <c r="R25" t="s">
        <v>86</v>
      </c>
      <c r="S25" t="s">
        <v>87</v>
      </c>
      <c r="T25" t="s">
        <v>92</v>
      </c>
      <c r="U25" t="s">
        <v>99</v>
      </c>
      <c r="V25" t="s">
        <v>100</v>
      </c>
      <c r="W25" t="s">
        <v>101</v>
      </c>
      <c r="X25" t="s">
        <v>98</v>
      </c>
      <c r="Y25" t="s">
        <v>103</v>
      </c>
      <c r="Z25" t="s">
        <v>104</v>
      </c>
      <c r="AA25" t="s">
        <v>104</v>
      </c>
      <c r="AB25" t="s">
        <v>108</v>
      </c>
      <c r="AC25" t="s">
        <v>79</v>
      </c>
      <c r="AD25" t="s">
        <v>110</v>
      </c>
      <c r="AE25" t="s">
        <v>111</v>
      </c>
      <c r="AF25" t="s">
        <v>116</v>
      </c>
      <c r="AG25" t="s">
        <v>115</v>
      </c>
      <c r="AH25" t="s">
        <v>118</v>
      </c>
      <c r="AI25" t="s">
        <v>122</v>
      </c>
      <c r="AJ25" t="s">
        <v>120</v>
      </c>
      <c r="AK25" t="s">
        <v>125</v>
      </c>
    </row>
    <row r="26" spans="1:37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  <c r="U26" t="s">
        <v>117</v>
      </c>
      <c r="V26" t="s">
        <v>117</v>
      </c>
      <c r="Z26" t="s">
        <v>106</v>
      </c>
      <c r="AA26" t="s">
        <v>107</v>
      </c>
      <c r="AF26" t="s">
        <v>117</v>
      </c>
      <c r="AG26" t="s">
        <v>117</v>
      </c>
      <c r="AH26" t="s">
        <v>119</v>
      </c>
    </row>
    <row r="28" spans="1:37" x14ac:dyDescent="0.25">
      <c r="A28">
        <v>1</v>
      </c>
      <c r="B28" s="3">
        <v>1.5439814814814816E-2</v>
      </c>
      <c r="C28" s="2" t="s">
        <v>61</v>
      </c>
      <c r="D28" s="2">
        <v>13000</v>
      </c>
      <c r="E28" s="2">
        <v>248</v>
      </c>
      <c r="F28" s="2">
        <v>1.6</v>
      </c>
      <c r="G28" s="2">
        <v>697</v>
      </c>
      <c r="H28" s="2">
        <v>762</v>
      </c>
      <c r="I28" s="2">
        <v>460</v>
      </c>
      <c r="J28" s="2">
        <v>-8</v>
      </c>
      <c r="O28">
        <f>$P$12-(0.453592*I28)</f>
        <v>1605.71568</v>
      </c>
      <c r="P28">
        <f>$P$11+$P$13+O28</f>
        <v>11573.715679999999</v>
      </c>
      <c r="Q28">
        <f>P28*9.81</f>
        <v>113538.1508208</v>
      </c>
      <c r="R28">
        <v>0.85029999999999994</v>
      </c>
      <c r="S28">
        <v>126.2531</v>
      </c>
      <c r="T28">
        <f>Q28/(0.5*R28*S28*S28*$P$15)</f>
        <v>0.55846283604742353</v>
      </c>
      <c r="U28">
        <v>3447.28</v>
      </c>
      <c r="V28">
        <v>3859.18</v>
      </c>
      <c r="W28">
        <f>T28*T28</f>
        <v>0.31188073924613147</v>
      </c>
      <c r="X28">
        <f>(U28+V28)/(0.5*R28*S28*S28*$P$15)</f>
        <v>3.5938460716232995E-2</v>
      </c>
      <c r="Y28">
        <f>W28/((X28-$W$21)*PI()*$P$15)</f>
        <v>0.72733378622571043</v>
      </c>
      <c r="Z28">
        <v>253.7259</v>
      </c>
      <c r="AA28">
        <f>Z28-273.15</f>
        <v>-19.424099999999981</v>
      </c>
      <c r="AB28" s="10">
        <f>R28*S28*$P$17/$P$16</f>
        <v>13546896.20747957</v>
      </c>
      <c r="AC28">
        <v>0.47449999999999998</v>
      </c>
      <c r="AD28">
        <f>(U28+V28)/(0.5*R28*S28*S28)</f>
        <v>1.0781538214869899</v>
      </c>
      <c r="AE28">
        <f>(AF28+AG28)/(0.5*R28*S28*S28)</f>
        <v>0.51234905598401659</v>
      </c>
      <c r="AF28">
        <v>1736.05</v>
      </c>
      <c r="AG28">
        <v>1736.05</v>
      </c>
      <c r="AH28">
        <f>S28*SQRT($P$19/Q28)</f>
        <v>92.161350372247085</v>
      </c>
      <c r="AI28">
        <v>319.37490000000003</v>
      </c>
      <c r="AJ28">
        <f>AH28/AI28</f>
        <v>0.28856791930814563</v>
      </c>
    </row>
    <row r="29" spans="1:37" x14ac:dyDescent="0.25">
      <c r="A29">
        <v>2</v>
      </c>
      <c r="B29" s="7">
        <v>1.681712962962963E-2</v>
      </c>
      <c r="C29" s="2" t="s">
        <v>61</v>
      </c>
      <c r="D29" s="2">
        <v>12990</v>
      </c>
      <c r="E29" s="2">
        <v>221</v>
      </c>
      <c r="F29" s="2">
        <v>2.4</v>
      </c>
      <c r="G29" s="2">
        <v>585</v>
      </c>
      <c r="H29" s="2">
        <v>640</v>
      </c>
      <c r="I29" s="2">
        <v>497</v>
      </c>
      <c r="J29" s="2">
        <v>-10.5</v>
      </c>
      <c r="O29">
        <f t="shared" ref="O29:O33" si="2">$P$12-(0.453592*I29)</f>
        <v>1588.9327759999999</v>
      </c>
      <c r="P29">
        <f t="shared" ref="P29:P33" si="3">$P$11+$P$13+O29</f>
        <v>11556.932776</v>
      </c>
      <c r="Q29">
        <f t="shared" ref="Q29:Q33" si="4">P29*9.81</f>
        <v>113373.51053256</v>
      </c>
      <c r="R29">
        <v>0.85129999999999995</v>
      </c>
      <c r="S29">
        <v>112.73950000000001</v>
      </c>
      <c r="T29">
        <f t="shared" ref="T29:T33" si="5">Q29/(0.5*R29*S29*S29*$P$15)</f>
        <v>0.69853069259351774</v>
      </c>
      <c r="U29">
        <v>2824.31</v>
      </c>
      <c r="V29">
        <v>3215.73</v>
      </c>
      <c r="W29">
        <f t="shared" ref="W29:W33" si="6">T29*T29</f>
        <v>0.48794512849517957</v>
      </c>
      <c r="X29">
        <f t="shared" ref="X29:X33" si="7">(U29+V29)/(0.5*R29*S29*S29*$P$15)</f>
        <v>3.7214630689951532E-2</v>
      </c>
      <c r="Y29">
        <f t="shared" ref="Y29:Y32" si="8">W29/((X29-$W$21)*PI()*$P$15)</f>
        <v>0.8886655918582782</v>
      </c>
      <c r="Z29">
        <v>253.5505</v>
      </c>
      <c r="AA29">
        <f t="shared" ref="AA29:AA33" si="9">Z29-273.15</f>
        <v>-19.599499999999978</v>
      </c>
      <c r="AB29" s="10">
        <f t="shared" ref="AB29:AB33" si="10">R29*S29*$P$17/$P$16</f>
        <v>12111120.120142026</v>
      </c>
      <c r="AC29">
        <v>0.42359999999999998</v>
      </c>
      <c r="AD29">
        <f>(U29+V29)/(0.5*R29*S29*S29)</f>
        <v>1.1164389206985461</v>
      </c>
      <c r="AE29">
        <f>(AF29+AG29)/(0.5*R29*S29*S29)</f>
        <v>0.67301228081248599</v>
      </c>
      <c r="AF29">
        <v>1820.53</v>
      </c>
      <c r="AG29">
        <v>1820.53</v>
      </c>
      <c r="AH29">
        <f>S29*SQRT($P$19/Q29)</f>
        <v>82.356521401994783</v>
      </c>
      <c r="AI29">
        <v>319.26</v>
      </c>
      <c r="AJ29">
        <f t="shared" ref="AJ29:AJ33" si="11">AH29/AI29</f>
        <v>0.25796066341538176</v>
      </c>
    </row>
    <row r="30" spans="1:37" x14ac:dyDescent="0.25">
      <c r="A30">
        <v>3</v>
      </c>
      <c r="B30" s="7">
        <v>1.8854166666666665E-2</v>
      </c>
      <c r="C30" s="2" t="s">
        <v>61</v>
      </c>
      <c r="D30" s="2">
        <v>12990</v>
      </c>
      <c r="E30" s="2">
        <v>190</v>
      </c>
      <c r="F30" s="2">
        <v>3.6</v>
      </c>
      <c r="G30" s="2">
        <v>497</v>
      </c>
      <c r="H30" s="2">
        <v>538</v>
      </c>
      <c r="I30" s="2">
        <v>545</v>
      </c>
      <c r="J30" s="2">
        <v>-12.5</v>
      </c>
      <c r="O30">
        <f t="shared" si="2"/>
        <v>1567.1603599999999</v>
      </c>
      <c r="P30">
        <f t="shared" si="3"/>
        <v>11535.16036</v>
      </c>
      <c r="Q30">
        <f t="shared" si="4"/>
        <v>113159.92313160001</v>
      </c>
      <c r="R30">
        <v>0.85009999999999997</v>
      </c>
      <c r="S30">
        <v>97.130399999999995</v>
      </c>
      <c r="T30">
        <f t="shared" si="5"/>
        <v>0.94063473949946041</v>
      </c>
      <c r="U30">
        <v>2365.9699999999998</v>
      </c>
      <c r="V30">
        <v>2667.56</v>
      </c>
      <c r="W30">
        <f t="shared" si="6"/>
        <v>0.88479371315321775</v>
      </c>
      <c r="X30">
        <f t="shared" si="7"/>
        <v>4.184090134814298E-2</v>
      </c>
      <c r="Y30">
        <f t="shared" si="8"/>
        <v>0.89818389258027165</v>
      </c>
      <c r="Z30">
        <v>253.88679999999999</v>
      </c>
      <c r="AA30">
        <f t="shared" si="9"/>
        <v>-19.263199999999983</v>
      </c>
      <c r="AB30" s="10">
        <f t="shared" si="10"/>
        <v>10419593.285151901</v>
      </c>
      <c r="AC30">
        <v>0.36499999999999999</v>
      </c>
      <c r="AD30">
        <f>(U30+V30)/(0.5*R30*S30*S30)</f>
        <v>1.2552270404442896</v>
      </c>
      <c r="AE30">
        <f>(AF30+AG30)/(0.5*R30*S30*S30)</f>
        <v>0.95845558104670259</v>
      </c>
      <c r="AF30">
        <v>1921.73</v>
      </c>
      <c r="AG30">
        <v>1921.73</v>
      </c>
      <c r="AH30">
        <f>S30*SQRT($P$19/Q30)</f>
        <v>71.020960696133614</v>
      </c>
      <c r="AI30">
        <v>319.48</v>
      </c>
      <c r="AJ30">
        <f t="shared" si="11"/>
        <v>0.22230174250699139</v>
      </c>
    </row>
    <row r="31" spans="1:37" x14ac:dyDescent="0.25">
      <c r="A31">
        <v>4</v>
      </c>
      <c r="B31" s="7">
        <v>2.0370370370370369E-2</v>
      </c>
      <c r="C31" s="2" t="s">
        <v>61</v>
      </c>
      <c r="D31" s="2">
        <v>12990</v>
      </c>
      <c r="E31" s="2">
        <v>159</v>
      </c>
      <c r="F31" s="2">
        <v>5.7</v>
      </c>
      <c r="G31" s="2">
        <v>426</v>
      </c>
      <c r="H31" s="2">
        <v>470</v>
      </c>
      <c r="I31" s="2">
        <v>577</v>
      </c>
      <c r="J31" s="2">
        <v>-14.2</v>
      </c>
      <c r="O31">
        <f t="shared" si="2"/>
        <v>1552.6454159999998</v>
      </c>
      <c r="P31">
        <f t="shared" si="3"/>
        <v>11520.645415999999</v>
      </c>
      <c r="Q31">
        <f t="shared" si="4"/>
        <v>113017.53153096</v>
      </c>
      <c r="R31">
        <v>0.84909999999999997</v>
      </c>
      <c r="S31">
        <v>81.432400000000001</v>
      </c>
      <c r="T31">
        <f t="shared" si="5"/>
        <v>1.3381390611466588</v>
      </c>
      <c r="U31">
        <v>2020.35</v>
      </c>
      <c r="V31">
        <v>2348.1</v>
      </c>
      <c r="W31">
        <f t="shared" si="6"/>
        <v>1.7906161469664614</v>
      </c>
      <c r="X31">
        <f t="shared" si="7"/>
        <v>5.1722892037017999E-2</v>
      </c>
      <c r="Y31">
        <f t="shared" si="8"/>
        <v>0.93434129263547405</v>
      </c>
      <c r="Z31">
        <v>254.19056</v>
      </c>
      <c r="AA31">
        <f t="shared" si="9"/>
        <v>-18.959439999999972</v>
      </c>
      <c r="AB31" s="10">
        <f t="shared" si="10"/>
        <v>8725325.7394353375</v>
      </c>
      <c r="AC31">
        <v>0.30599999999999999</v>
      </c>
      <c r="AD31">
        <f>(U31+V31)/(0.5*R31*S31*S31)</f>
        <v>1.55168676111054</v>
      </c>
      <c r="AE31">
        <f>(AF31+AG31)/(0.5*R31*S31*S31)</f>
        <v>1.4422238373798266</v>
      </c>
      <c r="AF31">
        <v>2030.14</v>
      </c>
      <c r="AG31">
        <v>2030.14</v>
      </c>
      <c r="AH31">
        <f>S31*SQRT($P$19/Q31)</f>
        <v>59.580207753443389</v>
      </c>
      <c r="AI31">
        <v>319.67</v>
      </c>
      <c r="AJ31">
        <f t="shared" si="11"/>
        <v>0.18638035396954167</v>
      </c>
    </row>
    <row r="32" spans="1:37" x14ac:dyDescent="0.25">
      <c r="A32">
        <v>5</v>
      </c>
      <c r="B32" s="7">
        <v>2.2777777777777775E-2</v>
      </c>
      <c r="C32" s="2" t="s">
        <v>61</v>
      </c>
      <c r="D32" s="2">
        <v>13310</v>
      </c>
      <c r="E32" s="2">
        <v>132</v>
      </c>
      <c r="F32" s="2">
        <v>8.6999999999999993</v>
      </c>
      <c r="G32" s="2">
        <v>432</v>
      </c>
      <c r="H32" s="2">
        <v>478</v>
      </c>
      <c r="I32" s="2">
        <v>622</v>
      </c>
      <c r="J32" s="9">
        <v>-16.100000000000001</v>
      </c>
      <c r="O32">
        <f t="shared" si="2"/>
        <v>1532.233776</v>
      </c>
      <c r="P32">
        <f t="shared" si="3"/>
        <v>11500.233776000001</v>
      </c>
      <c r="Q32">
        <f t="shared" si="4"/>
        <v>112817.29334256002</v>
      </c>
      <c r="R32">
        <v>0.83989999999999998</v>
      </c>
      <c r="S32">
        <v>67.689499999999995</v>
      </c>
      <c r="T32">
        <f t="shared" si="5"/>
        <v>1.9544034633976712</v>
      </c>
      <c r="U32">
        <v>2232.54</v>
      </c>
      <c r="V32">
        <v>2592.59</v>
      </c>
      <c r="W32">
        <f t="shared" si="6"/>
        <v>3.8196928977408127</v>
      </c>
      <c r="X32">
        <f t="shared" si="7"/>
        <v>8.3588699072134801E-2</v>
      </c>
      <c r="Y32">
        <f t="shared" si="8"/>
        <v>0.77640308212571685</v>
      </c>
      <c r="Z32">
        <v>253.72550000000001</v>
      </c>
      <c r="AA32">
        <f t="shared" si="9"/>
        <v>-19.424499999999966</v>
      </c>
      <c r="AB32" s="10">
        <f t="shared" si="10"/>
        <v>7174216.2140334351</v>
      </c>
      <c r="AC32">
        <v>0.25600000000000001</v>
      </c>
      <c r="AD32">
        <f>(U32+V32)/(0.5*R32*S32*S32)</f>
        <v>2.5076609721640439</v>
      </c>
      <c r="AE32">
        <f>(AF32+AG32)/(0.5*R32*S32*S32)</f>
        <v>2.2322934346881378</v>
      </c>
      <c r="AF32">
        <v>2147.64</v>
      </c>
      <c r="AG32">
        <v>2147.64</v>
      </c>
      <c r="AH32">
        <f>S32*SQRT($P$19/Q32)</f>
        <v>49.569113885670426</v>
      </c>
      <c r="AI32">
        <v>319.37</v>
      </c>
      <c r="AJ32">
        <f t="shared" si="11"/>
        <v>0.15520904870736268</v>
      </c>
    </row>
    <row r="33" spans="1:36" x14ac:dyDescent="0.25">
      <c r="A33">
        <v>6</v>
      </c>
      <c r="B33" s="7">
        <v>2.4016203703703706E-2</v>
      </c>
      <c r="C33" s="2" t="s">
        <v>61</v>
      </c>
      <c r="D33" s="2">
        <v>13430</v>
      </c>
      <c r="E33" s="2">
        <v>118</v>
      </c>
      <c r="F33" s="2">
        <v>11</v>
      </c>
      <c r="G33" s="2">
        <v>418</v>
      </c>
      <c r="H33" s="2">
        <v>456</v>
      </c>
      <c r="I33" s="2">
        <v>648</v>
      </c>
      <c r="J33" s="2">
        <v>-16.8</v>
      </c>
      <c r="O33">
        <f t="shared" si="2"/>
        <v>1520.440384</v>
      </c>
      <c r="P33">
        <f t="shared" si="3"/>
        <v>11488.440384</v>
      </c>
      <c r="Q33">
        <f t="shared" si="4"/>
        <v>112701.60016704</v>
      </c>
      <c r="R33">
        <v>0.83609999999999995</v>
      </c>
      <c r="S33">
        <v>60.546799999999998</v>
      </c>
      <c r="T33">
        <f t="shared" si="5"/>
        <v>2.4513098483749083</v>
      </c>
      <c r="U33">
        <v>2214.48</v>
      </c>
      <c r="V33">
        <v>2513.67</v>
      </c>
      <c r="W33">
        <f t="shared" si="6"/>
        <v>6.0089199727398155</v>
      </c>
      <c r="X33">
        <f t="shared" si="7"/>
        <v>0.10283936201806837</v>
      </c>
      <c r="Y33">
        <f>W33/((X33-$W$21)*PI()*$P$15)</f>
        <v>0.89231736988250709</v>
      </c>
      <c r="Z33">
        <v>253.67789999999999</v>
      </c>
      <c r="AA33">
        <f t="shared" si="9"/>
        <v>-19.472099999999983</v>
      </c>
      <c r="AB33" s="10">
        <f t="shared" si="10"/>
        <v>6388148.3357307976</v>
      </c>
      <c r="AC33">
        <v>0.22950000000000001</v>
      </c>
      <c r="AD33">
        <f>(U33+V33)/(0.5*R33*S33*S33)</f>
        <v>3.0851808605420512</v>
      </c>
      <c r="AE33">
        <f>(AF33+AG33)/(0.5*R33*S33*S33)</f>
        <v>2.8814988272693758</v>
      </c>
      <c r="AF33">
        <v>2208</v>
      </c>
      <c r="AG33">
        <v>2208</v>
      </c>
      <c r="AH33">
        <f>S33*SQRT($P$19/Q33)</f>
        <v>44.361256738750569</v>
      </c>
      <c r="AI33">
        <v>319.33999999999997</v>
      </c>
      <c r="AJ33">
        <f t="shared" si="11"/>
        <v>0.13891544040442969</v>
      </c>
    </row>
    <row r="34" spans="1:36" x14ac:dyDescent="0.25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  <c r="Y34">
        <f>AVERAGE(Y28:Y33)</f>
        <v>0.85287416921799297</v>
      </c>
    </row>
    <row r="35" spans="1:36" x14ac:dyDescent="0.25">
      <c r="C35" t="s">
        <v>43</v>
      </c>
    </row>
    <row r="37" spans="1:36" x14ac:dyDescent="0.25">
      <c r="A37" s="1" t="s">
        <v>27</v>
      </c>
    </row>
    <row r="39" spans="1:36" x14ac:dyDescent="0.25">
      <c r="A39" t="s">
        <v>45</v>
      </c>
      <c r="E39" s="2"/>
    </row>
    <row r="41" spans="1:36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36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36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36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36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36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36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39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39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39" x14ac:dyDescent="0.25">
      <c r="C51" t="s">
        <v>43</v>
      </c>
    </row>
    <row r="52" spans="1:39" x14ac:dyDescent="0.25">
      <c r="A52" s="1" t="s">
        <v>28</v>
      </c>
    </row>
    <row r="54" spans="1:39" x14ac:dyDescent="0.25">
      <c r="A54" t="s">
        <v>44</v>
      </c>
      <c r="E54" t="s">
        <v>9</v>
      </c>
    </row>
    <row r="56" spans="1:39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  <c r="O56" t="s">
        <v>77</v>
      </c>
      <c r="P56" t="s">
        <v>84</v>
      </c>
      <c r="Q56" t="s">
        <v>126</v>
      </c>
      <c r="R56" t="s">
        <v>86</v>
      </c>
      <c r="S56" t="s">
        <v>87</v>
      </c>
      <c r="T56" t="s">
        <v>92</v>
      </c>
      <c r="U56" t="s">
        <v>99</v>
      </c>
      <c r="V56" t="s">
        <v>100</v>
      </c>
      <c r="W56" t="s">
        <v>101</v>
      </c>
      <c r="X56" t="s">
        <v>98</v>
      </c>
      <c r="Y56" t="s">
        <v>103</v>
      </c>
      <c r="Z56" t="s">
        <v>104</v>
      </c>
      <c r="AA56" t="s">
        <v>104</v>
      </c>
      <c r="AB56" t="s">
        <v>108</v>
      </c>
      <c r="AC56" t="s">
        <v>79</v>
      </c>
      <c r="AD56" t="s">
        <v>110</v>
      </c>
      <c r="AE56" t="s">
        <v>111</v>
      </c>
      <c r="AF56" t="s">
        <v>116</v>
      </c>
      <c r="AG56" t="s">
        <v>115</v>
      </c>
      <c r="AH56" t="s">
        <v>118</v>
      </c>
      <c r="AI56" t="s">
        <v>122</v>
      </c>
      <c r="AJ56" t="s">
        <v>120</v>
      </c>
      <c r="AK56" t="s">
        <v>128</v>
      </c>
      <c r="AL56" t="s">
        <v>125</v>
      </c>
      <c r="AM56" t="s">
        <v>129</v>
      </c>
    </row>
    <row r="57" spans="1:39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  <c r="Q57" t="s">
        <v>117</v>
      </c>
    </row>
    <row r="58" spans="1:39" x14ac:dyDescent="0.25">
      <c r="Y58" t="s">
        <v>127</v>
      </c>
    </row>
    <row r="59" spans="1:39" x14ac:dyDescent="0.25">
      <c r="A59">
        <v>1</v>
      </c>
      <c r="B59" s="4">
        <v>2.6446759259259264E-2</v>
      </c>
      <c r="C59" s="2" t="s">
        <v>61</v>
      </c>
      <c r="D59" s="2">
        <v>13420</v>
      </c>
      <c r="E59" s="2">
        <v>150</v>
      </c>
      <c r="F59" s="2">
        <v>6.4</v>
      </c>
      <c r="G59" s="2">
        <v>-0.7</v>
      </c>
      <c r="H59" s="2">
        <v>2.1</v>
      </c>
      <c r="I59" s="2">
        <v>0</v>
      </c>
      <c r="J59" s="2">
        <v>375</v>
      </c>
      <c r="K59" s="2">
        <v>410</v>
      </c>
      <c r="L59" s="2">
        <v>703</v>
      </c>
      <c r="M59" s="2">
        <v>-15.2</v>
      </c>
      <c r="O59">
        <f>$P$12-(0.453592*L59)</f>
        <v>1495.4928239999999</v>
      </c>
      <c r="P59">
        <f>$P$11+$P$13+O59</f>
        <v>11463.492824000001</v>
      </c>
      <c r="Q59">
        <f>P59*9.81</f>
        <v>112456.86460344002</v>
      </c>
      <c r="R59">
        <v>0.83650000000000002</v>
      </c>
      <c r="S59">
        <v>76.846400000000003</v>
      </c>
      <c r="T59">
        <f>Q59/(0.5*R59*S59*S59*$P$15)</f>
        <v>1.5176852465888848</v>
      </c>
      <c r="U59">
        <v>1700.84</v>
      </c>
      <c r="V59">
        <v>1963.65</v>
      </c>
      <c r="W59">
        <f>T59*T59</f>
        <v>2.3033685077135639</v>
      </c>
      <c r="X59">
        <f>(U59+V59)/(0.5*R59*S59*S59*$P$15)</f>
        <v>4.9454894806860696E-2</v>
      </c>
      <c r="Y59">
        <f>W59/((X59-$W$21)*PI()*$P$15)</f>
        <v>1.3527789605817855</v>
      </c>
      <c r="Z59">
        <v>253.7259</v>
      </c>
      <c r="AA59">
        <f>Z59-273.15</f>
        <v>-19.424099999999981</v>
      </c>
      <c r="AB59" s="10">
        <f>R59*S59*$P$17/$P$16</f>
        <v>8111759.1272294475</v>
      </c>
      <c r="AC59">
        <v>0.47449999999999998</v>
      </c>
      <c r="AD59">
        <f>(U59+V59)/(0.5*R59*S59*S59)</f>
        <v>1.4836468442058208</v>
      </c>
      <c r="AE59">
        <f>(AF59+AG59)/(0.5*R59*S59*S59)</f>
        <v>1.6863213701947013</v>
      </c>
      <c r="AF59">
        <v>2082.54</v>
      </c>
      <c r="AG59">
        <v>2082.54</v>
      </c>
      <c r="AH59">
        <f>S59*SQRT($P$19/Q59)</f>
        <v>56.36483356689002</v>
      </c>
      <c r="AI59">
        <v>319.32569999999998</v>
      </c>
      <c r="AJ59">
        <f>AH59/AI59</f>
        <v>0.17651204887952965</v>
      </c>
      <c r="AL59">
        <f>G59-((1/$P$21)*$P$22*(AE59-AD59))</f>
        <v>-0.70111417021674005</v>
      </c>
      <c r="AM59">
        <f>I59*($P$19/Q59)</f>
        <v>0</v>
      </c>
    </row>
    <row r="60" spans="1:39" x14ac:dyDescent="0.25">
      <c r="A60">
        <v>2</v>
      </c>
      <c r="B60" s="4">
        <v>2.7199074074074073E-2</v>
      </c>
      <c r="C60" s="2" t="s">
        <v>61</v>
      </c>
      <c r="D60" s="2">
        <v>13520</v>
      </c>
      <c r="E60" s="2">
        <v>140</v>
      </c>
      <c r="F60" s="2">
        <v>7.5</v>
      </c>
      <c r="G60" s="2">
        <v>-1.1000000000000001</v>
      </c>
      <c r="H60" s="2">
        <v>2.1</v>
      </c>
      <c r="I60" s="2">
        <v>-15</v>
      </c>
      <c r="J60" s="2">
        <v>373</v>
      </c>
      <c r="K60" s="2">
        <v>408</v>
      </c>
      <c r="L60" s="2">
        <v>719</v>
      </c>
      <c r="M60" s="2">
        <v>-16</v>
      </c>
      <c r="O60">
        <f t="shared" ref="O60:O65" si="12">$P$12-(0.453592*L60)</f>
        <v>1488.2353519999999</v>
      </c>
      <c r="P60">
        <f t="shared" ref="P60:P65" si="13">$P$11+$P$13+O60</f>
        <v>11456.235352</v>
      </c>
      <c r="Q60">
        <f t="shared" ref="Q60:Q65" si="14">P60*9.81</f>
        <v>112385.66880312</v>
      </c>
      <c r="R60">
        <v>0.83409999999999995</v>
      </c>
      <c r="S60">
        <v>71.758399999999995</v>
      </c>
      <c r="T60">
        <f t="shared" ref="T60:T64" si="15">Q60/(0.5*R60*S60*S60*$P$15)</f>
        <v>1.7444400977470544</v>
      </c>
      <c r="U60">
        <v>1743.31</v>
      </c>
      <c r="V60">
        <v>2010.81</v>
      </c>
      <c r="W60">
        <f t="shared" ref="W60:W64" si="16">T60*T60</f>
        <v>3.043071254627753</v>
      </c>
      <c r="X60">
        <f t="shared" ref="X60:X65" si="17">(U60+V60)/(0.5*R60*S60*S60*$P$15)</f>
        <v>5.8271108135918889E-2</v>
      </c>
      <c r="Y60">
        <f t="shared" ref="Y60:Y65" si="18">W60/((X60-$W$21)*PI()*$P$15)</f>
        <v>1.2010847466718357</v>
      </c>
      <c r="AD60">
        <f t="shared" ref="AD60:AD65" si="19">(U60+V60)/(0.5*R60*S60*S60)</f>
        <v>1.7481332440775665</v>
      </c>
      <c r="AE60">
        <f t="shared" ref="AE60:AE65" si="20">(AF60+AG60)/(0.5*R60*S60*S60)</f>
        <v>1.9796952878094911</v>
      </c>
      <c r="AF60">
        <v>2125.6999999999998</v>
      </c>
      <c r="AG60">
        <v>2125.6999999999998</v>
      </c>
      <c r="AH60">
        <f t="shared" ref="AH60:AH65" si="21">S60*SQRT($P$19/Q60)</f>
        <v>52.649586757398552</v>
      </c>
      <c r="AI60">
        <v>319.1619</v>
      </c>
      <c r="AJ60">
        <f t="shared" ref="AJ60:AJ65" si="22">AH60/AI60</f>
        <v>0.16496200441656272</v>
      </c>
      <c r="AL60">
        <f t="shared" ref="AL60:AL65" si="23">G60-((1/$P$21)*$P$22*(AE60-AD60))</f>
        <v>-1.1012729746434327</v>
      </c>
      <c r="AM60">
        <f t="shared" ref="AM60:AM65" si="24">I60*($P$19/Q60)</f>
        <v>-8.0748729768186109</v>
      </c>
    </row>
    <row r="61" spans="1:39" x14ac:dyDescent="0.25">
      <c r="A61">
        <v>3</v>
      </c>
      <c r="B61" s="4">
        <v>2.7881944444444445E-2</v>
      </c>
      <c r="C61" s="2" t="s">
        <v>61</v>
      </c>
      <c r="D61" s="2">
        <v>13570</v>
      </c>
      <c r="E61" s="2">
        <v>131</v>
      </c>
      <c r="F61" s="2">
        <v>8.6999999999999993</v>
      </c>
      <c r="G61" s="2">
        <v>-1.7</v>
      </c>
      <c r="H61" s="2">
        <v>2.1</v>
      </c>
      <c r="I61" s="2">
        <v>-32</v>
      </c>
      <c r="J61" s="2">
        <v>371</v>
      </c>
      <c r="K61" s="2">
        <v>406</v>
      </c>
      <c r="L61" s="2">
        <v>732</v>
      </c>
      <c r="M61" s="2">
        <v>-16.5</v>
      </c>
      <c r="O61">
        <f t="shared" si="12"/>
        <v>1482.3386559999999</v>
      </c>
      <c r="P61">
        <f t="shared" si="13"/>
        <v>11450.338656</v>
      </c>
      <c r="Q61">
        <f t="shared" si="14"/>
        <v>112327.82221536001</v>
      </c>
      <c r="R61">
        <v>0.83250000000000002</v>
      </c>
      <c r="S61">
        <v>67.174400000000006</v>
      </c>
      <c r="T61">
        <f t="shared" si="15"/>
        <v>1.9934449445101745</v>
      </c>
      <c r="U61">
        <v>1776.86</v>
      </c>
      <c r="V61">
        <v>2048.46</v>
      </c>
      <c r="W61">
        <f t="shared" si="16"/>
        <v>3.9738227467931728</v>
      </c>
      <c r="X61">
        <f t="shared" si="17"/>
        <v>6.7886696855152959E-2</v>
      </c>
      <c r="Y61">
        <f t="shared" si="18"/>
        <v>1.1552312921427308</v>
      </c>
      <c r="AD61">
        <f t="shared" si="19"/>
        <v>2.0366009056545886</v>
      </c>
      <c r="AE61">
        <f t="shared" si="20"/>
        <v>2.3027903279275441</v>
      </c>
      <c r="AF61">
        <v>2162.65</v>
      </c>
      <c r="AG61">
        <v>2162.65</v>
      </c>
      <c r="AH61">
        <f t="shared" si="21"/>
        <v>49.298966386810186</v>
      </c>
      <c r="AI61">
        <v>319.13619999999997</v>
      </c>
      <c r="AJ61">
        <f t="shared" si="22"/>
        <v>0.15447625931126019</v>
      </c>
      <c r="AL61">
        <f t="shared" si="23"/>
        <v>-1.7014633330205693</v>
      </c>
      <c r="AM61">
        <f>I61*($P$19/Q61)</f>
        <v>-17.235266934030047</v>
      </c>
    </row>
    <row r="62" spans="1:39" x14ac:dyDescent="0.25">
      <c r="A62">
        <v>4</v>
      </c>
      <c r="B62" s="4">
        <v>2.8715277777777781E-2</v>
      </c>
      <c r="C62" s="2" t="s">
        <v>61</v>
      </c>
      <c r="D62" s="2">
        <v>13660</v>
      </c>
      <c r="E62" s="2">
        <v>121</v>
      </c>
      <c r="F62" s="2">
        <v>10.199999999999999</v>
      </c>
      <c r="G62" s="2">
        <v>-2.4</v>
      </c>
      <c r="H62" s="2">
        <v>2.1</v>
      </c>
      <c r="I62" s="2">
        <v>-42</v>
      </c>
      <c r="J62" s="2">
        <v>368</v>
      </c>
      <c r="K62" s="2">
        <v>403</v>
      </c>
      <c r="L62" s="2">
        <v>748</v>
      </c>
      <c r="M62" s="2">
        <v>-17.5</v>
      </c>
      <c r="O62">
        <f t="shared" si="12"/>
        <v>1475.0811839999999</v>
      </c>
      <c r="P62">
        <f t="shared" si="13"/>
        <v>11443.081184000001</v>
      </c>
      <c r="Q62">
        <f t="shared" si="14"/>
        <v>112256.62641504001</v>
      </c>
      <c r="R62">
        <v>0.83130000000000004</v>
      </c>
      <c r="S62">
        <v>62.074100000000001</v>
      </c>
      <c r="T62">
        <f t="shared" si="15"/>
        <v>2.336372489692792</v>
      </c>
      <c r="U62">
        <v>1812.45</v>
      </c>
      <c r="V62">
        <v>2089.0300000000002</v>
      </c>
      <c r="W62">
        <f t="shared" si="16"/>
        <v>5.4586364105932956</v>
      </c>
      <c r="X62">
        <f t="shared" si="17"/>
        <v>8.1200645629462609E-2</v>
      </c>
      <c r="Y62">
        <f t="shared" si="18"/>
        <v>1.162732954870386</v>
      </c>
      <c r="AD62">
        <f t="shared" si="19"/>
        <v>2.436019368883878</v>
      </c>
      <c r="AE62">
        <f t="shared" si="20"/>
        <v>2.7579514527588502</v>
      </c>
      <c r="AF62">
        <v>2208.54</v>
      </c>
      <c r="AG62">
        <v>2208.54</v>
      </c>
      <c r="AH62">
        <f t="shared" si="21"/>
        <v>45.570324968847601</v>
      </c>
      <c r="AI62">
        <v>318.80739999999997</v>
      </c>
      <c r="AJ62">
        <f t="shared" si="22"/>
        <v>0.1429399849841867</v>
      </c>
      <c r="AL62">
        <f t="shared" si="23"/>
        <v>-2.4017697692293418</v>
      </c>
      <c r="AM62">
        <f t="shared" si="24"/>
        <v>-22.635634805247989</v>
      </c>
    </row>
    <row r="63" spans="1:39" x14ac:dyDescent="0.25">
      <c r="A63">
        <v>5</v>
      </c>
      <c r="B63" s="4">
        <v>2.988425925925926E-2</v>
      </c>
      <c r="C63" s="2" t="s">
        <v>61</v>
      </c>
      <c r="D63" s="2">
        <v>12830</v>
      </c>
      <c r="E63" s="2">
        <v>160</v>
      </c>
      <c r="F63" s="2">
        <v>5.5</v>
      </c>
      <c r="G63" s="2">
        <v>-0.3</v>
      </c>
      <c r="H63" s="2">
        <v>2.1</v>
      </c>
      <c r="I63" s="2">
        <v>18</v>
      </c>
      <c r="J63" s="2">
        <v>385</v>
      </c>
      <c r="K63" s="2">
        <v>420</v>
      </c>
      <c r="L63" s="2">
        <v>770</v>
      </c>
      <c r="M63" s="2">
        <v>-13.5</v>
      </c>
      <c r="O63">
        <f t="shared" si="12"/>
        <v>1465.1021599999999</v>
      </c>
      <c r="P63">
        <f t="shared" si="13"/>
        <v>11433.10216</v>
      </c>
      <c r="Q63">
        <f t="shared" si="14"/>
        <v>112158.73218960001</v>
      </c>
      <c r="R63">
        <v>0.85229999999999995</v>
      </c>
      <c r="S63">
        <v>81.945999999999998</v>
      </c>
      <c r="T63">
        <f t="shared" si="15"/>
        <v>1.3064531046683694</v>
      </c>
      <c r="U63">
        <v>1703.78</v>
      </c>
      <c r="V63">
        <v>1961.91</v>
      </c>
      <c r="W63">
        <f t="shared" si="16"/>
        <v>1.7068197146976214</v>
      </c>
      <c r="X63">
        <f t="shared" si="17"/>
        <v>4.269887852473303E-2</v>
      </c>
      <c r="Y63">
        <f t="shared" si="18"/>
        <v>1.6012127166767685</v>
      </c>
      <c r="AD63">
        <f t="shared" si="19"/>
        <v>1.280966355741991</v>
      </c>
      <c r="AE63">
        <f t="shared" si="20"/>
        <v>1.4078262964693888</v>
      </c>
      <c r="AF63">
        <v>2014.36</v>
      </c>
      <c r="AG63">
        <v>2014.36</v>
      </c>
      <c r="AH63">
        <f t="shared" si="21"/>
        <v>60.185088148086592</v>
      </c>
      <c r="AI63">
        <v>320.0806</v>
      </c>
      <c r="AJ63">
        <f t="shared" si="22"/>
        <v>0.1880310401445342</v>
      </c>
      <c r="AL63">
        <f t="shared" si="23"/>
        <v>-0.30069739187481132</v>
      </c>
      <c r="AM63">
        <f t="shared" si="24"/>
        <v>9.7094535462391605</v>
      </c>
    </row>
    <row r="64" spans="1:39" x14ac:dyDescent="0.25">
      <c r="A64">
        <v>6</v>
      </c>
      <c r="B64" s="4">
        <v>3.0763888888888886E-2</v>
      </c>
      <c r="C64" s="2" t="s">
        <v>61</v>
      </c>
      <c r="D64" s="2">
        <v>12390</v>
      </c>
      <c r="E64" s="2">
        <v>168</v>
      </c>
      <c r="F64" s="2">
        <v>4.9000000000000004</v>
      </c>
      <c r="G64" s="2">
        <v>0.1</v>
      </c>
      <c r="H64" s="2">
        <v>2.1</v>
      </c>
      <c r="I64" s="2">
        <v>37</v>
      </c>
      <c r="J64" s="2">
        <v>390</v>
      </c>
      <c r="K64" s="2">
        <v>427</v>
      </c>
      <c r="L64" s="2">
        <v>786</v>
      </c>
      <c r="M64" s="2">
        <v>-12.5</v>
      </c>
      <c r="O64">
        <f t="shared" si="12"/>
        <v>1457.8446879999999</v>
      </c>
      <c r="P64">
        <f t="shared" si="13"/>
        <v>11425.844687999999</v>
      </c>
      <c r="Q64">
        <f t="shared" si="14"/>
        <v>112087.53638927999</v>
      </c>
      <c r="R64">
        <v>0.86529999999999996</v>
      </c>
      <c r="S64">
        <v>86.024000000000001</v>
      </c>
      <c r="T64">
        <f t="shared" si="15"/>
        <v>1.166971085245927</v>
      </c>
      <c r="U64">
        <v>1684.39</v>
      </c>
      <c r="V64">
        <v>1953.95</v>
      </c>
      <c r="W64">
        <f t="shared" si="16"/>
        <v>1.3618215138000564</v>
      </c>
      <c r="X64">
        <f t="shared" si="17"/>
        <v>3.7879658301596293E-2</v>
      </c>
      <c r="Y64">
        <f t="shared" si="18"/>
        <v>2.2260948886905818</v>
      </c>
      <c r="AD64">
        <f t="shared" si="19"/>
        <v>1.1363897490478887</v>
      </c>
      <c r="AE64">
        <f t="shared" si="20"/>
        <v>1.2264303820990947</v>
      </c>
      <c r="AF64">
        <v>1963.31</v>
      </c>
      <c r="AG64">
        <v>1963.31</v>
      </c>
      <c r="AH64">
        <f t="shared" si="21"/>
        <v>63.200229921350108</v>
      </c>
      <c r="AI64">
        <v>320.45060000000001</v>
      </c>
      <c r="AJ64">
        <f t="shared" si="22"/>
        <v>0.19722300386190603</v>
      </c>
      <c r="AL64">
        <f t="shared" si="23"/>
        <v>9.9505016275959701E-2</v>
      </c>
      <c r="AM64">
        <f t="shared" si="24"/>
        <v>19.97099831176314</v>
      </c>
    </row>
    <row r="65" spans="1:39" x14ac:dyDescent="0.25">
      <c r="A65">
        <v>7</v>
      </c>
      <c r="B65" s="4" t="s">
        <v>65</v>
      </c>
      <c r="C65" s="2" t="s">
        <v>61</v>
      </c>
      <c r="D65" s="2">
        <v>11380</v>
      </c>
      <c r="E65" s="2">
        <v>180</v>
      </c>
      <c r="F65" s="2">
        <v>4.0999999999999996</v>
      </c>
      <c r="G65" s="2">
        <v>0.4</v>
      </c>
      <c r="H65" s="2">
        <v>2</v>
      </c>
      <c r="I65" s="2">
        <v>74</v>
      </c>
      <c r="J65" s="2">
        <v>403</v>
      </c>
      <c r="K65" s="2">
        <v>441</v>
      </c>
      <c r="L65" s="2">
        <v>817</v>
      </c>
      <c r="M65" s="2">
        <v>-9.8000000000000007</v>
      </c>
      <c r="O65">
        <f t="shared" si="12"/>
        <v>1443.783336</v>
      </c>
      <c r="P65">
        <f t="shared" si="13"/>
        <v>11411.783336</v>
      </c>
      <c r="Q65">
        <f t="shared" si="14"/>
        <v>111949.59452616001</v>
      </c>
      <c r="R65">
        <v>0.89300000000000002</v>
      </c>
      <c r="S65">
        <v>92.157700000000006</v>
      </c>
      <c r="T65">
        <f>Q65/(0.5*R65*S65*S65*$P$15)</f>
        <v>0.98404860977402542</v>
      </c>
      <c r="U65">
        <v>1676.55</v>
      </c>
      <c r="V65">
        <v>1949.37</v>
      </c>
      <c r="W65">
        <f>T65*T65</f>
        <v>0.96835166639819215</v>
      </c>
      <c r="X65">
        <f t="shared" si="17"/>
        <v>3.1872214903985709E-2</v>
      </c>
      <c r="Y65">
        <f t="shared" si="18"/>
        <v>21.251918254688412</v>
      </c>
      <c r="AD65">
        <f t="shared" si="19"/>
        <v>0.95616644711957133</v>
      </c>
      <c r="AE65">
        <f t="shared" si="20"/>
        <v>0.98175092463135893</v>
      </c>
      <c r="AF65">
        <v>1861.47</v>
      </c>
      <c r="AG65">
        <v>1861.47</v>
      </c>
      <c r="AH65">
        <f t="shared" si="21"/>
        <v>67.748245449341269</v>
      </c>
      <c r="AI65">
        <v>321.7749</v>
      </c>
      <c r="AJ65">
        <f t="shared" si="22"/>
        <v>0.21054546345703554</v>
      </c>
      <c r="AL65">
        <f t="shared" si="23"/>
        <v>0.39985935349933394</v>
      </c>
      <c r="AM65">
        <f t="shared" si="24"/>
        <v>39.991212285756241</v>
      </c>
    </row>
    <row r="66" spans="1:39" x14ac:dyDescent="0.25">
      <c r="C66" t="s">
        <v>43</v>
      </c>
    </row>
    <row r="68" spans="1:39" x14ac:dyDescent="0.25">
      <c r="A68" s="1" t="s">
        <v>33</v>
      </c>
    </row>
    <row r="70" spans="1:39" x14ac:dyDescent="0.25">
      <c r="A70" t="s">
        <v>56</v>
      </c>
      <c r="C70" s="2" t="s">
        <v>62</v>
      </c>
    </row>
    <row r="71" spans="1:39" x14ac:dyDescent="0.25">
      <c r="A71" t="s">
        <v>57</v>
      </c>
      <c r="C71" s="2" t="s">
        <v>63</v>
      </c>
      <c r="E71" t="s">
        <v>34</v>
      </c>
      <c r="H71" s="2" t="s">
        <v>60</v>
      </c>
    </row>
    <row r="73" spans="1:39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  <c r="O73" t="s">
        <v>77</v>
      </c>
      <c r="P73" t="s">
        <v>84</v>
      </c>
      <c r="Q73" t="s">
        <v>126</v>
      </c>
      <c r="R73" t="s">
        <v>129</v>
      </c>
      <c r="S73" t="s">
        <v>87</v>
      </c>
    </row>
    <row r="74" spans="1:39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  <c r="Q74" t="s">
        <v>117</v>
      </c>
    </row>
    <row r="75" spans="1:39" x14ac:dyDescent="0.25">
      <c r="A75">
        <v>1</v>
      </c>
      <c r="B75" s="4">
        <v>3.3206018518518517E-2</v>
      </c>
      <c r="C75" s="2" t="s">
        <v>61</v>
      </c>
      <c r="D75" s="2">
        <v>11750</v>
      </c>
      <c r="E75" s="2">
        <v>153</v>
      </c>
      <c r="F75" s="2">
        <v>6.1</v>
      </c>
      <c r="G75" s="2">
        <v>-0.6</v>
      </c>
      <c r="H75" s="2">
        <v>2</v>
      </c>
      <c r="I75" s="2">
        <v>0</v>
      </c>
      <c r="J75" s="2">
        <v>394</v>
      </c>
      <c r="K75" s="2">
        <v>431</v>
      </c>
      <c r="L75" s="2">
        <v>835</v>
      </c>
      <c r="M75" s="2">
        <v>-12</v>
      </c>
      <c r="O75">
        <f>$P$12-(0.453592*L75)</f>
        <v>1435.61868</v>
      </c>
      <c r="P75">
        <f>$P$11+$P$13+O75</f>
        <v>11403.61868</v>
      </c>
      <c r="Q75">
        <f>P75*9.81</f>
        <v>111869.4992508</v>
      </c>
      <c r="R75">
        <f>I75*($P$19/Q75)</f>
        <v>0</v>
      </c>
      <c r="S75">
        <v>78.424400000000006</v>
      </c>
    </row>
    <row r="76" spans="1:39" x14ac:dyDescent="0.25">
      <c r="A76">
        <v>2</v>
      </c>
      <c r="B76" s="4">
        <v>3.453703703703704E-2</v>
      </c>
      <c r="C76" s="2" t="s">
        <v>61</v>
      </c>
      <c r="D76" s="2">
        <v>11630</v>
      </c>
      <c r="E76" s="2">
        <v>151</v>
      </c>
      <c r="F76" s="2">
        <v>6.3</v>
      </c>
      <c r="G76" s="2">
        <v>-1.4</v>
      </c>
      <c r="H76" s="2">
        <v>2</v>
      </c>
      <c r="I76" s="2">
        <v>-35</v>
      </c>
      <c r="J76" s="2">
        <v>395</v>
      </c>
      <c r="K76" s="2">
        <v>430</v>
      </c>
      <c r="L76" s="2">
        <v>861</v>
      </c>
      <c r="M76" s="2">
        <v>-12</v>
      </c>
      <c r="O76">
        <f>$P$12-(0.453592*L76)</f>
        <v>1423.825288</v>
      </c>
      <c r="P76">
        <f>$P$11+$P$13+O76</f>
        <v>11391.825288</v>
      </c>
      <c r="Q76">
        <f>P76*9.81</f>
        <v>111753.80607528001</v>
      </c>
      <c r="R76">
        <f>I76*($P$19/Q76)</f>
        <v>-18.947900517800726</v>
      </c>
      <c r="S76">
        <v>77.409899999999993</v>
      </c>
    </row>
    <row r="77" spans="1:39" x14ac:dyDescent="0.25">
      <c r="C77" t="s">
        <v>43</v>
      </c>
    </row>
    <row r="79" spans="1:39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3.5300925925925923E-2</v>
      </c>
      <c r="E83" t="s">
        <v>38</v>
      </c>
      <c r="G83" s="4">
        <v>4.0231481481481479E-2</v>
      </c>
      <c r="H83" t="s">
        <v>39</v>
      </c>
      <c r="J83" s="4">
        <v>3.8796296296296294E-2</v>
      </c>
    </row>
    <row r="84" spans="1:10" x14ac:dyDescent="0.25">
      <c r="A84" t="s">
        <v>40</v>
      </c>
      <c r="D84" s="4">
        <v>2.2388888888888889</v>
      </c>
      <c r="E84" t="s">
        <v>41</v>
      </c>
      <c r="G84" s="4">
        <v>2.4444444444444442</v>
      </c>
      <c r="H84" t="s">
        <v>42</v>
      </c>
      <c r="J84" s="4">
        <v>4.3287037037037041E-2</v>
      </c>
    </row>
  </sheetData>
  <sheetProtection selectLockedCells="1"/>
  <conditionalFormatting sqref="H3:H4 D8:D16 H8:H16">
    <cfRule type="containsBlanks" dxfId="34" priority="42">
      <formula>LEN(TRIM(D3))=0</formula>
    </cfRule>
  </conditionalFormatting>
  <conditionalFormatting sqref="B34 D34:J34">
    <cfRule type="containsBlanks" dxfId="33" priority="35">
      <formula>LEN(TRIM(B34))=0</formula>
    </cfRule>
  </conditionalFormatting>
  <conditionalFormatting sqref="D18">
    <cfRule type="containsBlanks" dxfId="32" priority="37">
      <formula>LEN(TRIM(D18))=0</formula>
    </cfRule>
  </conditionalFormatting>
  <conditionalFormatting sqref="B28:J33">
    <cfRule type="containsBlanks" dxfId="31" priority="36">
      <formula>LEN(TRIM(B28))=0</formula>
    </cfRule>
  </conditionalFormatting>
  <conditionalFormatting sqref="D59:M65">
    <cfRule type="containsBlanks" dxfId="30" priority="33">
      <formula>LEN(TRIM(D59))=0</formula>
    </cfRule>
  </conditionalFormatting>
  <conditionalFormatting sqref="D44:J50">
    <cfRule type="containsBlanks" dxfId="29" priority="34">
      <formula>LEN(TRIM(D44))=0</formula>
    </cfRule>
  </conditionalFormatting>
  <conditionalFormatting sqref="C70">
    <cfRule type="containsBlanks" dxfId="28" priority="32">
      <formula>LEN(TRIM(C70))=0</formula>
    </cfRule>
  </conditionalFormatting>
  <conditionalFormatting sqref="C71">
    <cfRule type="containsBlanks" dxfId="27" priority="31">
      <formula>LEN(TRIM(C71))=0</formula>
    </cfRule>
  </conditionalFormatting>
  <conditionalFormatting sqref="H71">
    <cfRule type="containsBlanks" dxfId="26" priority="30">
      <formula>LEN(TRIM(H71))=0</formula>
    </cfRule>
  </conditionalFormatting>
  <conditionalFormatting sqref="B75:M76">
    <cfRule type="containsBlanks" dxfId="25" priority="29">
      <formula>LEN(TRIM(B75))=0</formula>
    </cfRule>
  </conditionalFormatting>
  <conditionalFormatting sqref="D3:D4">
    <cfRule type="containsBlanks" dxfId="24" priority="24">
      <formula>LEN(TRIM(D3))=0</formula>
    </cfRule>
  </conditionalFormatting>
  <conditionalFormatting sqref="E39">
    <cfRule type="containsBlanks" dxfId="23" priority="25">
      <formula>LEN(TRIM(E39))=0</formula>
    </cfRule>
  </conditionalFormatting>
  <conditionalFormatting sqref="D83:D84">
    <cfRule type="containsBlanks" dxfId="22" priority="23">
      <formula>LEN(TRIM(D83))=0</formula>
    </cfRule>
  </conditionalFormatting>
  <conditionalFormatting sqref="G83:G84">
    <cfRule type="containsBlanks" dxfId="21" priority="22">
      <formula>LEN(TRIM(G83))=0</formula>
    </cfRule>
  </conditionalFormatting>
  <conditionalFormatting sqref="J83:J84">
    <cfRule type="containsBlanks" dxfId="20" priority="21">
      <formula>LEN(TRIM(J83))=0</formula>
    </cfRule>
  </conditionalFormatting>
  <conditionalFormatting sqref="B59:B65">
    <cfRule type="containsBlanks" dxfId="19" priority="20">
      <formula>LEN(TRIM(B59))=0</formula>
    </cfRule>
  </conditionalFormatting>
  <conditionalFormatting sqref="B44:B50">
    <cfRule type="containsBlanks" dxfId="18" priority="19">
      <formula>LEN(TRIM(B44))=0</formula>
    </cfRule>
  </conditionalFormatting>
  <conditionalFormatting sqref="C34">
    <cfRule type="containsBlanks" dxfId="17" priority="18">
      <formula>LEN(TRIM(C34))=0</formula>
    </cfRule>
  </conditionalFormatting>
  <conditionalFormatting sqref="C44">
    <cfRule type="containsBlanks" dxfId="16" priority="17">
      <formula>LEN(TRIM(C44))=0</formula>
    </cfRule>
  </conditionalFormatting>
  <conditionalFormatting sqref="C45">
    <cfRule type="containsBlanks" dxfId="15" priority="16">
      <formula>LEN(TRIM(C45))=0</formula>
    </cfRule>
  </conditionalFormatting>
  <conditionalFormatting sqref="C46">
    <cfRule type="containsBlanks" dxfId="14" priority="15">
      <formula>LEN(TRIM(C46))=0</formula>
    </cfRule>
  </conditionalFormatting>
  <conditionalFormatting sqref="C47">
    <cfRule type="containsBlanks" dxfId="13" priority="14">
      <formula>LEN(TRIM(C47))=0</formula>
    </cfRule>
  </conditionalFormatting>
  <conditionalFormatting sqref="C48">
    <cfRule type="containsBlanks" dxfId="12" priority="13">
      <formula>LEN(TRIM(C48))=0</formula>
    </cfRule>
  </conditionalFormatting>
  <conditionalFormatting sqref="C49">
    <cfRule type="containsBlanks" dxfId="11" priority="12">
      <formula>LEN(TRIM(C49))=0</formula>
    </cfRule>
  </conditionalFormatting>
  <conditionalFormatting sqref="C50">
    <cfRule type="containsBlanks" dxfId="10" priority="11">
      <formula>LEN(TRIM(C50))=0</formula>
    </cfRule>
  </conditionalFormatting>
  <conditionalFormatting sqref="C59">
    <cfRule type="containsBlanks" dxfId="9" priority="10">
      <formula>LEN(TRIM(C59))=0</formula>
    </cfRule>
  </conditionalFormatting>
  <conditionalFormatting sqref="C60">
    <cfRule type="containsBlanks" dxfId="8" priority="9">
      <formula>LEN(TRIM(C60))=0</formula>
    </cfRule>
  </conditionalFormatting>
  <conditionalFormatting sqref="C61">
    <cfRule type="containsBlanks" dxfId="7" priority="8">
      <formula>LEN(TRIM(C61))=0</formula>
    </cfRule>
  </conditionalFormatting>
  <conditionalFormatting sqref="C62">
    <cfRule type="containsBlanks" dxfId="6" priority="7">
      <formula>LEN(TRIM(C62))=0</formula>
    </cfRule>
  </conditionalFormatting>
  <conditionalFormatting sqref="C63">
    <cfRule type="containsBlanks" dxfId="5" priority="6">
      <formula>LEN(TRIM(C63))=0</formula>
    </cfRule>
  </conditionalFormatting>
  <conditionalFormatting sqref="C64">
    <cfRule type="containsBlanks" dxfId="4" priority="5">
      <formula>LEN(TRIM(C64))=0</formula>
    </cfRule>
  </conditionalFormatting>
  <conditionalFormatting sqref="C65">
    <cfRule type="containsBlanks" dxfId="3" priority="4">
      <formula>LEN(TRIM(C65))=0</formula>
    </cfRule>
  </conditionalFormatting>
  <conditionalFormatting sqref="U9:Z9">
    <cfRule type="containsBlanks" dxfId="2" priority="3">
      <formula>LEN(TRIM(U9))=0</formula>
    </cfRule>
  </conditionalFormatting>
  <conditionalFormatting sqref="U11:Z11">
    <cfRule type="containsBlanks" dxfId="1" priority="2">
      <formula>LEN(TRIM(U11))=0</formula>
    </cfRule>
  </conditionalFormatting>
  <conditionalFormatting sqref="U12:Z12">
    <cfRule type="containsBlanks" dxfId="0" priority="1">
      <formula>LEN(TRIM(U12))=0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olav .</cp:lastModifiedBy>
  <cp:lastPrinted>2013-02-27T10:55:04Z</cp:lastPrinted>
  <dcterms:created xsi:type="dcterms:W3CDTF">2013-02-25T15:54:42Z</dcterms:created>
  <dcterms:modified xsi:type="dcterms:W3CDTF">2020-03-16T12:58:32Z</dcterms:modified>
</cp:coreProperties>
</file>