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 codeName="ЭтаКнига"/>
  <xr:revisionPtr revIDLastSave="0" documentId="13_ncr:1_{83780517-C211-4C0E-A0F8-585341693295}" xr6:coauthVersionLast="47" xr6:coauthVersionMax="47" xr10:uidLastSave="{00000000-0000-0000-0000-000000000000}"/>
  <bookViews>
    <workbookView xWindow="-120" yWindow="-120" windowWidth="24240" windowHeight="131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106" r:id="rId9"/>
    <sheet name="20_приб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7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з'!$A$1:$G$19</definedName>
    <definedName name="_xlnm.Print_Area" localSheetId="7">'19 (19д) Командировки '!$A$1:$Q$22</definedName>
    <definedName name="_xlnm.Print_Area" localSheetId="9">'20_приб'!$A$1:$G$54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ОЗП'!$A$1:$L$19</definedName>
    <definedName name="_xlnm.Print_Area" localSheetId="1">Плановая2!$A$1:$H$69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6" l="1"/>
  <c r="F7" i="106"/>
  <c r="O11" i="80"/>
  <c r="O10" i="80"/>
  <c r="M12" i="80"/>
  <c r="M11" i="80"/>
  <c r="M10" i="80"/>
  <c r="I12" i="80"/>
  <c r="I11" i="80"/>
  <c r="I10" i="80"/>
  <c r="I9" i="80"/>
  <c r="F13" i="22"/>
  <c r="F12" i="22"/>
  <c r="F9" i="22"/>
  <c r="G8" i="96"/>
  <c r="H12" i="16"/>
  <c r="F14" i="97"/>
  <c r="S14" i="69"/>
  <c r="S13" i="69"/>
  <c r="S8" i="69"/>
  <c r="B11" i="16" l="1"/>
  <c r="R7" i="69" l="1"/>
  <c r="C14" i="96"/>
  <c r="C13" i="96"/>
  <c r="C12" i="96"/>
  <c r="C11" i="96"/>
  <c r="F16" i="106"/>
  <c r="B16" i="80"/>
  <c r="B13" i="80"/>
  <c r="B9" i="80"/>
  <c r="B11" i="96"/>
  <c r="B14" i="16"/>
  <c r="E14" i="97"/>
  <c r="A3" i="93" l="1"/>
  <c r="I20" i="33"/>
  <c r="R9" i="9" l="1"/>
  <c r="Q7" i="71"/>
  <c r="G6" i="63"/>
  <c r="H9" i="18"/>
  <c r="H6" i="40"/>
  <c r="F9" i="26"/>
  <c r="J9" i="37"/>
  <c r="F8" i="89"/>
  <c r="F7" i="23"/>
  <c r="L5" i="104"/>
  <c r="A3" i="98"/>
  <c r="E13" i="98"/>
  <c r="A11" i="30"/>
  <c r="F11" i="106"/>
  <c r="F12" i="16"/>
  <c r="G12" i="16"/>
  <c r="I12" i="16" s="1"/>
  <c r="I8" i="16"/>
  <c r="E8" i="16"/>
  <c r="I11" i="97"/>
  <c r="F15" i="93"/>
  <c r="L8" i="16"/>
  <c r="G12" i="96" l="1"/>
  <c r="G13" i="96"/>
  <c r="G14" i="96"/>
  <c r="F14" i="22"/>
  <c r="D37" i="102" l="1"/>
  <c r="F44" i="93"/>
  <c r="I14" i="97"/>
  <c r="F15" i="97"/>
  <c r="C4" i="98"/>
  <c r="A4" i="23"/>
  <c r="A5" i="89"/>
  <c r="A4" i="37"/>
  <c r="A5" i="26"/>
  <c r="A4" i="40"/>
  <c r="A6" i="18"/>
  <c r="A4" i="63"/>
  <c r="A4" i="71"/>
  <c r="A5" i="9"/>
  <c r="A3" i="102"/>
  <c r="B20" i="106"/>
  <c r="B2" i="106"/>
  <c r="A3" i="80"/>
  <c r="A5" i="22"/>
  <c r="B12" i="96"/>
  <c r="A4" i="96"/>
  <c r="B12" i="16"/>
  <c r="A4" i="16"/>
  <c r="A5" i="97"/>
  <c r="A4" i="69"/>
  <c r="B20" i="33"/>
  <c r="AN119" i="107"/>
  <c r="AI119" i="107"/>
  <c r="AD119" i="107"/>
  <c r="Y119" i="107"/>
  <c r="R119" i="107"/>
  <c r="M119" i="107"/>
  <c r="H119" i="107"/>
  <c r="C119" i="107"/>
  <c r="AQ118" i="107"/>
  <c r="AL118" i="107"/>
  <c r="AG118" i="107"/>
  <c r="AB118" i="107"/>
  <c r="U118" i="107"/>
  <c r="P118" i="107"/>
  <c r="Q118" i="107" s="1"/>
  <c r="K118" i="107"/>
  <c r="L118" i="107" s="1"/>
  <c r="G118" i="107"/>
  <c r="F118" i="107"/>
  <c r="AQ117" i="107"/>
  <c r="AL117" i="107"/>
  <c r="AG117" i="107"/>
  <c r="AB117" i="107"/>
  <c r="U117" i="107"/>
  <c r="Q117" i="107"/>
  <c r="P117" i="107"/>
  <c r="L117" i="107"/>
  <c r="K117" i="107"/>
  <c r="G117" i="107"/>
  <c r="F117" i="107"/>
  <c r="AQ116" i="107"/>
  <c r="AL116" i="107"/>
  <c r="AG116" i="107"/>
  <c r="AB116" i="107"/>
  <c r="U116" i="107"/>
  <c r="P116" i="107"/>
  <c r="Q116" i="107" s="1"/>
  <c r="K116" i="107"/>
  <c r="L116" i="107" s="1"/>
  <c r="F116" i="107"/>
  <c r="G116" i="107" s="1"/>
  <c r="AQ115" i="107"/>
  <c r="AL115" i="107"/>
  <c r="AG115" i="107"/>
  <c r="AB115" i="107"/>
  <c r="U115" i="107"/>
  <c r="Q115" i="107"/>
  <c r="P115" i="107"/>
  <c r="L115" i="107"/>
  <c r="K115" i="107"/>
  <c r="F115" i="107"/>
  <c r="G115" i="107" s="1"/>
  <c r="AQ114" i="107"/>
  <c r="AL114" i="107"/>
  <c r="AG114" i="107"/>
  <c r="AB114" i="107"/>
  <c r="U114" i="107"/>
  <c r="Q114" i="107"/>
  <c r="P114" i="107"/>
  <c r="K114" i="107"/>
  <c r="L114" i="107" s="1"/>
  <c r="F114" i="107"/>
  <c r="G114" i="107" s="1"/>
  <c r="AQ113" i="107"/>
  <c r="AL113" i="107"/>
  <c r="AG113" i="107"/>
  <c r="AB113" i="107"/>
  <c r="U113" i="107"/>
  <c r="Q113" i="107"/>
  <c r="P113" i="107"/>
  <c r="K113" i="107"/>
  <c r="L113" i="107" s="1"/>
  <c r="G113" i="107"/>
  <c r="F113" i="107"/>
  <c r="AQ112" i="107"/>
  <c r="AL112" i="107"/>
  <c r="AG112" i="107"/>
  <c r="AB112" i="107"/>
  <c r="U112" i="107"/>
  <c r="P112" i="107"/>
  <c r="Q112" i="107" s="1"/>
  <c r="L112" i="107"/>
  <c r="K112" i="107"/>
  <c r="F112" i="107"/>
  <c r="G112" i="107" s="1"/>
  <c r="AQ111" i="107"/>
  <c r="AL111" i="107"/>
  <c r="AG111" i="107"/>
  <c r="AB111" i="107"/>
  <c r="U111" i="107"/>
  <c r="Q111" i="107"/>
  <c r="P111" i="107"/>
  <c r="L111" i="107"/>
  <c r="K111" i="107"/>
  <c r="G111" i="107"/>
  <c r="F111" i="107"/>
  <c r="AQ110" i="107"/>
  <c r="AL110" i="107"/>
  <c r="AG110" i="107"/>
  <c r="AB110" i="107"/>
  <c r="U110" i="107"/>
  <c r="Q110" i="107"/>
  <c r="P110" i="107"/>
  <c r="K110" i="107"/>
  <c r="L110" i="107" s="1"/>
  <c r="G110" i="107"/>
  <c r="F110" i="107"/>
  <c r="AQ109" i="107"/>
  <c r="AL109" i="107"/>
  <c r="AG109" i="107"/>
  <c r="AB109" i="107"/>
  <c r="U109" i="107"/>
  <c r="Q109" i="107"/>
  <c r="P109" i="107"/>
  <c r="L109" i="107"/>
  <c r="K109" i="107"/>
  <c r="G109" i="107"/>
  <c r="F109" i="107"/>
  <c r="AQ108" i="107"/>
  <c r="AL108" i="107"/>
  <c r="AG108" i="107"/>
  <c r="AB108" i="107"/>
  <c r="U108" i="107"/>
  <c r="P108" i="107"/>
  <c r="Q108" i="107" s="1"/>
  <c r="L108" i="107"/>
  <c r="K108" i="107"/>
  <c r="F108" i="107"/>
  <c r="G108" i="107" s="1"/>
  <c r="AQ107" i="107"/>
  <c r="AL107" i="107"/>
  <c r="AG107" i="107"/>
  <c r="AB107" i="107"/>
  <c r="U107" i="107"/>
  <c r="P107" i="107"/>
  <c r="Q107" i="107" s="1"/>
  <c r="L107" i="107"/>
  <c r="K107" i="107"/>
  <c r="G107" i="107"/>
  <c r="F107" i="107"/>
  <c r="AQ106" i="107"/>
  <c r="AL106" i="107"/>
  <c r="AG106" i="107"/>
  <c r="AB106" i="107"/>
  <c r="U106" i="107"/>
  <c r="P106" i="107"/>
  <c r="Q106" i="107" s="1"/>
  <c r="K106" i="107"/>
  <c r="L106" i="107" s="1"/>
  <c r="F106" i="107"/>
  <c r="G106" i="107" s="1"/>
  <c r="AQ105" i="107"/>
  <c r="AL105" i="107"/>
  <c r="AG105" i="107"/>
  <c r="AB105" i="107"/>
  <c r="U105" i="107"/>
  <c r="Q105" i="107"/>
  <c r="P105" i="107"/>
  <c r="K105" i="107"/>
  <c r="L105" i="107" s="1"/>
  <c r="G105" i="107"/>
  <c r="F105" i="107"/>
  <c r="AQ104" i="107"/>
  <c r="AL104" i="107"/>
  <c r="AG104" i="107"/>
  <c r="AB104" i="107"/>
  <c r="U104" i="107"/>
  <c r="P104" i="107"/>
  <c r="Q104" i="107" s="1"/>
  <c r="K104" i="107"/>
  <c r="L104" i="107" s="1"/>
  <c r="F104" i="107"/>
  <c r="G104" i="107" s="1"/>
  <c r="AQ103" i="107"/>
  <c r="AL103" i="107"/>
  <c r="AG103" i="107"/>
  <c r="AB103" i="107"/>
  <c r="U103" i="107"/>
  <c r="Q103" i="107"/>
  <c r="P103" i="107"/>
  <c r="L103" i="107"/>
  <c r="K103" i="107"/>
  <c r="F103" i="107"/>
  <c r="G103" i="107" s="1"/>
  <c r="AQ102" i="107"/>
  <c r="AL102" i="107"/>
  <c r="AG102" i="107"/>
  <c r="AB102" i="107"/>
  <c r="U102" i="107"/>
  <c r="Q102" i="107"/>
  <c r="P102" i="107"/>
  <c r="K102" i="107"/>
  <c r="L102" i="107" s="1"/>
  <c r="G102" i="107"/>
  <c r="F102" i="107"/>
  <c r="AQ101" i="107"/>
  <c r="AL101" i="107"/>
  <c r="AG101" i="107"/>
  <c r="AB101" i="107"/>
  <c r="U101" i="107"/>
  <c r="Q101" i="107"/>
  <c r="P101" i="107"/>
  <c r="L101" i="107"/>
  <c r="K101" i="107"/>
  <c r="G101" i="107"/>
  <c r="F101" i="107"/>
  <c r="AQ100" i="107"/>
  <c r="AL100" i="107"/>
  <c r="AG100" i="107"/>
  <c r="AB100" i="107"/>
  <c r="U100" i="107"/>
  <c r="P100" i="107"/>
  <c r="Q100" i="107" s="1"/>
  <c r="L100" i="107"/>
  <c r="K100" i="107"/>
  <c r="F100" i="107"/>
  <c r="G100" i="107" s="1"/>
  <c r="AQ99" i="107"/>
  <c r="AL99" i="107"/>
  <c r="AG99" i="107"/>
  <c r="AB99" i="107"/>
  <c r="U99" i="107"/>
  <c r="P99" i="107"/>
  <c r="Q99" i="107" s="1"/>
  <c r="L99" i="107"/>
  <c r="K99" i="107"/>
  <c r="G99" i="107"/>
  <c r="F99" i="107"/>
  <c r="AQ98" i="107"/>
  <c r="AL98" i="107"/>
  <c r="AG98" i="107"/>
  <c r="AB98" i="107"/>
  <c r="U98" i="107"/>
  <c r="Q98" i="107"/>
  <c r="P98" i="107"/>
  <c r="K98" i="107"/>
  <c r="L98" i="107" s="1"/>
  <c r="G98" i="107"/>
  <c r="F98" i="107"/>
  <c r="AQ97" i="107"/>
  <c r="AL97" i="107"/>
  <c r="AG97" i="107"/>
  <c r="AB97" i="107"/>
  <c r="U97" i="107"/>
  <c r="Q97" i="107"/>
  <c r="P97" i="107"/>
  <c r="L97" i="107"/>
  <c r="K97" i="107"/>
  <c r="G97" i="107"/>
  <c r="F97" i="107"/>
  <c r="AQ96" i="107"/>
  <c r="AL96" i="107"/>
  <c r="AG96" i="107"/>
  <c r="AB96" i="107"/>
  <c r="U96" i="107"/>
  <c r="P96" i="107"/>
  <c r="Q96" i="107" s="1"/>
  <c r="K96" i="107"/>
  <c r="L96" i="107" s="1"/>
  <c r="F96" i="107"/>
  <c r="G96" i="107" s="1"/>
  <c r="AQ95" i="107"/>
  <c r="AL95" i="107"/>
  <c r="AG95" i="107"/>
  <c r="AB95" i="107"/>
  <c r="U95" i="107"/>
  <c r="Q95" i="107"/>
  <c r="P95" i="107"/>
  <c r="L95" i="107"/>
  <c r="K95" i="107"/>
  <c r="G95" i="107"/>
  <c r="F95" i="107"/>
  <c r="AQ94" i="107"/>
  <c r="AL94" i="107"/>
  <c r="AG94" i="107"/>
  <c r="AB94" i="107"/>
  <c r="U94" i="107"/>
  <c r="P94" i="107"/>
  <c r="Q94" i="107" s="1"/>
  <c r="K94" i="107"/>
  <c r="L94" i="107" s="1"/>
  <c r="F94" i="107"/>
  <c r="G94" i="107" s="1"/>
  <c r="AQ93" i="107"/>
  <c r="AL93" i="107"/>
  <c r="AG93" i="107"/>
  <c r="AB93" i="107"/>
  <c r="U93" i="107"/>
  <c r="Q93" i="107"/>
  <c r="P93" i="107"/>
  <c r="K93" i="107"/>
  <c r="L93" i="107" s="1"/>
  <c r="G93" i="107"/>
  <c r="F93" i="107"/>
  <c r="AQ92" i="107"/>
  <c r="AL92" i="107"/>
  <c r="AG92" i="107"/>
  <c r="AB92" i="107"/>
  <c r="U92" i="107"/>
  <c r="P92" i="107"/>
  <c r="Q92" i="107" s="1"/>
  <c r="L92" i="107"/>
  <c r="K92" i="107"/>
  <c r="F92" i="107"/>
  <c r="G92" i="107" s="1"/>
  <c r="AQ91" i="107"/>
  <c r="AL91" i="107"/>
  <c r="AG91" i="107"/>
  <c r="AB91" i="107"/>
  <c r="U91" i="107"/>
  <c r="Q91" i="107"/>
  <c r="P91" i="107"/>
  <c r="L91" i="107"/>
  <c r="K91" i="107"/>
  <c r="F91" i="107"/>
  <c r="G91" i="107" s="1"/>
  <c r="AQ90" i="107"/>
  <c r="AL90" i="107"/>
  <c r="AG90" i="107"/>
  <c r="AB90" i="107"/>
  <c r="U90" i="107"/>
  <c r="Q90" i="107"/>
  <c r="P90" i="107"/>
  <c r="K90" i="107"/>
  <c r="L90" i="107" s="1"/>
  <c r="G90" i="107"/>
  <c r="F90" i="107"/>
  <c r="AQ89" i="107"/>
  <c r="AL89" i="107"/>
  <c r="AG89" i="107"/>
  <c r="AB89" i="107"/>
  <c r="U89" i="107"/>
  <c r="Q89" i="107"/>
  <c r="P89" i="107"/>
  <c r="L89" i="107"/>
  <c r="K89" i="107"/>
  <c r="G89" i="107"/>
  <c r="F89" i="107"/>
  <c r="AQ88" i="107"/>
  <c r="AL88" i="107"/>
  <c r="AG88" i="107"/>
  <c r="AB88" i="107"/>
  <c r="U88" i="107"/>
  <c r="P88" i="107"/>
  <c r="Q88" i="107" s="1"/>
  <c r="L88" i="107"/>
  <c r="K88" i="107"/>
  <c r="F88" i="107"/>
  <c r="G88" i="107" s="1"/>
  <c r="AQ87" i="107"/>
  <c r="AL87" i="107"/>
  <c r="AG87" i="107"/>
  <c r="AB87" i="107"/>
  <c r="U87" i="107"/>
  <c r="P87" i="107"/>
  <c r="Q87" i="107" s="1"/>
  <c r="L87" i="107"/>
  <c r="K87" i="107"/>
  <c r="G87" i="107"/>
  <c r="F87" i="107"/>
  <c r="AQ86" i="107"/>
  <c r="AL86" i="107"/>
  <c r="AG86" i="107"/>
  <c r="AB86" i="107"/>
  <c r="U86" i="107"/>
  <c r="P86" i="107"/>
  <c r="Q86" i="107" s="1"/>
  <c r="K86" i="107"/>
  <c r="L86" i="107" s="1"/>
  <c r="G86" i="107"/>
  <c r="F86" i="107"/>
  <c r="AQ85" i="107"/>
  <c r="AL85" i="107"/>
  <c r="AG85" i="107"/>
  <c r="AB85" i="107"/>
  <c r="U85" i="107"/>
  <c r="Q85" i="107"/>
  <c r="P85" i="107"/>
  <c r="L85" i="107"/>
  <c r="K85" i="107"/>
  <c r="G85" i="107"/>
  <c r="F85" i="107"/>
  <c r="AQ84" i="107"/>
  <c r="AL84" i="107"/>
  <c r="AG84" i="107"/>
  <c r="AB84" i="107"/>
  <c r="U84" i="107"/>
  <c r="P84" i="107"/>
  <c r="Q84" i="107" s="1"/>
  <c r="K84" i="107"/>
  <c r="L84" i="107" s="1"/>
  <c r="F84" i="107"/>
  <c r="G84" i="107" s="1"/>
  <c r="AQ83" i="107"/>
  <c r="AL83" i="107"/>
  <c r="AG83" i="107"/>
  <c r="AB83" i="107"/>
  <c r="U83" i="107"/>
  <c r="Q83" i="107"/>
  <c r="P83" i="107"/>
  <c r="L83" i="107"/>
  <c r="K83" i="107"/>
  <c r="F83" i="107"/>
  <c r="G83" i="107" s="1"/>
  <c r="AQ82" i="107"/>
  <c r="AL82" i="107"/>
  <c r="AG82" i="107"/>
  <c r="AB82" i="107"/>
  <c r="U82" i="107"/>
  <c r="Q82" i="107"/>
  <c r="P82" i="107"/>
  <c r="K82" i="107"/>
  <c r="L82" i="107" s="1"/>
  <c r="F82" i="107"/>
  <c r="G82" i="107" s="1"/>
  <c r="AQ81" i="107"/>
  <c r="AL81" i="107"/>
  <c r="AG81" i="107"/>
  <c r="AB81" i="107"/>
  <c r="U81" i="107"/>
  <c r="Q81" i="107"/>
  <c r="P81" i="107"/>
  <c r="K81" i="107"/>
  <c r="L81" i="107" s="1"/>
  <c r="G81" i="107"/>
  <c r="F81" i="107"/>
  <c r="AQ80" i="107"/>
  <c r="AL80" i="107"/>
  <c r="AG80" i="107"/>
  <c r="AB80" i="107"/>
  <c r="U80" i="107"/>
  <c r="P80" i="107"/>
  <c r="Q80" i="107" s="1"/>
  <c r="L80" i="107"/>
  <c r="K80" i="107"/>
  <c r="F80" i="107"/>
  <c r="G80" i="107" s="1"/>
  <c r="AQ79" i="107"/>
  <c r="AL79" i="107"/>
  <c r="AG79" i="107"/>
  <c r="AB79" i="107"/>
  <c r="U79" i="107"/>
  <c r="Q79" i="107"/>
  <c r="P79" i="107"/>
  <c r="L79" i="107"/>
  <c r="K79" i="107"/>
  <c r="G79" i="107"/>
  <c r="F79" i="107"/>
  <c r="AQ78" i="107"/>
  <c r="AL78" i="107"/>
  <c r="AG78" i="107"/>
  <c r="AB78" i="107"/>
  <c r="U78" i="107"/>
  <c r="Q78" i="107"/>
  <c r="P78" i="107"/>
  <c r="K78" i="107"/>
  <c r="L78" i="107" s="1"/>
  <c r="G78" i="107"/>
  <c r="F78" i="107"/>
  <c r="AQ77" i="107"/>
  <c r="AL77" i="107"/>
  <c r="AG77" i="107"/>
  <c r="AB77" i="107"/>
  <c r="U77" i="107"/>
  <c r="Q77" i="107"/>
  <c r="P77" i="107"/>
  <c r="L77" i="107"/>
  <c r="K77" i="107"/>
  <c r="G77" i="107"/>
  <c r="F77" i="107"/>
  <c r="AQ76" i="107"/>
  <c r="AL76" i="107"/>
  <c r="AG76" i="107"/>
  <c r="AB76" i="107"/>
  <c r="U76" i="107"/>
  <c r="P76" i="107"/>
  <c r="Q76" i="107" s="1"/>
  <c r="L76" i="107"/>
  <c r="K76" i="107"/>
  <c r="F76" i="107"/>
  <c r="G76" i="107" s="1"/>
  <c r="AQ75" i="107"/>
  <c r="AL75" i="107"/>
  <c r="AG75" i="107"/>
  <c r="AB75" i="107"/>
  <c r="U75" i="107"/>
  <c r="P75" i="107"/>
  <c r="Q75" i="107" s="1"/>
  <c r="L75" i="107"/>
  <c r="K75" i="107"/>
  <c r="G75" i="107"/>
  <c r="F75" i="107"/>
  <c r="AQ74" i="107"/>
  <c r="AL74" i="107"/>
  <c r="AG74" i="107"/>
  <c r="AB74" i="107"/>
  <c r="U74" i="107"/>
  <c r="P74" i="107"/>
  <c r="Q74" i="107" s="1"/>
  <c r="K74" i="107"/>
  <c r="L74" i="107" s="1"/>
  <c r="F74" i="107"/>
  <c r="G74" i="107" s="1"/>
  <c r="AQ73" i="107"/>
  <c r="AL73" i="107"/>
  <c r="AG73" i="107"/>
  <c r="AB73" i="107"/>
  <c r="U73" i="107"/>
  <c r="Q73" i="107"/>
  <c r="P73" i="107"/>
  <c r="K73" i="107"/>
  <c r="L73" i="107" s="1"/>
  <c r="G73" i="107"/>
  <c r="F73" i="107"/>
  <c r="AQ72" i="107"/>
  <c r="AL72" i="107"/>
  <c r="AG72" i="107"/>
  <c r="AB72" i="107"/>
  <c r="U72" i="107"/>
  <c r="P72" i="107"/>
  <c r="Q72" i="107" s="1"/>
  <c r="K72" i="107"/>
  <c r="L72" i="107" s="1"/>
  <c r="F72" i="107"/>
  <c r="G72" i="107" s="1"/>
  <c r="AQ71" i="107"/>
  <c r="AL71" i="107"/>
  <c r="AG71" i="107"/>
  <c r="AB71" i="107"/>
  <c r="U71" i="107"/>
  <c r="Q71" i="107"/>
  <c r="P71" i="107"/>
  <c r="L71" i="107"/>
  <c r="K71" i="107"/>
  <c r="F71" i="107"/>
  <c r="G71" i="107" s="1"/>
  <c r="AQ70" i="107"/>
  <c r="AL70" i="107"/>
  <c r="AG70" i="107"/>
  <c r="AB70" i="107"/>
  <c r="U70" i="107"/>
  <c r="Q70" i="107"/>
  <c r="P70" i="107"/>
  <c r="K70" i="107"/>
  <c r="L70" i="107" s="1"/>
  <c r="G70" i="107"/>
  <c r="F70" i="107"/>
  <c r="AQ69" i="107"/>
  <c r="AL69" i="107"/>
  <c r="AG69" i="107"/>
  <c r="AB69" i="107"/>
  <c r="U69" i="107"/>
  <c r="P69" i="107"/>
  <c r="Q69" i="107" s="1"/>
  <c r="L69" i="107"/>
  <c r="K69" i="107"/>
  <c r="G69" i="107"/>
  <c r="F69" i="107"/>
  <c r="AQ68" i="107"/>
  <c r="AL68" i="107"/>
  <c r="AG68" i="107"/>
  <c r="AB68" i="107"/>
  <c r="U68" i="107"/>
  <c r="P68" i="107"/>
  <c r="Q68" i="107" s="1"/>
  <c r="L68" i="107"/>
  <c r="K68" i="107"/>
  <c r="F68" i="107"/>
  <c r="G68" i="107" s="1"/>
  <c r="AQ67" i="107"/>
  <c r="AL67" i="107"/>
  <c r="AG67" i="107"/>
  <c r="AB67" i="107"/>
  <c r="U67" i="107"/>
  <c r="P67" i="107"/>
  <c r="Q67" i="107" s="1"/>
  <c r="L67" i="107"/>
  <c r="K67" i="107"/>
  <c r="G67" i="107"/>
  <c r="F67" i="107"/>
  <c r="AQ66" i="107"/>
  <c r="AL66" i="107"/>
  <c r="AG66" i="107"/>
  <c r="AB66" i="107"/>
  <c r="U66" i="107"/>
  <c r="Q66" i="107"/>
  <c r="P66" i="107"/>
  <c r="L66" i="107"/>
  <c r="K66" i="107"/>
  <c r="F66" i="107"/>
  <c r="G66" i="107" s="1"/>
  <c r="AQ65" i="107"/>
  <c r="AL65" i="107"/>
  <c r="AG65" i="107"/>
  <c r="AB65" i="107"/>
  <c r="U65" i="107"/>
  <c r="P65" i="107"/>
  <c r="Q65" i="107" s="1"/>
  <c r="L65" i="107"/>
  <c r="K65" i="107"/>
  <c r="G65" i="107"/>
  <c r="F65" i="107"/>
  <c r="AQ64" i="107"/>
  <c r="AL64" i="107"/>
  <c r="AG64" i="107"/>
  <c r="AB64" i="107"/>
  <c r="U64" i="107"/>
  <c r="P64" i="107"/>
  <c r="Q64" i="107" s="1"/>
  <c r="L64" i="107"/>
  <c r="K64" i="107"/>
  <c r="G64" i="107"/>
  <c r="F64" i="107"/>
  <c r="AQ63" i="107"/>
  <c r="AL63" i="107"/>
  <c r="AG63" i="107"/>
  <c r="AB63" i="107"/>
  <c r="U63" i="107"/>
  <c r="Q63" i="107"/>
  <c r="P63" i="107"/>
  <c r="L63" i="107"/>
  <c r="K63" i="107"/>
  <c r="G63" i="107"/>
  <c r="F63" i="107"/>
  <c r="AQ62" i="107"/>
  <c r="AL62" i="107"/>
  <c r="AG62" i="107"/>
  <c r="AB62" i="107"/>
  <c r="U62" i="107"/>
  <c r="Q62" i="107"/>
  <c r="P62" i="107"/>
  <c r="L62" i="107"/>
  <c r="K62" i="107"/>
  <c r="F62" i="107"/>
  <c r="G62" i="107" s="1"/>
  <c r="AQ61" i="107"/>
  <c r="AL61" i="107"/>
  <c r="AG61" i="107"/>
  <c r="AB61" i="107"/>
  <c r="U61" i="107"/>
  <c r="Q61" i="107"/>
  <c r="P61" i="107"/>
  <c r="L61" i="107"/>
  <c r="K61" i="107"/>
  <c r="F61" i="107"/>
  <c r="G61" i="107" s="1"/>
  <c r="AQ60" i="107"/>
  <c r="AL60" i="107"/>
  <c r="AG60" i="107"/>
  <c r="AB60" i="107"/>
  <c r="U60" i="107"/>
  <c r="Q60" i="107"/>
  <c r="P60" i="107"/>
  <c r="K60" i="107"/>
  <c r="L60" i="107" s="1"/>
  <c r="F60" i="107"/>
  <c r="G60" i="107" s="1"/>
  <c r="AQ59" i="107"/>
  <c r="AL59" i="107"/>
  <c r="AG59" i="107"/>
  <c r="AB59" i="107"/>
  <c r="U59" i="107"/>
  <c r="Q59" i="107"/>
  <c r="P59" i="107"/>
  <c r="K59" i="107"/>
  <c r="L59" i="107" s="1"/>
  <c r="G59" i="107"/>
  <c r="F59" i="107"/>
  <c r="AQ58" i="107"/>
  <c r="AL58" i="107"/>
  <c r="AG58" i="107"/>
  <c r="AB58" i="107"/>
  <c r="U58" i="107"/>
  <c r="P58" i="107"/>
  <c r="Q58" i="107" s="1"/>
  <c r="K58" i="107"/>
  <c r="L58" i="107" s="1"/>
  <c r="G58" i="107"/>
  <c r="F58" i="107"/>
  <c r="AQ57" i="107"/>
  <c r="AL57" i="107"/>
  <c r="AG57" i="107"/>
  <c r="AB57" i="107"/>
  <c r="U57" i="107"/>
  <c r="P57" i="107"/>
  <c r="Q57" i="107" s="1"/>
  <c r="L57" i="107"/>
  <c r="K57" i="107"/>
  <c r="G57" i="107"/>
  <c r="F57" i="107"/>
  <c r="AQ56" i="107"/>
  <c r="AL56" i="107"/>
  <c r="AG56" i="107"/>
  <c r="AB56" i="107"/>
  <c r="U56" i="107"/>
  <c r="Q56" i="107"/>
  <c r="P56" i="107"/>
  <c r="L56" i="107"/>
  <c r="K56" i="107"/>
  <c r="G56" i="107"/>
  <c r="F56" i="107"/>
  <c r="AQ55" i="107"/>
  <c r="AL55" i="107"/>
  <c r="AG55" i="107"/>
  <c r="AB55" i="107"/>
  <c r="U55" i="107"/>
  <c r="Q55" i="107"/>
  <c r="P55" i="107"/>
  <c r="L55" i="107"/>
  <c r="K55" i="107"/>
  <c r="G55" i="107"/>
  <c r="F55" i="107"/>
  <c r="AQ54" i="107"/>
  <c r="AL54" i="107"/>
  <c r="AG54" i="107"/>
  <c r="AB54" i="107"/>
  <c r="U54" i="107"/>
  <c r="Q54" i="107"/>
  <c r="P54" i="107"/>
  <c r="L54" i="107"/>
  <c r="K54" i="107"/>
  <c r="F54" i="107"/>
  <c r="G54" i="107" s="1"/>
  <c r="AQ53" i="107"/>
  <c r="AL53" i="107"/>
  <c r="AG53" i="107"/>
  <c r="AB53" i="107"/>
  <c r="U53" i="107"/>
  <c r="P53" i="107"/>
  <c r="Q53" i="107" s="1"/>
  <c r="L53" i="107"/>
  <c r="K53" i="107"/>
  <c r="F53" i="107"/>
  <c r="G53" i="107" s="1"/>
  <c r="AQ52" i="107"/>
  <c r="AL52" i="107"/>
  <c r="AG52" i="107"/>
  <c r="AB52" i="107"/>
  <c r="U52" i="107"/>
  <c r="P52" i="107"/>
  <c r="Q52" i="107" s="1"/>
  <c r="K52" i="107"/>
  <c r="L52" i="107" s="1"/>
  <c r="G52" i="107"/>
  <c r="F52" i="107"/>
  <c r="AQ51" i="107"/>
  <c r="AL51" i="107"/>
  <c r="AG51" i="107"/>
  <c r="AB51" i="107"/>
  <c r="U51" i="107"/>
  <c r="P51" i="107"/>
  <c r="Q51" i="107" s="1"/>
  <c r="L51" i="107"/>
  <c r="K51" i="107"/>
  <c r="G51" i="107"/>
  <c r="F51" i="107"/>
  <c r="AQ50" i="107"/>
  <c r="AL50" i="107"/>
  <c r="AG50" i="107"/>
  <c r="AB50" i="107"/>
  <c r="U50" i="107"/>
  <c r="P50" i="107"/>
  <c r="Q50" i="107" s="1"/>
  <c r="L50" i="107"/>
  <c r="K50" i="107"/>
  <c r="F50" i="107"/>
  <c r="G50" i="107" s="1"/>
  <c r="AQ49" i="107"/>
  <c r="AL49" i="107"/>
  <c r="AG49" i="107"/>
  <c r="AB49" i="107"/>
  <c r="U49" i="107"/>
  <c r="Q49" i="107"/>
  <c r="P49" i="107"/>
  <c r="L49" i="107"/>
  <c r="K49" i="107"/>
  <c r="G49" i="107"/>
  <c r="F49" i="107"/>
  <c r="AQ48" i="107"/>
  <c r="AL48" i="107"/>
  <c r="AG48" i="107"/>
  <c r="AB48" i="107"/>
  <c r="U48" i="107"/>
  <c r="Q48" i="107"/>
  <c r="P48" i="107"/>
  <c r="K48" i="107"/>
  <c r="L48" i="107" s="1"/>
  <c r="F48" i="107"/>
  <c r="G48" i="107" s="1"/>
  <c r="AQ47" i="107"/>
  <c r="AL47" i="107"/>
  <c r="AG47" i="107"/>
  <c r="AB47" i="107"/>
  <c r="U47" i="107"/>
  <c r="Q47" i="107"/>
  <c r="P47" i="107"/>
  <c r="L47" i="107"/>
  <c r="K47" i="107"/>
  <c r="F47" i="107"/>
  <c r="G47" i="107" s="1"/>
  <c r="AQ46" i="107"/>
  <c r="AL46" i="107"/>
  <c r="AG46" i="107"/>
  <c r="AB46" i="107"/>
  <c r="U46" i="107"/>
  <c r="P46" i="107"/>
  <c r="Q46" i="107" s="1"/>
  <c r="K46" i="107"/>
  <c r="L46" i="107" s="1"/>
  <c r="F46" i="107"/>
  <c r="G46" i="107" s="1"/>
  <c r="AQ45" i="107"/>
  <c r="AL45" i="107"/>
  <c r="AG45" i="107"/>
  <c r="AB45" i="107"/>
  <c r="U45" i="107"/>
  <c r="Q45" i="107"/>
  <c r="P45" i="107"/>
  <c r="K45" i="107"/>
  <c r="L45" i="107" s="1"/>
  <c r="G45" i="107"/>
  <c r="F45" i="107"/>
  <c r="AQ44" i="107"/>
  <c r="AL44" i="107"/>
  <c r="AG44" i="107"/>
  <c r="AB44" i="107"/>
  <c r="U44" i="107"/>
  <c r="P44" i="107"/>
  <c r="Q44" i="107" s="1"/>
  <c r="K44" i="107"/>
  <c r="L44" i="107" s="1"/>
  <c r="G44" i="107"/>
  <c r="F44" i="107"/>
  <c r="AQ43" i="107"/>
  <c r="AL43" i="107"/>
  <c r="AG43" i="107"/>
  <c r="AB43" i="107"/>
  <c r="U43" i="107"/>
  <c r="P43" i="107"/>
  <c r="Q43" i="107" s="1"/>
  <c r="L43" i="107"/>
  <c r="K43" i="107"/>
  <c r="G43" i="107"/>
  <c r="F43" i="107"/>
  <c r="AQ42" i="107"/>
  <c r="AL42" i="107"/>
  <c r="AG42" i="107"/>
  <c r="AB42" i="107"/>
  <c r="U42" i="107"/>
  <c r="P42" i="107"/>
  <c r="Q42" i="107" s="1"/>
  <c r="L42" i="107"/>
  <c r="K42" i="107"/>
  <c r="G42" i="107"/>
  <c r="F42" i="107"/>
  <c r="AQ41" i="107"/>
  <c r="AL41" i="107"/>
  <c r="AG41" i="107"/>
  <c r="AB41" i="107"/>
  <c r="U41" i="107"/>
  <c r="Q41" i="107"/>
  <c r="P41" i="107"/>
  <c r="L41" i="107"/>
  <c r="K41" i="107"/>
  <c r="F41" i="107"/>
  <c r="G41" i="107" s="1"/>
  <c r="AQ40" i="107"/>
  <c r="AL40" i="107"/>
  <c r="AG40" i="107"/>
  <c r="AB40" i="107"/>
  <c r="U40" i="107"/>
  <c r="Q40" i="107"/>
  <c r="P40" i="107"/>
  <c r="K40" i="107"/>
  <c r="L40" i="107" s="1"/>
  <c r="F40" i="107"/>
  <c r="G40" i="107" s="1"/>
  <c r="AQ39" i="107"/>
  <c r="AL39" i="107"/>
  <c r="AG39" i="107"/>
  <c r="AB39" i="107"/>
  <c r="U39" i="107"/>
  <c r="Q39" i="107"/>
  <c r="P39" i="107"/>
  <c r="K39" i="107"/>
  <c r="L39" i="107" s="1"/>
  <c r="F39" i="107"/>
  <c r="G39" i="107" s="1"/>
  <c r="AQ38" i="107"/>
  <c r="AL38" i="107"/>
  <c r="AG38" i="107"/>
  <c r="AB38" i="107"/>
  <c r="U38" i="107"/>
  <c r="Q38" i="107"/>
  <c r="P38" i="107"/>
  <c r="K38" i="107"/>
  <c r="L38" i="107" s="1"/>
  <c r="F38" i="107"/>
  <c r="G38" i="107" s="1"/>
  <c r="AQ37" i="107"/>
  <c r="AL37" i="107"/>
  <c r="AG37" i="107"/>
  <c r="AB37" i="107"/>
  <c r="U37" i="107"/>
  <c r="P37" i="107"/>
  <c r="Q37" i="107" s="1"/>
  <c r="K37" i="107"/>
  <c r="L37" i="107" s="1"/>
  <c r="G37" i="107"/>
  <c r="F37" i="107"/>
  <c r="AQ36" i="107"/>
  <c r="AL36" i="107"/>
  <c r="AG36" i="107"/>
  <c r="AB36" i="107"/>
  <c r="U36" i="107"/>
  <c r="P36" i="107"/>
  <c r="Q36" i="107" s="1"/>
  <c r="K36" i="107"/>
  <c r="L36" i="107" s="1"/>
  <c r="G36" i="107"/>
  <c r="F36" i="107"/>
  <c r="AQ35" i="107"/>
  <c r="AL35" i="107"/>
  <c r="AG35" i="107"/>
  <c r="AB35" i="107"/>
  <c r="U35" i="107"/>
  <c r="P35" i="107"/>
  <c r="Q35" i="107" s="1"/>
  <c r="L35" i="107"/>
  <c r="K35" i="107"/>
  <c r="G35" i="107"/>
  <c r="F35" i="107"/>
  <c r="AQ34" i="107"/>
  <c r="AL34" i="107"/>
  <c r="AG34" i="107"/>
  <c r="AB34" i="107"/>
  <c r="U34" i="107"/>
  <c r="P34" i="107"/>
  <c r="Q34" i="107" s="1"/>
  <c r="L34" i="107"/>
  <c r="K34" i="107"/>
  <c r="F34" i="107"/>
  <c r="G34" i="107" s="1"/>
  <c r="AQ33" i="107"/>
  <c r="AL33" i="107"/>
  <c r="AG33" i="107"/>
  <c r="AB33" i="107"/>
  <c r="U33" i="107"/>
  <c r="Q33" i="107"/>
  <c r="P33" i="107"/>
  <c r="L33" i="107"/>
  <c r="K33" i="107"/>
  <c r="G33" i="107"/>
  <c r="F33" i="107"/>
  <c r="AQ32" i="107"/>
  <c r="AL32" i="107"/>
  <c r="AG32" i="107"/>
  <c r="AB32" i="107"/>
  <c r="U32" i="107"/>
  <c r="Q32" i="107"/>
  <c r="P32" i="107"/>
  <c r="L32" i="107"/>
  <c r="K32" i="107"/>
  <c r="F32" i="107"/>
  <c r="G32" i="107" s="1"/>
  <c r="AQ31" i="107"/>
  <c r="AL31" i="107"/>
  <c r="AG31" i="107"/>
  <c r="AB31" i="107"/>
  <c r="U31" i="107"/>
  <c r="Q31" i="107"/>
  <c r="P31" i="107"/>
  <c r="L31" i="107"/>
  <c r="K31" i="107"/>
  <c r="F31" i="107"/>
  <c r="G31" i="107" s="1"/>
  <c r="AQ30" i="107"/>
  <c r="AL30" i="107"/>
  <c r="AG30" i="107"/>
  <c r="AB30" i="107"/>
  <c r="U30" i="107"/>
  <c r="P30" i="107"/>
  <c r="Q30" i="107" s="1"/>
  <c r="K30" i="107"/>
  <c r="L30" i="107" s="1"/>
  <c r="F30" i="107"/>
  <c r="G30" i="107" s="1"/>
  <c r="AQ29" i="107"/>
  <c r="AL29" i="107"/>
  <c r="AG29" i="107"/>
  <c r="AB29" i="107"/>
  <c r="U29" i="107"/>
  <c r="Q29" i="107"/>
  <c r="P29" i="107"/>
  <c r="K29" i="107"/>
  <c r="L29" i="107" s="1"/>
  <c r="G29" i="107"/>
  <c r="F29" i="107"/>
  <c r="AQ28" i="107"/>
  <c r="AL28" i="107"/>
  <c r="AG28" i="107"/>
  <c r="AB28" i="107"/>
  <c r="U28" i="107"/>
  <c r="P28" i="107"/>
  <c r="Q28" i="107" s="1"/>
  <c r="K28" i="107"/>
  <c r="L28" i="107" s="1"/>
  <c r="G28" i="107"/>
  <c r="F28" i="107"/>
  <c r="AQ27" i="107"/>
  <c r="AL27" i="107"/>
  <c r="AG27" i="107"/>
  <c r="AB27" i="107"/>
  <c r="U27" i="107"/>
  <c r="P27" i="107"/>
  <c r="Q27" i="107" s="1"/>
  <c r="L27" i="107"/>
  <c r="K27" i="107"/>
  <c r="G27" i="107"/>
  <c r="F27" i="107"/>
  <c r="AQ26" i="107"/>
  <c r="AL26" i="107"/>
  <c r="AG26" i="107"/>
  <c r="AB26" i="107"/>
  <c r="U26" i="107"/>
  <c r="P26" i="107"/>
  <c r="Q26" i="107" s="1"/>
  <c r="L26" i="107"/>
  <c r="K26" i="107"/>
  <c r="G26" i="107"/>
  <c r="F26" i="107"/>
  <c r="AQ25" i="107"/>
  <c r="AL25" i="107"/>
  <c r="AG25" i="107"/>
  <c r="AB25" i="107"/>
  <c r="U25" i="107"/>
  <c r="Q25" i="107"/>
  <c r="P25" i="107"/>
  <c r="L25" i="107"/>
  <c r="K25" i="107"/>
  <c r="F25" i="107"/>
  <c r="G25" i="107" s="1"/>
  <c r="AQ24" i="107"/>
  <c r="AL24" i="107"/>
  <c r="AG24" i="107"/>
  <c r="AB24" i="107"/>
  <c r="U24" i="107"/>
  <c r="Q24" i="107"/>
  <c r="P24" i="107"/>
  <c r="K24" i="107"/>
  <c r="L24" i="107" s="1"/>
  <c r="F24" i="107"/>
  <c r="G24" i="107" s="1"/>
  <c r="AQ23" i="107"/>
  <c r="AL23" i="107"/>
  <c r="AG23" i="107"/>
  <c r="AB23" i="107"/>
  <c r="U23" i="107"/>
  <c r="Q23" i="107"/>
  <c r="P23" i="107"/>
  <c r="K23" i="107"/>
  <c r="L23" i="107" s="1"/>
  <c r="F23" i="107"/>
  <c r="G23" i="107" s="1"/>
  <c r="AQ22" i="107"/>
  <c r="AL22" i="107"/>
  <c r="AG22" i="107"/>
  <c r="AB22" i="107"/>
  <c r="U22" i="107"/>
  <c r="Q22" i="107"/>
  <c r="P22" i="107"/>
  <c r="L22" i="107"/>
  <c r="K22" i="107"/>
  <c r="G22" i="107"/>
  <c r="F22" i="107"/>
  <c r="AQ21" i="107"/>
  <c r="AL21" i="107"/>
  <c r="AG21" i="107"/>
  <c r="AB21" i="107"/>
  <c r="U21" i="107"/>
  <c r="P21" i="107"/>
  <c r="Q21" i="107" s="1"/>
  <c r="K21" i="107"/>
  <c r="L21" i="107" s="1"/>
  <c r="F21" i="107"/>
  <c r="G21" i="107" s="1"/>
  <c r="AQ20" i="107"/>
  <c r="AL20" i="107"/>
  <c r="AG20" i="107"/>
  <c r="AB20" i="107"/>
  <c r="U20" i="107"/>
  <c r="P20" i="107"/>
  <c r="Q20" i="107" s="1"/>
  <c r="K20" i="107"/>
  <c r="L20" i="107" s="1"/>
  <c r="G20" i="107"/>
  <c r="F20" i="107"/>
  <c r="AQ19" i="107"/>
  <c r="AL19" i="107"/>
  <c r="AG19" i="107"/>
  <c r="AB19" i="107"/>
  <c r="U19" i="107"/>
  <c r="Q19" i="107"/>
  <c r="P19" i="107"/>
  <c r="L19" i="107"/>
  <c r="K19" i="107"/>
  <c r="G19" i="107"/>
  <c r="F19" i="107"/>
  <c r="AQ18" i="107"/>
  <c r="AL18" i="107"/>
  <c r="AG18" i="107"/>
  <c r="AB18" i="107"/>
  <c r="U18" i="107"/>
  <c r="Q18" i="107"/>
  <c r="P18" i="107"/>
  <c r="K18" i="107"/>
  <c r="L18" i="107" s="1"/>
  <c r="F18" i="107"/>
  <c r="G18" i="107" s="1"/>
  <c r="AQ17" i="107"/>
  <c r="AL17" i="107"/>
  <c r="AG17" i="107"/>
  <c r="AB17" i="107"/>
  <c r="U17" i="107"/>
  <c r="P17" i="107"/>
  <c r="Q17" i="107" s="1"/>
  <c r="L17" i="107"/>
  <c r="K17" i="107"/>
  <c r="F17" i="107"/>
  <c r="G17" i="107" s="1"/>
  <c r="AQ16" i="107"/>
  <c r="AL16" i="107"/>
  <c r="AG16" i="107"/>
  <c r="AB16" i="107"/>
  <c r="U16" i="107"/>
  <c r="Q16" i="107"/>
  <c r="P16" i="107"/>
  <c r="L16" i="107"/>
  <c r="K16" i="107"/>
  <c r="F16" i="107"/>
  <c r="G16" i="107" s="1"/>
  <c r="AQ15" i="107"/>
  <c r="AL15" i="107"/>
  <c r="AG15" i="107"/>
  <c r="AB15" i="107"/>
  <c r="U15" i="107"/>
  <c r="Q15" i="107"/>
  <c r="P15" i="107"/>
  <c r="L15" i="107"/>
  <c r="K15" i="107"/>
  <c r="G15" i="107"/>
  <c r="F15" i="107"/>
  <c r="AQ14" i="107"/>
  <c r="AL14" i="107"/>
  <c r="AG14" i="107"/>
  <c r="AB14" i="107"/>
  <c r="U14" i="107"/>
  <c r="P14" i="107"/>
  <c r="Q14" i="107" s="1"/>
  <c r="K14" i="107"/>
  <c r="L14" i="107" s="1"/>
  <c r="F14" i="107"/>
  <c r="G14" i="107" s="1"/>
  <c r="AQ13" i="107"/>
  <c r="AL13" i="107"/>
  <c r="AG13" i="107"/>
  <c r="AB13" i="107"/>
  <c r="U13" i="107"/>
  <c r="Q13" i="107"/>
  <c r="P13" i="107"/>
  <c r="L13" i="107"/>
  <c r="K13" i="107"/>
  <c r="G13" i="107"/>
  <c r="F13" i="107"/>
  <c r="AQ12" i="107"/>
  <c r="AQ8" i="107" s="1"/>
  <c r="AL12" i="107"/>
  <c r="AG12" i="107"/>
  <c r="AG8" i="107" s="1"/>
  <c r="AB12" i="107"/>
  <c r="U12" i="107"/>
  <c r="P12" i="107"/>
  <c r="P8" i="107" s="1"/>
  <c r="K12" i="107"/>
  <c r="L12" i="107" s="1"/>
  <c r="F12" i="107"/>
  <c r="G12" i="107" s="1"/>
  <c r="AQ11" i="107"/>
  <c r="AL11" i="107"/>
  <c r="AG11" i="107"/>
  <c r="AB11" i="107"/>
  <c r="W11" i="107"/>
  <c r="W12" i="107" s="1"/>
  <c r="W13" i="107" s="1"/>
  <c r="W14" i="107" s="1"/>
  <c r="W15" i="107" s="1"/>
  <c r="W16" i="107" s="1"/>
  <c r="W17" i="107" s="1"/>
  <c r="W18" i="107" s="1"/>
  <c r="W19" i="107" s="1"/>
  <c r="W20" i="107" s="1"/>
  <c r="W21" i="107" s="1"/>
  <c r="W22" i="107" s="1"/>
  <c r="U11" i="107"/>
  <c r="Q11" i="107"/>
  <c r="P11" i="107"/>
  <c r="L11" i="107"/>
  <c r="K11" i="107"/>
  <c r="G11" i="107"/>
  <c r="F11" i="107"/>
  <c r="A11" i="107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Q10" i="107"/>
  <c r="AM10" i="107"/>
  <c r="AL10" i="107"/>
  <c r="AJ10" i="107"/>
  <c r="AJ11" i="107" s="1"/>
  <c r="AG10" i="107"/>
  <c r="AB10" i="107"/>
  <c r="Z10" i="107"/>
  <c r="AC10" i="107" s="1"/>
  <c r="W10" i="107"/>
  <c r="U10" i="107"/>
  <c r="P10" i="107"/>
  <c r="Q10" i="107" s="1"/>
  <c r="K10" i="107"/>
  <c r="K8" i="107" s="1"/>
  <c r="F10" i="107"/>
  <c r="G10" i="107" s="1"/>
  <c r="A10" i="107"/>
  <c r="AQ9" i="107"/>
  <c r="AO9" i="107"/>
  <c r="AR9" i="107" s="1"/>
  <c r="AL9" i="107"/>
  <c r="AL8" i="107" s="1"/>
  <c r="AJ9" i="107"/>
  <c r="AM9" i="107" s="1"/>
  <c r="AH9" i="107"/>
  <c r="AG9" i="107"/>
  <c r="AE9" i="107"/>
  <c r="AE10" i="107" s="1"/>
  <c r="AB9" i="107"/>
  <c r="AB8" i="107" s="1"/>
  <c r="Z9" i="107"/>
  <c r="AC9" i="107" s="1"/>
  <c r="V9" i="107"/>
  <c r="U9" i="107"/>
  <c r="U8" i="107" s="1"/>
  <c r="S9" i="107"/>
  <c r="S10" i="107" s="1"/>
  <c r="P9" i="107"/>
  <c r="Q9" i="107" s="1"/>
  <c r="K9" i="107"/>
  <c r="L9" i="107" s="1"/>
  <c r="F9" i="107"/>
  <c r="F8" i="107" s="1"/>
  <c r="AO8" i="107"/>
  <c r="AN8" i="107"/>
  <c r="AI8" i="107"/>
  <c r="AD8" i="107"/>
  <c r="Y8" i="107"/>
  <c r="R8" i="107"/>
  <c r="N8" i="107"/>
  <c r="M8" i="107"/>
  <c r="I8" i="107"/>
  <c r="H8" i="107"/>
  <c r="C8" i="107"/>
  <c r="D7" i="107"/>
  <c r="E7" i="107" s="1"/>
  <c r="F7" i="107" s="1"/>
  <c r="G7" i="107" s="1"/>
  <c r="H7" i="107" s="1"/>
  <c r="I7" i="107" s="1"/>
  <c r="J7" i="107" s="1"/>
  <c r="K7" i="107" s="1"/>
  <c r="L7" i="107" s="1"/>
  <c r="M7" i="107" s="1"/>
  <c r="N7" i="107" s="1"/>
  <c r="O7" i="107" s="1"/>
  <c r="P7" i="107" s="1"/>
  <c r="Q7" i="107" s="1"/>
  <c r="R7" i="107" s="1"/>
  <c r="S7" i="107" s="1"/>
  <c r="T7" i="107" s="1"/>
  <c r="U7" i="107" s="1"/>
  <c r="V7" i="107" s="1"/>
  <c r="Y7" i="107" s="1"/>
  <c r="Z7" i="107" s="1"/>
  <c r="AA7" i="107" s="1"/>
  <c r="AB7" i="107" s="1"/>
  <c r="AC7" i="107" s="1"/>
  <c r="AD7" i="107" s="1"/>
  <c r="AE7" i="107" s="1"/>
  <c r="AF7" i="107" s="1"/>
  <c r="AG7" i="107" s="1"/>
  <c r="AH7" i="107" s="1"/>
  <c r="AI7" i="107" s="1"/>
  <c r="AJ7" i="107" s="1"/>
  <c r="AK7" i="107" s="1"/>
  <c r="AL7" i="107" s="1"/>
  <c r="AM7" i="107" s="1"/>
  <c r="AN7" i="107" s="1"/>
  <c r="AO7" i="107" s="1"/>
  <c r="AP7" i="107" s="1"/>
  <c r="AQ7" i="107" s="1"/>
  <c r="AR7" i="107" s="1"/>
  <c r="AH10" i="107" l="1"/>
  <c r="AE11" i="107"/>
  <c r="AJ12" i="107"/>
  <c r="AM11" i="107"/>
  <c r="V10" i="107"/>
  <c r="S11" i="107"/>
  <c r="Z11" i="107"/>
  <c r="G9" i="107"/>
  <c r="G119" i="107" s="1"/>
  <c r="G8" i="107" s="1"/>
  <c r="L10" i="107"/>
  <c r="L119" i="107" s="1"/>
  <c r="L8" i="107" s="1"/>
  <c r="AO10" i="107"/>
  <c r="Q12" i="107"/>
  <c r="Q119" i="107" s="1"/>
  <c r="Q8" i="107" s="1"/>
  <c r="AO11" i="107" l="1"/>
  <c r="AR10" i="107"/>
  <c r="V11" i="107"/>
  <c r="S12" i="107"/>
  <c r="AM12" i="107"/>
  <c r="AJ13" i="107"/>
  <c r="Z12" i="107"/>
  <c r="AC11" i="107"/>
  <c r="AH11" i="107"/>
  <c r="AE12" i="107"/>
  <c r="AM13" i="107" l="1"/>
  <c r="AJ14" i="107"/>
  <c r="V12" i="107"/>
  <c r="S13" i="107"/>
  <c r="Z13" i="107"/>
  <c r="AC12" i="107"/>
  <c r="AH12" i="107"/>
  <c r="AE13" i="107"/>
  <c r="AR11" i="107"/>
  <c r="AO12" i="107"/>
  <c r="AO13" i="107" l="1"/>
  <c r="AR12" i="107"/>
  <c r="AJ15" i="107"/>
  <c r="AM14" i="107"/>
  <c r="Z14" i="107"/>
  <c r="AC13" i="107"/>
  <c r="V13" i="107"/>
  <c r="S14" i="107"/>
  <c r="AH13" i="107"/>
  <c r="AE14" i="107"/>
  <c r="AJ16" i="107" l="1"/>
  <c r="AM15" i="107"/>
  <c r="AC14" i="107"/>
  <c r="Z15" i="107"/>
  <c r="AE15" i="107"/>
  <c r="AH14" i="107"/>
  <c r="V14" i="107"/>
  <c r="S15" i="107"/>
  <c r="AO14" i="107"/>
  <c r="AR13" i="107"/>
  <c r="Z16" i="107" l="1"/>
  <c r="AC15" i="107"/>
  <c r="AO15" i="107"/>
  <c r="AR14" i="107"/>
  <c r="S16" i="107"/>
  <c r="V15" i="107"/>
  <c r="AE16" i="107"/>
  <c r="AH15" i="107"/>
  <c r="AM16" i="107"/>
  <c r="AJ17" i="107"/>
  <c r="AE17" i="107" l="1"/>
  <c r="AH16" i="107"/>
  <c r="V16" i="107"/>
  <c r="S17" i="107"/>
  <c r="AO16" i="107"/>
  <c r="AR15" i="107"/>
  <c r="AM17" i="107"/>
  <c r="AJ18" i="107"/>
  <c r="Z17" i="107"/>
  <c r="AC16" i="107"/>
  <c r="AJ19" i="107" l="1"/>
  <c r="AM18" i="107"/>
  <c r="AO17" i="107"/>
  <c r="AR16" i="107"/>
  <c r="S18" i="107"/>
  <c r="V17" i="107"/>
  <c r="Z18" i="107"/>
  <c r="AC17" i="107"/>
  <c r="AH17" i="107"/>
  <c r="AE18" i="107"/>
  <c r="AC18" i="107" l="1"/>
  <c r="Z19" i="107"/>
  <c r="S19" i="107"/>
  <c r="V18" i="107"/>
  <c r="AO18" i="107"/>
  <c r="AR17" i="107"/>
  <c r="AE19" i="107"/>
  <c r="AH18" i="107"/>
  <c r="AJ20" i="107"/>
  <c r="AM19" i="107"/>
  <c r="AE20" i="107" l="1"/>
  <c r="AH19" i="107"/>
  <c r="S20" i="107"/>
  <c r="V19" i="107"/>
  <c r="AR18" i="107"/>
  <c r="AO19" i="107"/>
  <c r="AC19" i="107"/>
  <c r="Z20" i="107"/>
  <c r="AJ21" i="107"/>
  <c r="AM20" i="107"/>
  <c r="S21" i="107" l="1"/>
  <c r="V20" i="107"/>
  <c r="AC20" i="107"/>
  <c r="Z21" i="107"/>
  <c r="AO20" i="107"/>
  <c r="AR19" i="107"/>
  <c r="AJ22" i="107"/>
  <c r="AM21" i="107"/>
  <c r="AE21" i="107"/>
  <c r="AH20" i="107"/>
  <c r="AM22" i="107" l="1"/>
  <c r="AJ23" i="107"/>
  <c r="AR20" i="107"/>
  <c r="AO21" i="107"/>
  <c r="Z22" i="107"/>
  <c r="AC21" i="107"/>
  <c r="AE22" i="107"/>
  <c r="AH21" i="107"/>
  <c r="S22" i="107"/>
  <c r="V21" i="107"/>
  <c r="AH22" i="107" l="1"/>
  <c r="AE23" i="107"/>
  <c r="Z23" i="107"/>
  <c r="AC22" i="107"/>
  <c r="AM23" i="107"/>
  <c r="AJ24" i="107"/>
  <c r="AO22" i="107"/>
  <c r="AR21" i="107"/>
  <c r="S23" i="107"/>
  <c r="V22" i="107"/>
  <c r="Z24" i="107" l="1"/>
  <c r="AC23" i="107"/>
  <c r="AO23" i="107"/>
  <c r="AR22" i="107"/>
  <c r="AE24" i="107"/>
  <c r="AH23" i="107"/>
  <c r="AJ25" i="107"/>
  <c r="AM24" i="107"/>
  <c r="S24" i="107"/>
  <c r="V23" i="107"/>
  <c r="AR23" i="107" l="1"/>
  <c r="AO24" i="107"/>
  <c r="AJ26" i="107"/>
  <c r="AM25" i="107"/>
  <c r="AE25" i="107"/>
  <c r="AH24" i="107"/>
  <c r="V24" i="107"/>
  <c r="S25" i="107"/>
  <c r="AC24" i="107"/>
  <c r="Z25" i="107"/>
  <c r="V25" i="107" l="1"/>
  <c r="S26" i="107"/>
  <c r="AJ27" i="107"/>
  <c r="AM26" i="107"/>
  <c r="AH25" i="107"/>
  <c r="AE26" i="107"/>
  <c r="AR24" i="107"/>
  <c r="AO25" i="107"/>
  <c r="AC25" i="107"/>
  <c r="Z26" i="107"/>
  <c r="AJ28" i="107" l="1"/>
  <c r="AM27" i="107"/>
  <c r="S27" i="107"/>
  <c r="V26" i="107"/>
  <c r="AO26" i="107"/>
  <c r="AR25" i="107"/>
  <c r="AH26" i="107"/>
  <c r="AE27" i="107"/>
  <c r="AC26" i="107"/>
  <c r="Z27" i="107"/>
  <c r="V27" i="107" l="1"/>
  <c r="S28" i="107"/>
  <c r="AH27" i="107"/>
  <c r="AE28" i="107"/>
  <c r="AO27" i="107"/>
  <c r="AR26" i="107"/>
  <c r="AC27" i="107"/>
  <c r="Z28" i="107"/>
  <c r="AJ29" i="107"/>
  <c r="AM28" i="107"/>
  <c r="AC28" i="107" l="1"/>
  <c r="Z29" i="107"/>
  <c r="AR27" i="107"/>
  <c r="AO28" i="107"/>
  <c r="V28" i="107"/>
  <c r="S29" i="107"/>
  <c r="AH28" i="107"/>
  <c r="AE29" i="107"/>
  <c r="AJ30" i="107"/>
  <c r="AM29" i="107"/>
  <c r="AH29" i="107" l="1"/>
  <c r="AE30" i="107"/>
  <c r="S30" i="107"/>
  <c r="V29" i="107"/>
  <c r="AR28" i="107"/>
  <c r="AO29" i="107"/>
  <c r="AC29" i="107"/>
  <c r="Z30" i="107"/>
  <c r="AM30" i="107"/>
  <c r="AJ31" i="107"/>
  <c r="Z31" i="107" l="1"/>
  <c r="AC30" i="107"/>
  <c r="S31" i="107"/>
  <c r="V30" i="107"/>
  <c r="AH30" i="107"/>
  <c r="AE31" i="107"/>
  <c r="AR29" i="107"/>
  <c r="AO30" i="107"/>
  <c r="AM31" i="107"/>
  <c r="AJ32" i="107"/>
  <c r="AO31" i="107" l="1"/>
  <c r="AR30" i="107"/>
  <c r="AE32" i="107"/>
  <c r="AH31" i="107"/>
  <c r="S32" i="107"/>
  <c r="V31" i="107"/>
  <c r="AJ33" i="107"/>
  <c r="AM32" i="107"/>
  <c r="Z32" i="107"/>
  <c r="AC31" i="107"/>
  <c r="S33" i="107" l="1"/>
  <c r="V32" i="107"/>
  <c r="AJ34" i="107"/>
  <c r="AM33" i="107"/>
  <c r="AE33" i="107"/>
  <c r="AH32" i="107"/>
  <c r="Z33" i="107"/>
  <c r="AC32" i="107"/>
  <c r="AR31" i="107"/>
  <c r="AO32" i="107"/>
  <c r="AH33" i="107" l="1"/>
  <c r="AE34" i="107"/>
  <c r="AC33" i="107"/>
  <c r="Z34" i="107"/>
  <c r="AJ35" i="107"/>
  <c r="AM34" i="107"/>
  <c r="AR32" i="107"/>
  <c r="AO33" i="107"/>
  <c r="S34" i="107"/>
  <c r="V33" i="107"/>
  <c r="AO34" i="107" l="1"/>
  <c r="AR33" i="107"/>
  <c r="AC34" i="107"/>
  <c r="Z35" i="107"/>
  <c r="AH34" i="107"/>
  <c r="AE35" i="107"/>
  <c r="AM35" i="107"/>
  <c r="AJ36" i="107"/>
  <c r="S35" i="107"/>
  <c r="V34" i="107"/>
  <c r="AM36" i="107" l="1"/>
  <c r="AJ37" i="107"/>
  <c r="AH35" i="107"/>
  <c r="AE36" i="107"/>
  <c r="AC35" i="107"/>
  <c r="Z36" i="107"/>
  <c r="V35" i="107"/>
  <c r="S36" i="107"/>
  <c r="AO35" i="107"/>
  <c r="AR34" i="107"/>
  <c r="V36" i="107" l="1"/>
  <c r="S37" i="107"/>
  <c r="AJ38" i="107"/>
  <c r="AM37" i="107"/>
  <c r="AC36" i="107"/>
  <c r="Z37" i="107"/>
  <c r="AH36" i="107"/>
  <c r="AE37" i="107"/>
  <c r="AR35" i="107"/>
  <c r="AO36" i="107"/>
  <c r="AC37" i="107" l="1"/>
  <c r="Z38" i="107"/>
  <c r="AM38" i="107"/>
  <c r="AJ39" i="107"/>
  <c r="AR36" i="107"/>
  <c r="AO37" i="107"/>
  <c r="S38" i="107"/>
  <c r="V37" i="107"/>
  <c r="AH37" i="107"/>
  <c r="AE38" i="107"/>
  <c r="AR37" i="107" l="1"/>
  <c r="AO38" i="107"/>
  <c r="AM39" i="107"/>
  <c r="AJ40" i="107"/>
  <c r="Z39" i="107"/>
  <c r="AC38" i="107"/>
  <c r="S39" i="107"/>
  <c r="V38" i="107"/>
  <c r="AH38" i="107"/>
  <c r="AE39" i="107"/>
  <c r="S40" i="107" l="1"/>
  <c r="V39" i="107"/>
  <c r="Z40" i="107"/>
  <c r="AC39" i="107"/>
  <c r="AR38" i="107"/>
  <c r="AO39" i="107"/>
  <c r="AJ41" i="107"/>
  <c r="AM40" i="107"/>
  <c r="AE40" i="107"/>
  <c r="AH39" i="107"/>
  <c r="AJ42" i="107" l="1"/>
  <c r="AM41" i="107"/>
  <c r="AC40" i="107"/>
  <c r="Z41" i="107"/>
  <c r="AR39" i="107"/>
  <c r="AO40" i="107"/>
  <c r="AE41" i="107"/>
  <c r="AH40" i="107"/>
  <c r="S41" i="107"/>
  <c r="V40" i="107"/>
  <c r="AH41" i="107" l="1"/>
  <c r="AE42" i="107"/>
  <c r="AR40" i="107"/>
  <c r="AO41" i="107"/>
  <c r="AC41" i="107"/>
  <c r="Z42" i="107"/>
  <c r="S42" i="107"/>
  <c r="V41" i="107"/>
  <c r="AJ43" i="107"/>
  <c r="AM42" i="107"/>
  <c r="S43" i="107" l="1"/>
  <c r="V42" i="107"/>
  <c r="AC42" i="107"/>
  <c r="Z43" i="107"/>
  <c r="AO42" i="107"/>
  <c r="AR41" i="107"/>
  <c r="AH42" i="107"/>
  <c r="AE43" i="107"/>
  <c r="AJ44" i="107"/>
  <c r="AM43" i="107"/>
  <c r="AE44" i="107" l="1"/>
  <c r="AH43" i="107"/>
  <c r="AO43" i="107"/>
  <c r="AR42" i="107"/>
  <c r="AC43" i="107"/>
  <c r="Z44" i="107"/>
  <c r="AM44" i="107"/>
  <c r="AJ45" i="107"/>
  <c r="V43" i="107"/>
  <c r="S44" i="107"/>
  <c r="AM45" i="107" l="1"/>
  <c r="AJ46" i="107"/>
  <c r="AC44" i="107"/>
  <c r="Z45" i="107"/>
  <c r="AR43" i="107"/>
  <c r="AO44" i="107"/>
  <c r="V44" i="107"/>
  <c r="S45" i="107"/>
  <c r="AE45" i="107"/>
  <c r="AH44" i="107"/>
  <c r="S46" i="107" l="1"/>
  <c r="V45" i="107"/>
  <c r="AR44" i="107"/>
  <c r="AO45" i="107"/>
  <c r="AC45" i="107"/>
  <c r="Z46" i="107"/>
  <c r="AM46" i="107"/>
  <c r="AJ47" i="107"/>
  <c r="AH45" i="107"/>
  <c r="AE46" i="107"/>
  <c r="AM47" i="107" l="1"/>
  <c r="AJ48" i="107"/>
  <c r="Z47" i="107"/>
  <c r="AC46" i="107"/>
  <c r="AR45" i="107"/>
  <c r="AO46" i="107"/>
  <c r="AH46" i="107"/>
  <c r="AE47" i="107"/>
  <c r="S47" i="107"/>
  <c r="V46" i="107"/>
  <c r="Z48" i="107" l="1"/>
  <c r="AC47" i="107"/>
  <c r="AE48" i="107"/>
  <c r="AH47" i="107"/>
  <c r="AR46" i="107"/>
  <c r="AO47" i="107"/>
  <c r="AJ49" i="107"/>
  <c r="AM48" i="107"/>
  <c r="S48" i="107"/>
  <c r="V47" i="107"/>
  <c r="AR47" i="107" l="1"/>
  <c r="AO48" i="107"/>
  <c r="AE49" i="107"/>
  <c r="AH48" i="107"/>
  <c r="AJ50" i="107"/>
  <c r="AM49" i="107"/>
  <c r="S49" i="107"/>
  <c r="V48" i="107"/>
  <c r="AC48" i="107"/>
  <c r="Z49" i="107"/>
  <c r="V49" i="107" l="1"/>
  <c r="S50" i="107"/>
  <c r="AH49" i="107"/>
  <c r="AE50" i="107"/>
  <c r="AM50" i="107"/>
  <c r="AJ51" i="107"/>
  <c r="Z50" i="107"/>
  <c r="AC49" i="107"/>
  <c r="AR48" i="107"/>
  <c r="AO49" i="107"/>
  <c r="AC50" i="107" l="1"/>
  <c r="Z51" i="107"/>
  <c r="AO50" i="107"/>
  <c r="AR49" i="107"/>
  <c r="V50" i="107"/>
  <c r="S51" i="107"/>
  <c r="AJ52" i="107"/>
  <c r="AM51" i="107"/>
  <c r="AE51" i="107"/>
  <c r="AH50" i="107"/>
  <c r="AM52" i="107" l="1"/>
  <c r="AJ53" i="107"/>
  <c r="AC51" i="107"/>
  <c r="Z52" i="107"/>
  <c r="V51" i="107"/>
  <c r="S52" i="107"/>
  <c r="AO51" i="107"/>
  <c r="AR50" i="107"/>
  <c r="AE52" i="107"/>
  <c r="AH51" i="107"/>
  <c r="Z53" i="107" l="1"/>
  <c r="AC52" i="107"/>
  <c r="AR51" i="107"/>
  <c r="AO52" i="107"/>
  <c r="S53" i="107"/>
  <c r="V52" i="107"/>
  <c r="AM53" i="107"/>
  <c r="AJ54" i="107"/>
  <c r="AE53" i="107"/>
  <c r="AH52" i="107"/>
  <c r="AJ55" i="107" l="1"/>
  <c r="AM54" i="107"/>
  <c r="AO53" i="107"/>
  <c r="AR52" i="107"/>
  <c r="S54" i="107"/>
  <c r="V53" i="107"/>
  <c r="AE54" i="107"/>
  <c r="AH53" i="107"/>
  <c r="Z54" i="107"/>
  <c r="AC53" i="107"/>
  <c r="AE55" i="107" l="1"/>
  <c r="AH54" i="107"/>
  <c r="AO54" i="107"/>
  <c r="AR53" i="107"/>
  <c r="S55" i="107"/>
  <c r="V54" i="107"/>
  <c r="AC54" i="107"/>
  <c r="Z55" i="107"/>
  <c r="AJ56" i="107"/>
  <c r="AM55" i="107"/>
  <c r="V55" i="107" l="1"/>
  <c r="S56" i="107"/>
  <c r="AC55" i="107"/>
  <c r="Z56" i="107"/>
  <c r="AR54" i="107"/>
  <c r="AO55" i="107"/>
  <c r="AM56" i="107"/>
  <c r="AJ57" i="107"/>
  <c r="AH55" i="107"/>
  <c r="AE56" i="107"/>
  <c r="AM57" i="107" l="1"/>
  <c r="AJ58" i="107"/>
  <c r="AO56" i="107"/>
  <c r="AR55" i="107"/>
  <c r="AC56" i="107"/>
  <c r="Z57" i="107"/>
  <c r="V56" i="107"/>
  <c r="S57" i="107"/>
  <c r="AH56" i="107"/>
  <c r="AE57" i="107"/>
  <c r="AO57" i="107" l="1"/>
  <c r="AR56" i="107"/>
  <c r="S58" i="107"/>
  <c r="V57" i="107"/>
  <c r="AM58" i="107"/>
  <c r="AJ59" i="107"/>
  <c r="AC57" i="107"/>
  <c r="Z58" i="107"/>
  <c r="AH57" i="107"/>
  <c r="AE58" i="107"/>
  <c r="Z59" i="107" l="1"/>
  <c r="AC58" i="107"/>
  <c r="AM59" i="107"/>
  <c r="AJ60" i="107"/>
  <c r="V58" i="107"/>
  <c r="S59" i="107"/>
  <c r="AH58" i="107"/>
  <c r="AE59" i="107"/>
  <c r="AO58" i="107"/>
  <c r="AR57" i="107"/>
  <c r="S60" i="107" l="1"/>
  <c r="V59" i="107"/>
  <c r="AJ61" i="107"/>
  <c r="AM60" i="107"/>
  <c r="AE60" i="107"/>
  <c r="AH59" i="107"/>
  <c r="AO59" i="107"/>
  <c r="AR58" i="107"/>
  <c r="AC59" i="107"/>
  <c r="Z60" i="107"/>
  <c r="AM61" i="107" l="1"/>
  <c r="AJ62" i="107"/>
  <c r="AR59" i="107"/>
  <c r="AO60" i="107"/>
  <c r="AH60" i="107"/>
  <c r="AE61" i="107"/>
  <c r="Z61" i="107"/>
  <c r="AC60" i="107"/>
  <c r="S61" i="107"/>
  <c r="V60" i="107"/>
  <c r="AE62" i="107" l="1"/>
  <c r="AH61" i="107"/>
  <c r="AR60" i="107"/>
  <c r="AO61" i="107"/>
  <c r="AJ63" i="107"/>
  <c r="AM62" i="107"/>
  <c r="Z62" i="107"/>
  <c r="AC61" i="107"/>
  <c r="V61" i="107"/>
  <c r="S62" i="107"/>
  <c r="AC62" i="107" l="1"/>
  <c r="Z63" i="107"/>
  <c r="AO62" i="107"/>
  <c r="AR61" i="107"/>
  <c r="AJ64" i="107"/>
  <c r="AM63" i="107"/>
  <c r="S63" i="107"/>
  <c r="V62" i="107"/>
  <c r="AE63" i="107"/>
  <c r="AH62" i="107"/>
  <c r="V63" i="107" l="1"/>
  <c r="S64" i="107"/>
  <c r="AM64" i="107"/>
  <c r="AJ65" i="107"/>
  <c r="AC63" i="107"/>
  <c r="Z64" i="107"/>
  <c r="AR62" i="107"/>
  <c r="AO63" i="107"/>
  <c r="AH63" i="107"/>
  <c r="AE64" i="107"/>
  <c r="AO64" i="107" l="1"/>
  <c r="AR63" i="107"/>
  <c r="AJ66" i="107"/>
  <c r="AM65" i="107"/>
  <c r="AH64" i="107"/>
  <c r="AE65" i="107"/>
  <c r="V64" i="107"/>
  <c r="S65" i="107"/>
  <c r="AC64" i="107"/>
  <c r="Z65" i="107"/>
  <c r="S66" i="107" l="1"/>
  <c r="V65" i="107"/>
  <c r="AJ67" i="107"/>
  <c r="AM66" i="107"/>
  <c r="Z66" i="107"/>
  <c r="AC65" i="107"/>
  <c r="AE66" i="107"/>
  <c r="AH65" i="107"/>
  <c r="AO65" i="107"/>
  <c r="AR64" i="107"/>
  <c r="AJ68" i="107" l="1"/>
  <c r="AM67" i="107"/>
  <c r="AH66" i="107"/>
  <c r="AE67" i="107"/>
  <c r="AC66" i="107"/>
  <c r="Z67" i="107"/>
  <c r="AR65" i="107"/>
  <c r="AO66" i="107"/>
  <c r="S67" i="107"/>
  <c r="V66" i="107"/>
  <c r="AC67" i="107" l="1"/>
  <c r="Z68" i="107"/>
  <c r="AO67" i="107"/>
  <c r="AR66" i="107"/>
  <c r="AH67" i="107"/>
  <c r="AE68" i="107"/>
  <c r="V67" i="107"/>
  <c r="S68" i="107"/>
  <c r="AJ69" i="107"/>
  <c r="AM68" i="107"/>
  <c r="AE69" i="107" l="1"/>
  <c r="AH68" i="107"/>
  <c r="Z69" i="107"/>
  <c r="AC68" i="107"/>
  <c r="V68" i="107"/>
  <c r="S69" i="107"/>
  <c r="AO68" i="107"/>
  <c r="AR67" i="107"/>
  <c r="AJ70" i="107"/>
  <c r="AM69" i="107"/>
  <c r="AO69" i="107" l="1"/>
  <c r="AR68" i="107"/>
  <c r="Z70" i="107"/>
  <c r="AC69" i="107"/>
  <c r="V69" i="107"/>
  <c r="S70" i="107"/>
  <c r="AM70" i="107"/>
  <c r="AJ71" i="107"/>
  <c r="AE70" i="107"/>
  <c r="AH69" i="107"/>
  <c r="AM71" i="107" l="1"/>
  <c r="AJ72" i="107"/>
  <c r="AC70" i="107"/>
  <c r="Z71" i="107"/>
  <c r="S71" i="107"/>
  <c r="V70" i="107"/>
  <c r="AH70" i="107"/>
  <c r="AE71" i="107"/>
  <c r="AR69" i="107"/>
  <c r="AO70" i="107"/>
  <c r="AH71" i="107" l="1"/>
  <c r="AE72" i="107"/>
  <c r="V71" i="107"/>
  <c r="S72" i="107"/>
  <c r="AO71" i="107"/>
  <c r="AR70" i="107"/>
  <c r="AM72" i="107"/>
  <c r="AJ73" i="107"/>
  <c r="Z72" i="107"/>
  <c r="AC71" i="107"/>
  <c r="AJ74" i="107" l="1"/>
  <c r="AM73" i="107"/>
  <c r="S73" i="107"/>
  <c r="V72" i="107"/>
  <c r="AE73" i="107"/>
  <c r="AH72" i="107"/>
  <c r="AR71" i="107"/>
  <c r="AO72" i="107"/>
  <c r="AC72" i="107"/>
  <c r="Z73" i="107"/>
  <c r="V73" i="107" l="1"/>
  <c r="S74" i="107"/>
  <c r="AR72" i="107"/>
  <c r="AO73" i="107"/>
  <c r="AE74" i="107"/>
  <c r="AH73" i="107"/>
  <c r="Z74" i="107"/>
  <c r="AC73" i="107"/>
  <c r="AJ75" i="107"/>
  <c r="AM74" i="107"/>
  <c r="AC74" i="107" l="1"/>
  <c r="Z75" i="107"/>
  <c r="AH74" i="107"/>
  <c r="AE75" i="107"/>
  <c r="S75" i="107"/>
  <c r="V74" i="107"/>
  <c r="AR73" i="107"/>
  <c r="AO74" i="107"/>
  <c r="AM75" i="107"/>
  <c r="AJ76" i="107"/>
  <c r="AO75" i="107" l="1"/>
  <c r="AR74" i="107"/>
  <c r="AH75" i="107"/>
  <c r="AE76" i="107"/>
  <c r="AM76" i="107"/>
  <c r="AJ77" i="107"/>
  <c r="Z76" i="107"/>
  <c r="AC75" i="107"/>
  <c r="V75" i="107"/>
  <c r="S76" i="107"/>
  <c r="AC76" i="107" l="1"/>
  <c r="Z77" i="107"/>
  <c r="AE77" i="107"/>
  <c r="AH76" i="107"/>
  <c r="AJ78" i="107"/>
  <c r="AM77" i="107"/>
  <c r="S77" i="107"/>
  <c r="V76" i="107"/>
  <c r="AR75" i="107"/>
  <c r="AO76" i="107"/>
  <c r="AM78" i="107" l="1"/>
  <c r="AJ79" i="107"/>
  <c r="AE78" i="107"/>
  <c r="AH77" i="107"/>
  <c r="Z78" i="107"/>
  <c r="AC77" i="107"/>
  <c r="V77" i="107"/>
  <c r="S78" i="107"/>
  <c r="AR76" i="107"/>
  <c r="AO77" i="107"/>
  <c r="S79" i="107" l="1"/>
  <c r="V78" i="107"/>
  <c r="AC78" i="107"/>
  <c r="Z79" i="107"/>
  <c r="AE79" i="107"/>
  <c r="AH78" i="107"/>
  <c r="AM79" i="107"/>
  <c r="AJ80" i="107"/>
  <c r="AR77" i="107"/>
  <c r="AO78" i="107"/>
  <c r="AM80" i="107" l="1"/>
  <c r="AJ81" i="107"/>
  <c r="AH79" i="107"/>
  <c r="AE80" i="107"/>
  <c r="Z80" i="107"/>
  <c r="AC79" i="107"/>
  <c r="AO79" i="107"/>
  <c r="AR78" i="107"/>
  <c r="V79" i="107"/>
  <c r="S80" i="107"/>
  <c r="AE81" i="107" l="1"/>
  <c r="AH80" i="107"/>
  <c r="AJ82" i="107"/>
  <c r="AM81" i="107"/>
  <c r="AR79" i="107"/>
  <c r="AO80" i="107"/>
  <c r="Z81" i="107"/>
  <c r="AC80" i="107"/>
  <c r="S81" i="107"/>
  <c r="V80" i="107"/>
  <c r="AM82" i="107" l="1"/>
  <c r="AJ83" i="107"/>
  <c r="AO81" i="107"/>
  <c r="AR80" i="107"/>
  <c r="Z82" i="107"/>
  <c r="AC81" i="107"/>
  <c r="V81" i="107"/>
  <c r="S82" i="107"/>
  <c r="AE82" i="107"/>
  <c r="AH81" i="107"/>
  <c r="AR81" i="107" l="1"/>
  <c r="AO82" i="107"/>
  <c r="S83" i="107"/>
  <c r="V82" i="107"/>
  <c r="AM83" i="107"/>
  <c r="AJ84" i="107"/>
  <c r="AC82" i="107"/>
  <c r="Z83" i="107"/>
  <c r="AE83" i="107"/>
  <c r="AH82" i="107"/>
  <c r="V83" i="107" l="1"/>
  <c r="S84" i="107"/>
  <c r="AM84" i="107"/>
  <c r="AJ85" i="107"/>
  <c r="AO83" i="107"/>
  <c r="AR82" i="107"/>
  <c r="Z84" i="107"/>
  <c r="AC83" i="107"/>
  <c r="AH83" i="107"/>
  <c r="AE84" i="107"/>
  <c r="AR83" i="107" l="1"/>
  <c r="AO84" i="107"/>
  <c r="Z85" i="107"/>
  <c r="AC84" i="107"/>
  <c r="AJ86" i="107"/>
  <c r="AM85" i="107"/>
  <c r="AE85" i="107"/>
  <c r="AH84" i="107"/>
  <c r="S85" i="107"/>
  <c r="V84" i="107"/>
  <c r="AE86" i="107" l="1"/>
  <c r="AH85" i="107"/>
  <c r="Z86" i="107"/>
  <c r="AC85" i="107"/>
  <c r="AO85" i="107"/>
  <c r="AR84" i="107"/>
  <c r="AJ87" i="107"/>
  <c r="AM86" i="107"/>
  <c r="V85" i="107"/>
  <c r="S86" i="107"/>
  <c r="AJ88" i="107" l="1"/>
  <c r="AM87" i="107"/>
  <c r="AC86" i="107"/>
  <c r="Z87" i="107"/>
  <c r="AR85" i="107"/>
  <c r="AO86" i="107"/>
  <c r="S87" i="107"/>
  <c r="V86" i="107"/>
  <c r="AE87" i="107"/>
  <c r="AH86" i="107"/>
  <c r="S88" i="107" l="1"/>
  <c r="V87" i="107"/>
  <c r="AO87" i="107"/>
  <c r="AR86" i="107"/>
  <c r="Z88" i="107"/>
  <c r="AC87" i="107"/>
  <c r="AH87" i="107"/>
  <c r="AE88" i="107"/>
  <c r="AM88" i="107"/>
  <c r="AJ89" i="107"/>
  <c r="AE89" i="107" l="1"/>
  <c r="AH88" i="107"/>
  <c r="AR87" i="107"/>
  <c r="AO88" i="107"/>
  <c r="Z89" i="107"/>
  <c r="AC88" i="107"/>
  <c r="AJ90" i="107"/>
  <c r="AM89" i="107"/>
  <c r="S89" i="107"/>
  <c r="V88" i="107"/>
  <c r="AJ91" i="107" l="1"/>
  <c r="AM90" i="107"/>
  <c r="AO89" i="107"/>
  <c r="AR88" i="107"/>
  <c r="Z90" i="107"/>
  <c r="AC89" i="107"/>
  <c r="V89" i="107"/>
  <c r="S90" i="107"/>
  <c r="AE90" i="107"/>
  <c r="AH89" i="107"/>
  <c r="S91" i="107" l="1"/>
  <c r="V90" i="107"/>
  <c r="AR89" i="107"/>
  <c r="AO90" i="107"/>
  <c r="AC90" i="107"/>
  <c r="Z91" i="107"/>
  <c r="AE91" i="107"/>
  <c r="AH90" i="107"/>
  <c r="AJ92" i="107"/>
  <c r="AM91" i="107"/>
  <c r="Z92" i="107" l="1"/>
  <c r="AC91" i="107"/>
  <c r="AH91" i="107"/>
  <c r="AE92" i="107"/>
  <c r="AO91" i="107"/>
  <c r="AR90" i="107"/>
  <c r="AM92" i="107"/>
  <c r="AJ93" i="107"/>
  <c r="S92" i="107"/>
  <c r="V91" i="107"/>
  <c r="AJ94" i="107" l="1"/>
  <c r="AM93" i="107"/>
  <c r="AR91" i="107"/>
  <c r="AO92" i="107"/>
  <c r="AE93" i="107"/>
  <c r="AH92" i="107"/>
  <c r="S93" i="107"/>
  <c r="V92" i="107"/>
  <c r="Z93" i="107"/>
  <c r="AC92" i="107"/>
  <c r="AE94" i="107" l="1"/>
  <c r="AH93" i="107"/>
  <c r="V93" i="107"/>
  <c r="S94" i="107"/>
  <c r="AO93" i="107"/>
  <c r="AR92" i="107"/>
  <c r="Z94" i="107"/>
  <c r="AC93" i="107"/>
  <c r="AJ95" i="107"/>
  <c r="AM94" i="107"/>
  <c r="AC94" i="107" l="1"/>
  <c r="Z95" i="107"/>
  <c r="S95" i="107"/>
  <c r="V94" i="107"/>
  <c r="AR93" i="107"/>
  <c r="AO94" i="107"/>
  <c r="AM95" i="107"/>
  <c r="AJ96" i="107"/>
  <c r="AE95" i="107"/>
  <c r="AH94" i="107"/>
  <c r="V95" i="107" l="1"/>
  <c r="S96" i="107"/>
  <c r="AM96" i="107"/>
  <c r="AJ97" i="107"/>
  <c r="Z96" i="107"/>
  <c r="AC95" i="107"/>
  <c r="AO95" i="107"/>
  <c r="AR94" i="107"/>
  <c r="AH95" i="107"/>
  <c r="AE96" i="107"/>
  <c r="AO96" i="107" l="1"/>
  <c r="AR95" i="107"/>
  <c r="Z97" i="107"/>
  <c r="AC96" i="107"/>
  <c r="AE97" i="107"/>
  <c r="AH96" i="107"/>
  <c r="V96" i="107"/>
  <c r="S97" i="107"/>
  <c r="AJ98" i="107"/>
  <c r="AM97" i="107"/>
  <c r="V97" i="107" l="1"/>
  <c r="S98" i="107"/>
  <c r="Z98" i="107"/>
  <c r="AC97" i="107"/>
  <c r="AE98" i="107"/>
  <c r="AH97" i="107"/>
  <c r="AJ99" i="107"/>
  <c r="AM98" i="107"/>
  <c r="AO97" i="107"/>
  <c r="AR96" i="107"/>
  <c r="S99" i="107" l="1"/>
  <c r="V98" i="107"/>
  <c r="AM99" i="107"/>
  <c r="AJ100" i="107"/>
  <c r="AE99" i="107"/>
  <c r="AH98" i="107"/>
  <c r="AC98" i="107"/>
  <c r="Z99" i="107"/>
  <c r="AR97" i="107"/>
  <c r="AO98" i="107"/>
  <c r="Z100" i="107" l="1"/>
  <c r="AC99" i="107"/>
  <c r="AH99" i="107"/>
  <c r="AE100" i="107"/>
  <c r="AM100" i="107"/>
  <c r="AJ101" i="107"/>
  <c r="AO99" i="107"/>
  <c r="AR98" i="107"/>
  <c r="V99" i="107"/>
  <c r="S100" i="107"/>
  <c r="AO100" i="107" l="1"/>
  <c r="AR99" i="107"/>
  <c r="V100" i="107"/>
  <c r="S101" i="107"/>
  <c r="AJ102" i="107"/>
  <c r="AM101" i="107"/>
  <c r="AE101" i="107"/>
  <c r="AH100" i="107"/>
  <c r="Z101" i="107"/>
  <c r="AC100" i="107"/>
  <c r="AE102" i="107" l="1"/>
  <c r="AH101" i="107"/>
  <c r="AJ103" i="107"/>
  <c r="AM102" i="107"/>
  <c r="V101" i="107"/>
  <c r="S102" i="107"/>
  <c r="Z102" i="107"/>
  <c r="AC101" i="107"/>
  <c r="AO101" i="107"/>
  <c r="AR100" i="107"/>
  <c r="S103" i="107" l="1"/>
  <c r="V102" i="107"/>
  <c r="AM103" i="107"/>
  <c r="AJ104" i="107"/>
  <c r="AC102" i="107"/>
  <c r="Z103" i="107"/>
  <c r="AR101" i="107"/>
  <c r="AO102" i="107"/>
  <c r="AH102" i="107"/>
  <c r="AE103" i="107"/>
  <c r="AO103" i="107" l="1"/>
  <c r="AR102" i="107"/>
  <c r="Z104" i="107"/>
  <c r="AC103" i="107"/>
  <c r="AM104" i="107"/>
  <c r="AJ105" i="107"/>
  <c r="AH103" i="107"/>
  <c r="AE104" i="107"/>
  <c r="V103" i="107"/>
  <c r="S104" i="107"/>
  <c r="AE105" i="107" l="1"/>
  <c r="AH104" i="107"/>
  <c r="AJ106" i="107"/>
  <c r="AM105" i="107"/>
  <c r="AC104" i="107"/>
  <c r="Z105" i="107"/>
  <c r="S105" i="107"/>
  <c r="V104" i="107"/>
  <c r="AR103" i="107"/>
  <c r="AO104" i="107"/>
  <c r="AJ107" i="107" l="1"/>
  <c r="AM106" i="107"/>
  <c r="Z106" i="107"/>
  <c r="AC105" i="107"/>
  <c r="V105" i="107"/>
  <c r="S106" i="107"/>
  <c r="AR104" i="107"/>
  <c r="AO105" i="107"/>
  <c r="AE106" i="107"/>
  <c r="AH105" i="107"/>
  <c r="AC106" i="107" l="1"/>
  <c r="Z107" i="107"/>
  <c r="AR105" i="107"/>
  <c r="AO106" i="107"/>
  <c r="S107" i="107"/>
  <c r="V106" i="107"/>
  <c r="AH106" i="107"/>
  <c r="AE107" i="107"/>
  <c r="AM107" i="107"/>
  <c r="AJ108" i="107"/>
  <c r="AH107" i="107" l="1"/>
  <c r="AE108" i="107"/>
  <c r="V107" i="107"/>
  <c r="S108" i="107"/>
  <c r="AM108" i="107"/>
  <c r="AJ109" i="107"/>
  <c r="Z108" i="107"/>
  <c r="AC107" i="107"/>
  <c r="AO107" i="107"/>
  <c r="AR106" i="107"/>
  <c r="AC108" i="107" l="1"/>
  <c r="Z109" i="107"/>
  <c r="AJ110" i="107"/>
  <c r="AM109" i="107"/>
  <c r="S109" i="107"/>
  <c r="V108" i="107"/>
  <c r="AE109" i="107"/>
  <c r="AH108" i="107"/>
  <c r="AR107" i="107"/>
  <c r="AO108" i="107"/>
  <c r="V109" i="107" l="1"/>
  <c r="S110" i="107"/>
  <c r="Z110" i="107"/>
  <c r="AC109" i="107"/>
  <c r="AE110" i="107"/>
  <c r="AH109" i="107"/>
  <c r="AM110" i="107"/>
  <c r="AJ111" i="107"/>
  <c r="AR108" i="107"/>
  <c r="AO109" i="107"/>
  <c r="AC110" i="107" l="1"/>
  <c r="Z111" i="107"/>
  <c r="AM111" i="107"/>
  <c r="AJ112" i="107"/>
  <c r="AE111" i="107"/>
  <c r="AH110" i="107"/>
  <c r="S111" i="107"/>
  <c r="V110" i="107"/>
  <c r="AR109" i="107"/>
  <c r="AO110" i="107"/>
  <c r="AM112" i="107" l="1"/>
  <c r="AJ113" i="107"/>
  <c r="Z112" i="107"/>
  <c r="AC111" i="107"/>
  <c r="V111" i="107"/>
  <c r="S112" i="107"/>
  <c r="AH111" i="107"/>
  <c r="AE112" i="107"/>
  <c r="AO111" i="107"/>
  <c r="AR110" i="107"/>
  <c r="AJ114" i="107" l="1"/>
  <c r="AM113" i="107"/>
  <c r="AE113" i="107"/>
  <c r="AH112" i="107"/>
  <c r="S113" i="107"/>
  <c r="V112" i="107"/>
  <c r="Z113" i="107"/>
  <c r="AC112" i="107"/>
  <c r="AR111" i="107"/>
  <c r="AO112" i="107"/>
  <c r="V113" i="107" l="1"/>
  <c r="S114" i="107"/>
  <c r="AC113" i="107"/>
  <c r="Z114" i="107"/>
  <c r="AE114" i="107"/>
  <c r="AH113" i="107"/>
  <c r="AO113" i="107"/>
  <c r="AR112" i="107"/>
  <c r="AM114" i="107"/>
  <c r="AJ115" i="107"/>
  <c r="AC114" i="107" l="1"/>
  <c r="Z115" i="107"/>
  <c r="AR113" i="107"/>
  <c r="AO114" i="107"/>
  <c r="AE115" i="107"/>
  <c r="AH114" i="107"/>
  <c r="AM115" i="107"/>
  <c r="AJ116" i="107"/>
  <c r="S115" i="107"/>
  <c r="V114" i="107"/>
  <c r="AM116" i="107" l="1"/>
  <c r="AJ117" i="107"/>
  <c r="AO115" i="107"/>
  <c r="AR114" i="107"/>
  <c r="AH115" i="107"/>
  <c r="AE116" i="107"/>
  <c r="Z116" i="107"/>
  <c r="AC115" i="107"/>
  <c r="V115" i="107"/>
  <c r="S116" i="107"/>
  <c r="AE117" i="107" l="1"/>
  <c r="AH116" i="107"/>
  <c r="AR115" i="107"/>
  <c r="AO116" i="107"/>
  <c r="Z117" i="107"/>
  <c r="AC116" i="107"/>
  <c r="S117" i="107"/>
  <c r="V116" i="107"/>
  <c r="AJ118" i="107"/>
  <c r="AM118" i="107" s="1"/>
  <c r="AM119" i="107" s="1"/>
  <c r="AM8" i="107" s="1"/>
  <c r="AM117" i="107"/>
  <c r="V117" i="107" l="1"/>
  <c r="S118" i="107"/>
  <c r="V118" i="107" s="1"/>
  <c r="V119" i="107" s="1"/>
  <c r="V8" i="107" s="1"/>
  <c r="Z118" i="107"/>
  <c r="AC118" i="107" s="1"/>
  <c r="AC119" i="107" s="1"/>
  <c r="AC8" i="107" s="1"/>
  <c r="AC117" i="107"/>
  <c r="AO117" i="107"/>
  <c r="AR116" i="107"/>
  <c r="AE118" i="107"/>
  <c r="AH118" i="107" s="1"/>
  <c r="AH119" i="107" s="1"/>
  <c r="AH8" i="107" s="1"/>
  <c r="AH117" i="107"/>
  <c r="AR117" i="107" l="1"/>
  <c r="AO118" i="107"/>
  <c r="AR118" i="107" s="1"/>
  <c r="AR119" i="107" s="1"/>
  <c r="AR8" i="107" s="1"/>
  <c r="C19" i="106" l="1"/>
  <c r="E19" i="106"/>
  <c r="C5" i="98" l="1"/>
  <c r="E22" i="106"/>
  <c r="I9" i="105"/>
  <c r="I10" i="105"/>
  <c r="I11" i="105"/>
  <c r="I12" i="105"/>
  <c r="I13" i="105"/>
  <c r="I14" i="105"/>
  <c r="I15" i="105"/>
  <c r="I16" i="105"/>
  <c r="I17" i="105"/>
  <c r="I18" i="105"/>
  <c r="I19" i="105"/>
  <c r="H20" i="105"/>
  <c r="I20" i="105" s="1"/>
  <c r="H21" i="105"/>
  <c r="I21" i="105"/>
  <c r="H22" i="105"/>
  <c r="I22" i="105" s="1"/>
  <c r="H23" i="105"/>
  <c r="I23" i="105"/>
  <c r="H24" i="105"/>
  <c r="I24" i="105" s="1"/>
  <c r="H25" i="105"/>
  <c r="H26" i="105" s="1"/>
  <c r="I26" i="105" s="1"/>
  <c r="C26" i="105"/>
  <c r="E26" i="105"/>
  <c r="I25" i="105" l="1"/>
  <c r="P12" i="80" l="1"/>
  <c r="N12" i="80"/>
  <c r="K12" i="80"/>
  <c r="L12" i="80" s="1"/>
  <c r="E12" i="80"/>
  <c r="H12" i="80" s="1"/>
  <c r="P11" i="80"/>
  <c r="K11" i="80"/>
  <c r="L11" i="80" s="1"/>
  <c r="E11" i="80"/>
  <c r="H11" i="80" s="1"/>
  <c r="H13" i="80" s="1"/>
  <c r="P10" i="80"/>
  <c r="K10" i="80"/>
  <c r="L10" i="80" s="1"/>
  <c r="E10" i="80"/>
  <c r="H10" i="80" s="1"/>
  <c r="F12" i="96"/>
  <c r="F15" i="96" s="1"/>
  <c r="H14" i="96"/>
  <c r="J14" i="96" s="1"/>
  <c r="J13" i="96" s="1"/>
  <c r="J12" i="96" s="1"/>
  <c r="J15" i="96" s="1"/>
  <c r="P13" i="80" l="1"/>
  <c r="F12" i="80"/>
  <c r="K13" i="80"/>
  <c r="E13" i="80"/>
  <c r="H13" i="96"/>
  <c r="H12" i="96" s="1"/>
  <c r="H15" i="96" s="1"/>
  <c r="N10" i="80"/>
  <c r="N11" i="80"/>
  <c r="F11" i="80" l="1"/>
  <c r="N13" i="80"/>
  <c r="F10" i="80"/>
  <c r="F13" i="80" l="1"/>
  <c r="R13" i="69"/>
  <c r="T13" i="69" s="1"/>
  <c r="R14" i="69"/>
  <c r="T14" i="69" s="1"/>
  <c r="I15" i="97" l="1"/>
  <c r="A20" i="96"/>
  <c r="G20" i="96" s="1"/>
  <c r="G18" i="96"/>
  <c r="A18" i="96"/>
  <c r="G17" i="96"/>
  <c r="A17" i="96"/>
  <c r="D9" i="30" l="1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E12" i="16" l="1"/>
  <c r="L12" i="16" s="1"/>
  <c r="J26" i="33"/>
  <c r="H15" i="97" l="1"/>
  <c r="G15" i="97"/>
  <c r="F45" i="93" l="1"/>
  <c r="D54" i="102"/>
  <c r="E45" i="93" l="1"/>
  <c r="C43" i="98" s="1"/>
  <c r="D38" i="102"/>
  <c r="T15" i="69" l="1"/>
  <c r="T12" i="69" s="1"/>
  <c r="E16" i="80" l="1"/>
  <c r="T11" i="69"/>
  <c r="P16" i="80"/>
  <c r="H16" i="80"/>
  <c r="L13" i="80"/>
  <c r="E9" i="80" l="1"/>
  <c r="P9" i="80"/>
  <c r="N16" i="80"/>
  <c r="N9" i="80"/>
  <c r="H9" i="80"/>
  <c r="K16" i="80"/>
  <c r="L16" i="80" s="1"/>
  <c r="K9" i="80"/>
  <c r="L9" i="80"/>
  <c r="F9" i="80" l="1"/>
  <c r="D12" i="102" l="1"/>
  <c r="F19" i="93"/>
  <c r="E19" i="93" l="1"/>
  <c r="C17" i="98" s="1"/>
  <c r="F17" i="93"/>
  <c r="E17" i="93" s="1"/>
  <c r="C15" i="98" s="1"/>
  <c r="D15" i="102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5" i="69" l="1"/>
  <c r="G38" i="102" l="1"/>
  <c r="A23" i="23" l="1"/>
  <c r="F21" i="80" l="1"/>
  <c r="D14" i="22" l="1"/>
  <c r="L13" i="16" l="1"/>
  <c r="G37" i="102" l="1"/>
  <c r="F16" i="80"/>
  <c r="E44" i="93" l="1"/>
  <c r="C42" i="98" s="1"/>
  <c r="F43" i="93"/>
  <c r="F52" i="93"/>
  <c r="E52" i="93" s="1"/>
  <c r="C50" i="98" s="1"/>
  <c r="C36" i="102"/>
  <c r="G36" i="102" s="1"/>
  <c r="E43" i="93" l="1"/>
  <c r="C41" i="98" s="1"/>
  <c r="A28" i="69"/>
  <c r="C63" i="98"/>
  <c r="C57" i="98"/>
  <c r="C56" i="98"/>
  <c r="C10" i="98"/>
  <c r="C8" i="98"/>
  <c r="C65" i="98"/>
  <c r="D14" i="16" l="1"/>
  <c r="E14" i="16"/>
  <c r="F58" i="93" l="1"/>
  <c r="E58" i="93" s="1"/>
  <c r="C54" i="98" s="1"/>
  <c r="K14" i="16" l="1"/>
  <c r="A17" i="26"/>
  <c r="G20" i="33"/>
  <c r="L14" i="16" l="1"/>
  <c r="F31" i="93" s="1"/>
  <c r="F20" i="106"/>
  <c r="F22" i="106" s="1"/>
  <c r="A22" i="80"/>
  <c r="F22" i="80" s="1"/>
  <c r="A19" i="80"/>
  <c r="A19" i="22"/>
  <c r="E19" i="22" s="1"/>
  <c r="A16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16" i="16"/>
  <c r="A15" i="63"/>
  <c r="A14" i="71"/>
  <c r="A19" i="9"/>
  <c r="A24" i="69"/>
  <c r="A19" i="16"/>
  <c r="H19" i="16" s="1"/>
  <c r="A19" i="63"/>
  <c r="F19" i="63" s="1"/>
  <c r="A18" i="71"/>
  <c r="P18" i="71" s="1"/>
  <c r="A23" i="9"/>
  <c r="N23" i="9" s="1"/>
  <c r="N28" i="69"/>
  <c r="C25" i="102" l="1"/>
  <c r="F32" i="93"/>
  <c r="F42" i="93"/>
  <c r="C24" i="102"/>
  <c r="G24" i="102" s="1"/>
  <c r="E31" i="93"/>
  <c r="C29" i="98" s="1"/>
  <c r="F33" i="93" l="1"/>
  <c r="E42" i="93"/>
  <c r="C40" i="98" s="1"/>
  <c r="G25" i="102"/>
  <c r="G22" i="102" s="1"/>
  <c r="C22" i="102"/>
  <c r="F29" i="93" l="1"/>
  <c r="E32" i="93"/>
  <c r="C30" i="98" s="1"/>
  <c r="F46" i="93"/>
  <c r="C35" i="102"/>
  <c r="G35" i="102" s="1"/>
  <c r="E29" i="93" l="1"/>
  <c r="C27" i="98" s="1"/>
  <c r="F53" i="93"/>
  <c r="E53" i="93" s="1"/>
  <c r="C51" i="98" s="1"/>
  <c r="E33" i="93"/>
  <c r="F50" i="93"/>
  <c r="E50" i="93" s="1"/>
  <c r="C48" i="98" s="1"/>
  <c r="E46" i="93"/>
  <c r="C44" i="98" s="1"/>
  <c r="C31" i="98" l="1"/>
  <c r="C26" i="102"/>
  <c r="G26" i="102" s="1"/>
  <c r="G12" i="102" l="1"/>
  <c r="G10" i="102" s="1"/>
  <c r="G42" i="102" s="1"/>
  <c r="F54" i="93" s="1"/>
  <c r="D10" i="102"/>
  <c r="E54" i="93" l="1"/>
  <c r="C52" i="98" s="1"/>
  <c r="E46" i="102"/>
  <c r="F55" i="93" l="1"/>
  <c r="E55" i="93" s="1"/>
  <c r="C53" i="98" s="1"/>
  <c r="F57" i="93" l="1"/>
  <c r="E57" i="93" s="1"/>
  <c r="C14" i="22" l="1"/>
  <c r="J20" i="33"/>
  <c r="F19" i="106"/>
</calcChain>
</file>

<file path=xl/sharedStrings.xml><?xml version="1.0" encoding="utf-8"?>
<x:sst xmlns:x="http://schemas.openxmlformats.org/spreadsheetml/2006/main" count="3421" uniqueCount="995">
  <x:si>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</x:si>
  <x:si>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</x:si>
  <x:si>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</x:si>
  <x:si>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</x:si>
  <x:si>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</x:si>
  <x:si>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</x:si>
  <x:si>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</x:si>
  <x:si>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</x:si>
  <x:si>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</x:si>
  <x:si>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</x:si>
  <x:si>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</x:si>
  <x:si>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</x:si>
  <x:si>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</x:si>
  <x:si>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</x:si>
  <x:si>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</x:si>
  <x:si>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</x:si>
  <x:si>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</x:si>
  <x:si>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</x:si>
  <x:si>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</x:si>
  <x:si>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</x:si>
  <x:si>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</x:si>
  <x:si>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</x:si>
  <x:si>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</x:si>
  <x:si>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</x:si>
  <x:si>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</x:si>
  <x:si>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</x:si>
  <x:si>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</x:si>
  <x:si>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</x:si>
  <x:si>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</x:si>
  <x:si>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</x:si>
  <x:si>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</x:si>
  <x:si>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</x:si>
  <x:si>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</x:si>
  <x:si>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</x:si>
  <x:si>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</x:si>
  <x:si>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</x:si>
  <x:si>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</x:si>
  <x:si>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</x:si>
  <x:si>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</x:si>
  <x:si>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</x:si>
  <x:si>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</x:si>
  <x:si>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</x:si>
  <x:si>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</x:si>
  <x:si>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</x:si>
  <x:si>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</x:si>
  <x:si>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</x:si>
  <x:si>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</x:si>
  <x:si>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</x:si>
  <x:si>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</x:si>
  <x:si>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</x:si>
  <x:si>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</x:si>
  <x:si>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</x:si>
  <x:si>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</x:si>
  <x:si>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</x:si>
  <x:si>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</x:si>
  <x:si>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</x:si>
  <x:si>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</x:si>
  <x:si>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</x:si>
  <x:si>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</x:si>
  <x:si>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</x:si>
  <x:si>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</x:si>
  <x:si>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</x:si>
  <x:si>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</x:si>
  <x:si>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</x:si>
  <x:si>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</x:si>
  <x:si>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</x:si>
  <x:si>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</x:si>
  <x:si>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</x:si>
  <x:si>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</x:si>
  <x:si>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</x:si>
  <x:si>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</x:si>
  <x:si>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</x:si>
  <x:si>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</x:si>
  <x:si>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</x:si>
  <x:si>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</x:si>
  <x:si>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</x:si>
  <x:si>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</x:si>
  <x:si>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</x:si>
  <x:si>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</x:si>
  <x:si>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</x:si>
  <x:si>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</x:si>
  <x:si>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</x:si>
  <x:si>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</x:si>
  <x:si>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</x:si>
  <x:si>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</x:si>
  <x:si>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</x:si>
  <x:si>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</x:si>
  <x:si>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</x:si>
  <x:si>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</x:si>
  <x:si>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</x:si>
  <x:si>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</x:si>
  <x:si>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</x:si>
  <x:si>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</x:si>
  <x:si>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</x:si>
  <x:si>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</x:si>
  <x:si>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</x:si>
  <x:si>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</x:si>
  <x:si>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</x:si>
  <x:si>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</x:si>
  <x:si>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</x:si>
  <x:si>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</x:si>
  <x:si>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</x:si>
  <x:si>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</x:si>
  <x:si>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</x:si>
  <x:si>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</x:si>
  <x:si>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</x:si>
  <x:si>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</x:si>
  <x:si>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</x:si>
  <x:si>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</x:si>
  <x:si>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</x:si>
  <x:si>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</x:si>
  <x:si>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</x:si>
  <x:si>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</x:si>
  <x:si>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</x:si>
  <x:si>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</x:si>
  <x:si>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</x:si>
  <x:si>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</x:si>
  <x:si>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</x:si>
  <x:si>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</x:si>
  <x:si>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</x:si>
  <x:si>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</x:si>
  <x:si>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</x:si>
  <x:si>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</x:si>
  <x:si>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</x:si>
  <x:si>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</x:si>
  <x:si>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</x:si>
  <x:si>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</x:si>
  <x:si>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</x:si>
  <x:si>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</x:si>
  <x:si>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</x:si>
  <x:si>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</x:si>
  <x:si>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</x:si>
  <x:si>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</x:si>
  <x:si>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</x:si>
  <x:si>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</x:si>
  <x:si>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</x:si>
  <x:si>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</x:si>
  <x:si>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</x:si>
  <x:si>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</x:si>
  <x:si>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</x:si>
  <x:si>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</x:si>
  <x:si>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</x:si>
  <x:si>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</x:si>
  <x:si>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</x:si>
  <x:si>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</x:si>
  <x:si>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</x:si>
  <x:si>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</x:si>
  <x:si>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</x:si>
  <x:si>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</x:si>
  <x:si>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</x:si>
  <x:si>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</x:si>
  <x:si>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</x:si>
  <x:si>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</x:si>
  <x:si>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</x:si>
  <x:si>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</x:si>
  <x:si>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</x:si>
  <x:si>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</x:si>
  <x:si>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</x:si>
  <x:si>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</x:si>
  <x:si>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</x:si>
  <x:si>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</x:si>
  <x:si>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</x:si>
  <x:si>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</x:si>
  <x:si>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</x:si>
  <x:si>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</x:si>
  <x:si>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</x:si>
  <x:si>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</x:si>
  <x:si>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</x:si>
  <x:si>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</x:si>
  <x:si>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</x:si>
  <x:si>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</x:si>
  <x:si>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</x:si>
  <x:si>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</x:si>
  <x:si>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</x:si>
  <x:si>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</x:si>
  <x:si>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</x:si>
  <x:si>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</x:si>
  <x:si>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</x:si>
  <x:si>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</x:si>
  <x:si>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</x:si>
  <x:si>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</x:si>
  <x:si>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</x:si>
  <x:si>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</x:si>
  <x:si>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</x:si>
  <x:si>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</x:si>
  <x:si>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</x:si>
  <x:si>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</x:si>
  <x:si>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</x:si>
  <x:si>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</x:si>
  <x:si>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</x:si>
  <x:si>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</x:si>
  <x:si>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</x:si>
  <x:si>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</x:si>
  <x:si>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</x:si>
  <x:si>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</x:si>
  <x:si>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</x:si>
  <x:si>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</x:si>
  <x:si>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</x:si>
  <x:si>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</x:si>
  <x:si>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</x:si>
  <x:si>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</x:si>
  <x:si>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</x:si>
  <x:si>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</x:si>
  <x:si>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</x:si>
  <x:si>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</x:si>
  <x:si>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</x:si>
  <x:si>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</x:si>
  <x:si>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</x:si>
  <x:si>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</x:si>
  <x:si>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</x:si>
  <x:si>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</x:si>
  <x:si>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</x:si>
  <x:si>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</x:si>
  <x:si>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</x:si>
  <x:si>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</x:si>
  <x:si>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</x:si>
  <x:si>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</x:si>
  <x:si>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</x:si>
  <x:si>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</x:si>
  <x:si>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</x:si>
  <x:si>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</x:si>
  <x:si>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</x:si>
  <x:si>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</x:si>
  <x:si>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</x:si>
  <x:si>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</x:si>
  <x:si>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</x:si>
  <x:si>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</x:si>
  <x:si>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</x:si>
  <x:si>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</x:si>
  <x:si>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</x:si>
  <x:si>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</x:si>
  <x:si>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</x:si>
  <x:si>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</x:si>
  <x:si>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</x:si>
  <x:si>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</x:si>
  <x:si>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</x:si>
  <x:si>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</x:si>
  <x:si>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</x:si>
  <x:si>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</x:si>
  <x:si>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t xml:space="preserve">                        Структура дополнительной заработной платы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</x:si>
  <x:si>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</x:si>
  <x:si>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</x:si>
  <x:si>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</x:si>
  <x:si>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</x:si>
  <x:si>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</x:si>
  <x:si>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</x:si>
  <x:si>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</x:si>
  <x:si>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</x:si>
  <x:si>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</x:si>
  <x:si>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</x:si>
  <x:si>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</x:si>
  <x:si>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</x:si>
  <x:si>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</x:si>
  <x:si>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</x:si>
  <x:si>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</x:si>
  <x:si>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</x:si>
  <x:si>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</x:si>
  <x:si>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</x:si>
  <x:si>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</x:si>
  <x:si>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</x:si>
  <x:si>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</x:si>
  <x:si>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</x:si>
  <x:si>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</x:si>
  <x:si>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</x:si>
  <x:si>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</x:si>
  <x:si>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</x:si>
  <x:si>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</x:si>
  <x:si>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</x:si>
  <x:si>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</x:si>
  <x:si>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</x:si>
  <x:si>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</x:si>
  <x:si>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</x:si>
  <x:si>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</x:si>
  <x:si>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</x:si>
  <x:si>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</x:si>
  <x:si>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</x:si>
  <x:si>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</x:si>
  <x:si>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</x:si>
  <x:si>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</x:si>
  <x:si>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</x:si>
  <x:si>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</x:si>
  <x:si>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</x:si>
  <x:si>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</x:si>
  <x:si>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</x:si>
  <x:si>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</x:si>
  <x:si>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</x:si>
  <x:si>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</x:si>
  <x:si>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</x:si>
  <x:si>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</x:si>
  <x:si>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</x:si>
  <x:si>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t xml:space="preserve">в том числе: </x:t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</x:si>
  <x:si>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</x:si>
  <x:si>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</x:si>
  <x:si>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</x:si>
  <x:si>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</x:si>
  <x:si>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</x:si>
  <x:si>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</x:si>
  <x:si>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</x:si>
  <x:si>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</x:si>
  <x:si>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</x:si>
  <x:si>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</x:si>
  <x:si>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</x:si>
  <x:si>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</x:si>
  <x:si>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</x:si>
  <x:si>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</x:si>
  <x:si>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</x:si>
  <x:si>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</x:si>
  <x:si>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</x:si>
  <x:si>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</x:si>
  <x:si>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</x:si>
  <x:si>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</x:si>
  <x:si>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</x:si>
  <x:si>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</x:si>
  <x:si>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</x:si>
  <x:si>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</x:si>
  <x:si>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</x:si>
  <x:si>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</x:si>
  <x:si>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</x:si>
  <x:si>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</x:si>
  <x:si>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</x:si>
  <x:si>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</x:si>
  <x:si>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</x:si>
  <x:si>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</x:si>
  <x:si>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</x:si>
  <x:si>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</x:si>
  <x:si>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</x:si>
  <x:si>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</x:si>
  <x:si>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</x:si>
  <x:si>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</x:si>
  <x:si>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</x:si>
  <x:si>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</x:si>
  <x:si>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</x:si>
  <x:si>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</x:si>
  <x:si>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</x:si>
  <x:si>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</x:si>
  <x:si>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</x:si>
  <x:si>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</x:si>
  <x:si>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</x:si>
  <x:si>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</x:si>
  <x:si>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трудоемкость  н./час.</x:t>
  </x:si>
  <x:si>
    <x:t>стоимость
за 1 час рабочего времени (руб.)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</x:si>
  <x:si>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</x:si>
  <x:si>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</x:si>
  <x:si>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</x:si>
  <x:si>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</x:si>
  <x:si>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</x:si>
  <x:si>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</x:si>
  <x:si>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</x:si>
  <x:si>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</x:si>
  <x:si>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</x:si>
  <x:si>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</x:si>
  <x:si>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</x:si>
  <x:si>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</x:si>
  <x:si>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</x:si>
  <x:si>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цена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</x:si>
  <x:si>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</x:si>
  <x:si>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</x:si>
  <x:si>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</x:si>
  <x:si>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</x:si>
  <x:si>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</x:si>
  <x:si>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</x:si>
  <x:si>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</x:si>
  <x:si>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</x:si>
  <x:si>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</x:si>
  <x:si>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</x:si>
  <x:si>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</x:si>
  <x:si>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</x:si>
  <x:si>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</x:si>
  <x:si>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</x:si>
  <x:si>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</x:si>
  <x:si>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</x:si>
  <x:si>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</x:si>
  <x:si>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</x:si>
  <x:si>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</x:si>
  <x:si>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</x:si>
  <x:si>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</x:si>
  <x:si>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</x:si>
  <x:si>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</x:si>
  <x:si>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</x:si>
  <x:si>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</x:si>
  <x:si>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</x:si>
  <x:si>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</x:si>
  <x:si>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</x:si>
  <x:si>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</x:si>
  <x:si>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</x:si>
  <x:si>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</x:si>
  <x:si>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</x:si>
  <x:si>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</x:si>
  <x:si>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</x:si>
  <x:si>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</x:si>
  <x:si>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</x:si>
  <x:si>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</x:si>
  <x:si>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</x:si>
  <x:si>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</x:si>
  <x:si>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</x:si>
  <x:si>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</x:si>
  <x:si>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</x:si>
  <x:si>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</x:si>
  <x:si>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</x:si>
  <x:si>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</x:si>
  <x:si>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</x:si>
  <x:si>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</x:si>
  <x:si>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</x:si>
  <x:si>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</x:si>
  <x:si>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</x:si>
  <x:si>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</x:si>
  <x:si>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</x:si>
  <x:si>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</x:si>
  <x:si>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</x:si>
  <x:si>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</x:si>
  <x:si>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</x:si>
  <x:si>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</x:si>
  <x:si>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</x:si>
  <x:si>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</x:si>
  <x:si>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</x:si>
  <x:si>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</x:si>
  <x:si>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</x:si>
  <x:si>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</x:si>
  <x:si>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</x:si>
  <x:si>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</x:si>
  <x:si>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</x:si>
  <x:si>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</x:si>
  <x:si>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</x:si>
  <x:si>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</x:si>
  <x:si>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</x:si>
  <x:si>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</x:si>
  <x:si>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</x:si>
  <x:si>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</x:si>
  <x:si>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</x:si>
  <x:si>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</x:si>
  <x:si>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</x:si>
  <x:si>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</x:si>
  <x:si>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</x:si>
  <x:si>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</x:si>
  <x:si>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</x:si>
  <x:si>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</x:si>
  <x:si>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</x:si>
  <x:si>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</x:si>
  <x:si>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</x:si>
  <x:si>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</x:si>
  <x:si>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</x:si>
  <x:si>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</x:si>
  <x:si>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</x:si>
  <x:si>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</x:si>
  <x:si>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</x:si>
  <x:si>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</x:si>
  <x:si>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</x:si>
  <x:si>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</x:si>
  <x:si>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</x:si>
  <x:si>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</x:si>
  <x:si>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</x:si>
  <x:si>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</x:si>
  <x:si>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</x:si>
  <x:si>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</x:si>
  <x:si>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</x:si>
  <x:si>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r>
      <x:t xml:space="preserve">1 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</x:si>
  <x:si>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</x:si>
  <x:si>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</x:si>
  <x:si>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</x:si>
  <x:si>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</x:si>
  <x:si>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</x:si>
  <x:si>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</x:si>
  <x:si>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</x:si>
  <x:si>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</x:si>
  <x:si>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</x:si>
  <x:si>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</x:si>
  <x:si>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</x:si>
  <x:si>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</x:si>
  <x:si>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</x:si>
  <x:si>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</x:si>
  <x:si>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</x:si>
  <x:si>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</x:si>
  <x:si>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</x:si>
  <x:si>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</x:si>
  <x:si>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</x:si>
  <x:si>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</x:si>
  <x:si>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</x:si>
  <x:si>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</x:si>
  <x:si>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</x:si>
  <x:si>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</x:si>
  <x:si>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</x:si>
  <x:si>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ИТР</x:t>
  </x:si>
  <x:si>
    <x:t>План</x:t>
  </x:si>
  <x:si>
    <x:t>л.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</x:si>
  <x:si>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</x:si>
  <x:si>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</x:si>
  <x:si>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</x:si>
  <x:si>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</x:si>
  <x:si>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</x:si>
  <x:si>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</x:si>
  <x:si>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</x:si>
  <x:si>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</x:si>
  <x:si>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</x:si>
  <x:si>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</x:si>
  <x:si>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</x:si>
  <x:si>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</x:si>
  <x:si>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</x:si>
  <x:si>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</x:si>
  <x:si>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</x:si>
  <x:si>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</x:si>
  <x:si>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</x:si>
  <x:si>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</x:si>
  <x:si>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</x:si>
  <x:si>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</x:si>
  <x:si>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</x:si>
  <x:si>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</x:si>
  <x:si>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</x:si>
  <x:si>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</x:si>
  <x:si>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</x:si>
  <x:si>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</x:si>
  <x:si>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</x:si>
  <x:si>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</x:si>
  <x:si>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</x:si>
  <x:si>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</x:si>
  <x:si>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</x:si>
  <x:si>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</x:si>
  <x:si>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</x:si>
  <x:si>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</x:si>
  <x:si>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</x:si>
  <x:si>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</x:si>
  <x:si>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</x:si>
  <x:si>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</x:si>
  <x:si>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</x:si>
  <x:si>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</x:si>
  <x:si>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</x:si>
  <x:si>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</x:si>
  <x:si>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</x:si>
  <x:si>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</x:si>
  <x:si>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</x:si>
  <x:si>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</x:si>
  <x:si>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</x:si>
  <x:si>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</x:si>
  <x:si>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</x:si>
  <x:si>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</x:si>
  <x:si>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</x:si>
  <x:si>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</x:si>
  <x:si>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Сырье и основные материалы:</x:t>
  </x:si>
  <x:si>
    <x:t>52.23.20.120</x:t>
  </x:si>
  <x:si>
    <x:t>* затраты отсутствуют и не предусмотрены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</x:si>
  <x:si>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</x:si>
  <x:si>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</x:si>
  <x:si>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</x:si>
  <x:si>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</x:si>
  <x:si>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</x:si>
  <x:si>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</x:si>
  <x:si>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</x:si>
  <x:si>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</x:si>
  <x:si>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</x:si>
  <x:si>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</x:si>
  <x:si>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</x:si>
  <x:si>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</x:si>
  <x:si>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</x:si>
  <x:si>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</x:si>
  <x:si>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</x:si>
  <x:si>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</x:si>
  <x:si>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</x:si>
  <x:si>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</x:si>
  <x:si>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</x:si>
  <x:si>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</x:si>
  <x:si>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</x:si>
  <x:si>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</x:si>
  <x:si>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</x:si>
  <x:si>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</x:si>
  <x:si>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</x:si>
  <x:si>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</x:si>
  <x:si>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</x:si>
  <x:si>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>Отчетный период - фактические затраты на __.__.202_г.</x:t>
  </x:si>
  <x:si>
    <x:t>1.1.1.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</x:si>
  <x:si>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</x:si>
  <x:si>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</x:si>
  <x:si>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</x:si>
  <x:si>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</x:si>
  <x:si>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</x:si>
  <x:si>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</x:si>
  <x:si>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</x:si>
  <x:si>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</x:si>
  <x:si>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</x:si>
  <x:si>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</x:si>
  <x:si>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</x:si>
  <x:si>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</x:si>
  <x:si>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</x:si>
  <x:si>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</x:si>
  <x:si>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</x:si>
  <x:si>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</x:si>
  <x:si>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Планируемый период (год 2025)</x:t>
  </x:si>
  <x:si>
    <x:t>"_____"______________ 2025г.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</x:si>
  <x:si>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"ТРАНСРЭС" (Аффилированное лицо. ИНН 7715153600 ОГРН 1037739280160). Исполнитель определяется после заключения Договора с использованием конкурентной процедуры. Срок оказания Услуг - в соответствии с требованиями ТЗ - 3 месяца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</x:si>
  <x:si>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</x:si>
  <x:si>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</x:si>
  <x:si>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 xml:space="preserve">п. 5.1.3. ТЗ. </x:t>
  </x:si>
  <x:si>
    <x:t xml:space="preserve"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</x:t>
  </x:si>
  <x:si>
    <x:t>АО "2АОАО"</x:t>
  </x:si>
  <x:si>
    <x:t>19.20.21.120</x:t>
  </x:si>
  <x:si>
    <x:t>Бензин для а/м УАЗ Патриот для обеспечения комиссии (по п. 5.1.4. ТЗ, п. 5.2.4. ТЗ) по маршруту: г. Мирный Архангельской обл. - г. Мезень Архангельской обл. -г. Архангельск - г. Мирный Архангельской обл. + 100 км. по г. Мезень.</x:t>
  </x:si>
  <x:si>
    <x:t xml:space="preserve">"Сборы и тарифы на обеспечение …" от 22.12.2023г.
В составе: 
- за взлет/посадку: 13*3380руб.*8=351250руб.;
- за обеспечение авиационной безопасности: 13*960р.*8дн.=99840р.
- за продление реламента работы аэропорта 22000р.*4дня =88000р.
- обеспечение приемки-выпуска в/с - 22880р.*8дней=183040р.
- сбор за стоянку в/с 13т.*3380р.*12ч.*5%*7дней= 184548р.
Всего ориентировочно 906 678 руб.: </x:t>
  </x:si>
  <x:si>
    <x:t xml:space="preserve">Услуги по предоставлению комплекта технических средств для топографической привязки мест падения ОЧ РКН с поддержанием и актуализацией информации, технических средств навигации и спутниковой связи при проведении работ в РП ОЧ РКН, </x:t>
  </x:si>
  <x:si>
    <x:t>Ф9Д, п. п. 2.1.4. из г. Мирный в г. Мезень Арх. обл., проезд на служебном автотрансопрте)</x:t>
  </x:si>
  <x:si>
    <x:t>2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</x:si>
  <x:si>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</x:si>
  <x:si>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</x:si>
  <x:si>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</x:si>
  <x:si>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>Бензин для а/м Тойота Ленд-Крузер 200 по маршруту Москва-Мезень-Москва + 100 км. по г. Мезень. для обеспечения выполнения требований п. 5.1.5. - 5.1.6. ТЗ.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</x:si>
  <x:si>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</x:si>
  <x:si>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</x:si>
  <x:si>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>Затраты на оплату аэропортовых сборов в аэропорту г. Мезень в отношении в/с АО "2АОАО" (МИ-8АМТ). Оплата за: метеорологическое обеспечение, взлет/посадка,  заправка топливом, охрана в/с, терминальное обслуживание пассажиров (комиссии)</x:t>
  </x:si>
  <x:si>
    <x:t xml:space="preserve">Авиационные услуги с использованием вертолетов МИ-8АМТ для проведения комиссионных предпусковых и послепусковых облетов РП, возможной эвакуации населения из РП с последующим возвратом.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</x:si>
  <x:si>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</x:si>
  <x:si>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</x:si>
  <x:si>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</x:si>
  <x:si>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 xml:space="preserve"> - г. Архангельск, г.Мезень, Архангельской обл.   </x:t>
  </x:si>
  <x:si>
    <x:t xml:space="preserve"> - г. Мезень, Ахангельской обл.</x:t>
  </x:si>
  <x:si>
    <x:t>______________ !!! И.М.</x:t>
  </x:si>
  <x:si>
    <x:t>отчетный период  
на __.__.20__ г.</x:t>
  </x:si>
  <x:si>
    <x:t>_________________________ 2025г.</x:t>
  </x:si>
  <x:si>
    <x:t>_______________________ 2025г.</x:t>
  </x:si>
  <x:si>
    <x:t xml:space="preserve">     (подпись)                                       (Ф.И.О.)</x:t>
  </x:si>
  <x:si>
    <x:t>_____________                  !!! И.М.</x:t>
  </x:si>
  <x:si>
    <x:t xml:space="preserve">    __________________                   Ильичев П.В.</x:t>
  </x:si>
  <x:si>
    <x:t>Генеральный директор ООО "Бенефит Бизнес"</x:t>
  </x:si>
  <x:si>
    <x:t>ВСЕГО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</x:si>
  <x:si>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</x:si>
  <x:si>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</x:si>
  <x:si>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</x:si>
  <x:si>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</x:si>
  <x:si>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</x:si>
  <x:si>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</x:si>
  <x:si>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</x:si>
  <x:si>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</x:si>
  <x:si>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</x:si>
  <x:si>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</x:si>
  <x:si>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</x:si>
  <x:si>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</x:si>
  <x:si>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</x:si>
  <x:si>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</x:si>
  <x:si>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</x:si>
  <x:si>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</x:si>
  <x:si>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</x:si>
  <x:si>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</x:si>
  <x:si>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</x:si>
  <x:si>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</x:si>
  <x:si>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</x:si>
  <x:si>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</x:si>
  <x:si>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</x:si>
  <x:si>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</x:si>
  <x:si>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</x:si>
  <x:si>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</x:si>
  <x:si>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</x:si>
  <x:si>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</x:si>
  <x:si>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</x:si>
  <x:si>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</x:si>
  <x:si>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</x:si>
  <x:si>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</x:si>
  <x:si>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</x:si>
  <x:si>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</x:si>
  <x:si>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</x:si>
  <x:si>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</x:si>
  <x:si>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</x:si>
  <x:si>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</x:si>
  <x:si>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</x:si>
  <x:si>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</x:si>
  <x:si>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</x:si>
  <x:si>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</x:si>
  <x:si>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</x:si>
  <x:si>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</x:si>
  <x:si>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</x:si>
  <x:si>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</x:si>
  <x:si>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</x:si>
  <x:si>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</x:si>
  <x:si>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</x:si>
  <x:si>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</x:si>
  <x:si>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</x:si>
  <x:si>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</x:si>
  <x:si>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</x:si>
  <x:si>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</x:si>
  <x:si>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</x:si>
  <x:si>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</x:si>
  <x:si>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</x:si>
  <x:si>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</x:si>
  <x:si>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</x:si>
  <x:si>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</x:si>
  <x:si>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</x:si>
  <x:si>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</x:si>
  <x:si>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</x:si>
  <x:si>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</x:si>
  <x:si>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</x:si>
  <x:si>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</x:si>
  <x:si>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</x:si>
  <x:si>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</x:si>
  <x:si>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</x:si>
  <x:si>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</x:si>
  <x:si>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</x:si>
  <x:si>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</x:si>
  <x:si>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</x:si>
  <x:si>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</x:si>
  <x:si>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</x:si>
  <x:si>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</x:si>
  <x:si>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</x:si>
  <x:si>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</x:si>
  <x:si>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</x:si>
  <x:si>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</x:si>
  <x:si>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</x:si>
  <x:si>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</x:si>
  <x:si>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</x:si>
  <x:si>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</x:si>
  <x:si>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</x:si>
  <x:si>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</x:si>
  <x:si>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</x:si>
  <x:si>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</x:si>
  <x:si>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</x:si>
  <x:si>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</x:si>
  <x:si>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</x:si>
  <x:si>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</x:si>
  <x:si>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</x:si>
  <x:si>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</x:si>
  <x:si>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</x:si>
  <x:si>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</x:si>
  <x:si>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</x:si>
  <x:si>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</x:si>
  <x:si>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</x:si>
  <x:si>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</x:si>
  <x:si>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</x:si>
  <x:si>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</x:si>
  <x:si>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</x:si>
  <x:si>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</x:si>
  <x:si>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</x:si>
  <x:si>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</x:si>
  <x:si>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</x:si>
  <x:si>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</x:si>
  <x:si>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</x:si>
  <x:si>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</x:si>
  <x:si>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</x:si>
  <x:si>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</x:si>
  <x:si>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</x:si>
  <x:si>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</x:si>
  <x:si>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</x:si>
  <x:si>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</x:si>
  <x:si>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</x:si>
  <x:si>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</x:si>
  <x:si>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</x:si>
  <x:si>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</x:si>
  <x:si>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</x:si>
  <x:si>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</x:si>
  <x:si>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</x:si>
  <x:si>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</x:si>
  <x:si>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</x:si>
  <x:si>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</x:si>
  <x:si>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</x:si>
  <x:si>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</x:si>
  <x:si>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</x:si>
  <x:si>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</x:si>
  <x:si>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</x:si>
  <x:si>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</x:si>
  <x:si>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</x:si>
  <x:si>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</x:si>
  <x:si>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</x:si>
  <x:si>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</x:si>
  <x:si>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</x:si>
  <x:si>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</x:si>
  <x:si>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</x:si>
  <x:si>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</x:si>
  <x:si>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</x:si>
  <x:si>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</x:si>
  <x:si>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</x:si>
  <x:si>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</x:si>
  <x:si>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</x:si>
  <x:si>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</x:si>
  <x:si>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</x:si>
  <x:si>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</x:si>
  <x:si>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</x:si>
  <x:si>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</x:si>
  <x:si>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</x:si>
  <x:si>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</x:si>
  <x:si>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</x:si>
  <x:si>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</x:si>
  <x:si>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</x:si>
  <x:si>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</x:si>
  <x:si>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</x:si>
  <x:si>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</x:si>
  <x:si>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</x:si>
  <x:si>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</x:si>
  <x:si>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</x:si>
  <x:si>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</x:si>
  <x:si>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</x:si>
  <x:si>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</x:si>
  <x:si>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</x:si>
  <x:si>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</x:si>
  <x:si>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</x:si>
  <x:si>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</x:si>
  <x:si>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</x:si>
  <x:si>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</x:si>
  <x:si>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</x:si>
  <x:si>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</x:si>
  <x:si>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</x:si>
  <x:si>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</x:si>
  <x:si>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</x:si>
  <x:si>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</x:si>
  <x:si>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</x:si>
  <x:si>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</x:si>
  <x:si>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</x:si>
  <x:si>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</x:si>
  <x:si>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</x:si>
  <x:si>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</x:si>
  <x:si>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</x:si>
  <x:si>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</x:si>
  <x:si>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</x:si>
  <x:si>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</x:si>
  <x:si>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</x:si>
  <x:si>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</x:si>
  <x:si>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</x:si>
  <x:si>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</x:si>
  <x:si>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</x:si>
  <x:si>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</x:si>
  <x:si>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</x:si>
  <x:si>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</x:si>
  <x:si>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</x:si>
  <x:si>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</x:si>
  <x:si>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</x:si>
  <x:si>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</x:si>
  <x:si>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</x:si>
  <x:si>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</x:si>
  <x:si>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</x:si>
  <x:si>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</x:si>
  <x:si>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</x:si>
  <x:si>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</x:si>
  <x:si>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Всего работ услуг</x:t>
  </x:si>
  <x:si>
    <x:t>I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</x:si>
  <x:si>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</x:si>
  <x:si>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</x:si>
  <x:si>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t>годовой объем производства
(штуки)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</x:si>
  <x:si>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</x:si>
  <x:si>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технологическая трудоемкость единицы продукции
(н./час.)</x:t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</x:si>
  <x:si>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</x:si>
  <x:si>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</x:si>
  <x:si>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</x:si>
  <x:si>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</x:si>
  <x:si>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</x:si>
  <x:si>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</x:si>
  <x:si>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</x:si>
  <x:si>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</x:si>
  <x:si>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</x:si>
  <x:si>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</x:si>
  <x:si>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</x:si>
  <x:si>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</x:si>
  <x:si>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</x:si>
  <x:si>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</x:si>
  <x:si>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(гр.9*гр.11)</x:t>
  </x:si>
  <x:si>
    <x:t>технологическая трудоемкость всего (гр.8*гр.10)</x:t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</x:si>
  <x:si>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</x:si>
  <x:si>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технологическая трудоемкость единицы продукции (н./час.)</x:t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</x:si>
  <x:si>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</x:si>
  <x:si>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</x:si>
  <x:si>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</x:si>
  <x:si>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</x:si>
  <x:si>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</x:si>
  <x:si>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</x:si>
  <x:si>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</x:si>
  <x:si>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</x:si>
  <x:si>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</x:si>
  <x:si>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</x:si>
  <x:si>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</x:si>
  <x:si>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</x:si>
  <x:si>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</x:si>
  <x:si>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</x:si>
  <x:si>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Наименование товаров, работ, услуг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</x:si>
  <x:si>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</x:si>
  <x:si>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</x:si>
  <x:si>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</x:si>
  <x:si>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</x:si>
  <x:si>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</x:t>
  </x:si>
  <x:si>
    <x:t xml:space="preserve">     (подпись)                                                                         (Ф.И.О.)</x:t>
  </x:si>
  <x:si>
    <x:t>_______________                    !!! И.М.</x:t>
  </x:si>
  <x:si>
    <x:t>______________                                 Иьичев П.В.</x:t>
  </x:si>
  <x:si>
    <x:t xml:space="preserve">База распределения общехозяйственных затрат / административно-управленческих расходов </x:t>
  </x:si>
  <x:si>
    <x:t xml:space="preserve">База распределения общепроизводственных затрат </x:t>
  </x:si>
  <x:si>
    <x:t>Отчет за n-ый год (2024 г.)</x:t>
  </x:si>
  <x:si>
    <x:t xml:space="preserve">     (подпись)                            (Ф.И.О.)</x:t>
  </x:si>
  <x:si>
    <x:t>______________      !!! И.М.</x:t>
  </x:si>
  <x:si>
    <x:t>______________    Ильичев П.В.</x:t>
  </x:si>
  <x:si>
    <x:t xml:space="preserve">ндс </x:t>
  </x:si>
  <x:si>
    <x:t>Предыдущий период (год 2024 г.)</x:t>
  </x:si>
  <x:si>
    <x:t>______________                                                   Ильичев П.В.</x:t>
  </x:si>
  <x:si>
    <x:t>Отчетный период / период, предшествующий планируемому (2024 г.)</x:t>
  </x:si>
  <x:si>
    <x:t>Период, предшествующий отчетному ( 2023 г.)</x:t>
  </x:si>
  <x:si>
    <x:t>"10" апреля 2025 г.</x:t>
  </x:si>
  <x:si>
    <x:t>"10" апреля 2025 г.</x:t>
  </x:si>
  <x:si>
    <x:t>"   " ______________ 2030г.</x:t>
  </x:si>
  <x:si>
    <x:t xml:space="preserve">"31" марта 2025г. </x:t>
  </x:si>
  <x:si>
    <x:t>"31" марта 2025г.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</x:si>
  <x:si>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</x:si>
  <x:si>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x:t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</x:si>
  <x:si>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</x:si>
  <x:si>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сопоставление рыночных индикаторов</x:t>
  </x:si>
  <x:si>
    <x:t>ООО "Передавые Платежные Решения" (ООО "ППР")</x:t>
  </x:si>
  <x:si>
    <x:t>1.2.</x:t>
  </x:si>
  <x:si>
    <x:t>отчетный период / период, предшествующий планируемому                                                                                             (год 2024)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</x:si>
  <x:si>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</x:si>
  <x:si>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</x:si>
  <x:si>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</x:si>
  <x:si>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Отчетный период / период, предшествующий планируемому
(год 2024г.)</x:t>
  </x:si>
  <x:si>
    <x:t>Отчетный период / период, предшествующий планируемому (год 2024 )</x:t>
  </x:si>
  <x:si>
    <x:t>факт на 2024 г.</x:t>
  </x:si>
  <x:si>
    <x:t>Отчетный период / период, предшествующий планируемому
(год 2024)</x:t>
  </x:si>
  <x:si>
    <x:t>факт на 2024г.</x:t>
  </x:si>
  <x:si>
    <x:t>*) Специальные затраты  отсутствуют и не предусмотрены</x:t>
  </x:si>
  <x:si>
    <x:t>Затраты отчетного периода / периода, предшествующего планируемому (год 2024 )</x:t>
  </x:si>
  <x:si>
    <x:t>Затраты отчетного периода / периода, предшествующего планируемому (год 2024) (руб.)</x:t>
  </x:si>
  <x:si>
    <x:t>затраты
(на 2024 гг.)</x:t>
  </x:si>
  <x:si>
    <x:t>в т.ч. по госконтрактам (контрактам) ГОЗ</x:t>
  </x:si>
  <x:si>
    <x:t xml:space="preserve">в т.ч. по госконтрактам (контрактам) ГОЗ </x:t>
  </x:si>
  <x:si>
    <x:t>Предложено организацией - исполнителем</x:t>
  </x:si>
  <x:si>
    <x:t>Планируемый период (годы 2025-2030)</x:t>
  </x:si>
  <x:si>
    <x:t xml:space="preserve">доп. зарплата 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</x:si>
  <x:si>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                                                                                         </x:t>
  </x:si>
  <x:si>
    <x:t xml:space="preserve">Отчетный период 2024 гг. </x:t>
  </x:si>
  <x:si>
    <x:t>Этап № 1 ТЗ ТЗ № ЦРОКД/2-6/25</x:t>
  </x:si>
  <x:si>
    <x:t>Факт. Затраты на 2024 г.  (руб.)</x:t>
  </x:si>
  <x:si>
    <x:t xml:space="preserve">     общепроизводственных затрат на 2025  год  по ООО "Бенефит Бизнес"</x:t>
  </x:si>
  <x:si>
    <x:t>Смета и расчет
коммерческих (внепроизводственных) затрат на 2025 год</x:t>
  </x:si>
  <x:si>
    <x:t>затраты
(на 2024 г.)</x:t>
  </x:si>
  <x:si>
    <x:t>Погашено по состоянию на 2024г.
 (руб.)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</x:si>
  <x:si>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</x:si>
  <x:si>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</x:si>
  <x:si>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</x:si>
  <x:si>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>фиксированная</x:t>
  </x:si>
  <x:si>
    <x:t>3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</x:si>
  <x:si>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</x:si>
  <x:si>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</x:si>
  <x:si>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r>
      <x:t xml:space="preserve">Цена продукции (без НДС)
</x:t>
    </x:r>
    <x:r>
      <x:rPr>
        <x:sz val="11"/>
        <x:color theme="1"/>
        <x:rFont val="Times New Roman"/>
        <x:family val="1"/>
      </x:rPr>
      <x:t>(сумма строк 1700, 1800)</x:t>
    </x:r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</x:si>
  <x:si>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</x:si>
  <x:si>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</x:si>
  <x:si>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</x:si>
  <x:si>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</x:si>
  <x:si>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</x:si>
  <x:si>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</x:rPr>
      <x:t>4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</x:si>
  <x:si>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</x:si>
  <x:si>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</x:si>
  <x:si>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</x:si>
  <x:si>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</x:si>
  <x:si>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</x:si>
  <x:si>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</x:si>
  <x:si>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</x:si>
  <x:si>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</x:si>
  <x:si>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</x:si>
  <x:si>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</x:si>
  <x:si>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</x:si>
  <x:si>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</x:si>
  <x:si>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</x:si>
  <x:si>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</x:si>
  <x:si>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</x:si>
  <x:si>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</x:si>
  <x:si>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</x:si>
  <x:si>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</x:si>
  <x:si>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</x:si>
  <x:si>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</x:si>
  <x:si>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 xml:space="preserve">на </x:t>
    </x:r>
  </x:si>
  <x:si>
    <x:r>
      <x:t>Наименование статьи
затрат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</x:si>
  <x:si>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t>Подготовка и освоение видов продукции, объемы производства которых увеличились в два и более раз, всего: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</x:si>
  <x:si>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</x:si>
  <x:si>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</x:si>
  <x:si>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</x:si>
  <x:si>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</x:si>
  <x:si>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</x:si>
  <x:si>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</x:si>
  <x:si>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</x:si>
  <x:si>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</x:si>
  <x:si>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</x:si>
  <x:si>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</x:si>
  <x:si>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</x:si>
  <x:si>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</x:si>
  <x:si>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</x:si>
  <x:si>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</x:si>
  <x:si>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</x:si>
  <x:si>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</x:si>
  <x:si>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>Форма № 22 (22д)</x:t>
  </x:si>
  <x:si>
    <x:t xml:space="preserve">Главный бухгалтер ООО "Бенефит Бизнес"
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</x:si>
  <x:si>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</x:si>
  <x:si>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</x:si>
  <x:si>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</x:t>
    </x:r>
    <x:r>
      <x:rPr>
        <x:sz val="11"/>
        <x:rFont val="Times New Roman"/>
        <x:family val="1"/>
      </x:rPr>
      <x:t xml:space="preserve">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    </x:t>
    </x:r>
    <x:r>
      <x:rPr>
        <x:sz val="11"/>
        <x:color rgb="FFFF0000"/>
        <x:rFont val="Times New Roman"/>
        <x:family val="1"/>
      </x:rPr>
      <x:t xml:space="preserve">                    </x:t>
    </x:r>
    <x:r>
      <x:rPr>
        <x:sz val="11"/>
        <x:color theme="1"/>
        <x:rFont val="Times New Roman"/>
        <x:family val="1"/>
        <x:charset val="204"/>
      </x:rPr>
      <x:t xml:space="preserve">                              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</x:si>
  <x:si>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</x:si>
  <x:si>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rPr>
        <x:u/>
        <x:sz val="11"/>
        <x:rFont val="Times New Roman"/>
        <x:family val="1"/>
      </x:rPr>
      <x:t>в том числе</x:t>
    </x:r>
    <x:r>
      <x:rPr>
        <x:sz val="1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k=1,4</x:t>
    </x:r>
  </x:si>
  <x:si>
    <x:r>
      <x: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</x:si>
  <x:si>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</x:si>
  <x:si>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</x:si>
  <x:si>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</x:si>
  <x:si>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  <x:r>
      <x:rPr>
        <x:sz val="11"/>
        <x:color rgb="FFFF0000"/>
        <x:rFont val="Times New Roman"/>
        <x:family val="1"/>
      </x:rPr>
      <x:t xml:space="preserve">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</x:si>
  <x:si>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</x:si>
  <x:si>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</x:si>
  <x:si>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</x:si>
  <x:si>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</x:si>
  <x:si>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x:t>
  </x:si>
  <x:si>
    <x:t>Этап № 93. Комплекс услуг</x:t>
  </x:si>
  <x:si>
    <x:t>всего на 1 запуск k=103.6, k=103.5, k=102.6, k=104.2, k=104.2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</x:si>
  <x:si>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</x:si>
  <x:si>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</x:si>
  <x:si>
    <x:t>Good morning!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</x:si>
</x:sst>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_)"/>
    <numFmt numFmtId="166" formatCode="0.0"/>
    <numFmt numFmtId="167" formatCode="[$-FC19]dd\ mmmm\ yyyy\ \г\.;@"/>
    <numFmt numFmtId="168" formatCode="0.0%"/>
    <numFmt numFmtId="169" formatCode="#,##0.0"/>
    <numFmt numFmtId="170" formatCode="#,##0.000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name val="Arial Cyr"/>
    </font>
    <font>
      <i/>
      <sz val="10"/>
      <color theme="9" tint="-0.249977111117893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name val="Times New Roman"/>
      <family val="1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5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6" fillId="0" borderId="0"/>
    <xf numFmtId="0" fontId="61" fillId="0" borderId="0"/>
    <xf numFmtId="0" fontId="65" fillId="0" borderId="0"/>
  </cellStyleXfs>
  <cellXfs count="1150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6" fillId="0" borderId="0" xfId="1" applyFont="1" applyAlignment="1">
      <alignment horizontal="right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0" fontId="24" fillId="0" borderId="1" xfId="42" applyFont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4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6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4" fillId="0" borderId="0" xfId="0" applyFont="1"/>
    <xf numFmtId="0" fontId="2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6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4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6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" fontId="21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5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4" fillId="0" borderId="2" xfId="1" applyNumberFormat="1" applyFont="1" applyBorder="1" applyAlignment="1">
      <alignment horizontal="center" vertical="center"/>
    </xf>
    <xf numFmtId="49" fontId="44" fillId="0" borderId="2" xfId="1" applyNumberFormat="1" applyFont="1" applyBorder="1" applyAlignment="1">
      <alignment horizontal="center" vertical="center" wrapText="1"/>
    </xf>
    <xf numFmtId="4" fontId="44" fillId="0" borderId="2" xfId="1" applyNumberFormat="1" applyFont="1" applyBorder="1" applyAlignment="1">
      <alignment horizontal="center" vertical="center"/>
    </xf>
    <xf numFmtId="0" fontId="44" fillId="0" borderId="0" xfId="1" applyFont="1" applyAlignment="1">
      <alignment vertical="center"/>
    </xf>
    <xf numFmtId="0" fontId="44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50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16" fillId="0" borderId="2" xfId="1" applyFont="1" applyBorder="1" applyAlignment="1">
      <alignment horizontal="left" wrapText="1"/>
    </xf>
    <xf numFmtId="49" fontId="16" fillId="0" borderId="2" xfId="1" applyNumberFormat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>
      <alignment horizontal="center" wrapText="1"/>
    </xf>
    <xf numFmtId="0" fontId="51" fillId="0" borderId="0" xfId="1" applyFont="1"/>
    <xf numFmtId="0" fontId="21" fillId="0" borderId="2" xfId="1" applyFont="1" applyBorder="1" applyAlignment="1">
      <alignment horizontal="left" vertical="center" wrapText="1"/>
    </xf>
    <xf numFmtId="0" fontId="21" fillId="0" borderId="2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6" fillId="0" borderId="2" xfId="0" applyFont="1" applyBorder="1" applyAlignment="1">
      <alignment horizontal="center" vertical="center" wrapText="1"/>
    </xf>
    <xf numFmtId="0" fontId="16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4" fontId="31" fillId="0" borderId="2" xfId="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6" fillId="0" borderId="2" xfId="1" applyFont="1" applyBorder="1" applyAlignment="1">
      <alignment horizontal="center" vertical="center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4" fontId="3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36" fillId="0" borderId="0" xfId="1" applyFont="1" applyAlignment="1">
      <alignment vertical="center"/>
    </xf>
    <xf numFmtId="4" fontId="52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4" fontId="26" fillId="0" borderId="2" xfId="51" applyNumberFormat="1" applyFont="1" applyBorder="1" applyAlignment="1">
      <alignment horizontal="center" vertical="top"/>
    </xf>
    <xf numFmtId="49" fontId="44" fillId="0" borderId="0" xfId="1" applyNumberFormat="1" applyFont="1" applyAlignment="1">
      <alignment horizontal="center" vertical="center"/>
    </xf>
    <xf numFmtId="0" fontId="44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textRotation="90"/>
    </xf>
    <xf numFmtId="0" fontId="25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 wrapText="1"/>
    </xf>
    <xf numFmtId="49" fontId="44" fillId="0" borderId="0" xfId="1" applyNumberFormat="1" applyFont="1" applyAlignment="1">
      <alignment horizontal="center" vertical="center" wrapText="1"/>
    </xf>
    <xf numFmtId="4" fontId="44" fillId="0" borderId="0" xfId="1" applyNumberFormat="1" applyFont="1" applyAlignment="1">
      <alignment horizontal="center" vertical="center"/>
    </xf>
    <xf numFmtId="4" fontId="50" fillId="0" borderId="2" xfId="0" applyNumberFormat="1" applyFont="1" applyBorder="1" applyAlignment="1">
      <alignment horizontal="center" vertical="center"/>
    </xf>
    <xf numFmtId="0" fontId="24" fillId="0" borderId="0" xfId="51" applyFont="1" applyAlignment="1">
      <alignment horizontal="center" vertical="center" wrapText="1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2" fillId="0" borderId="2" xfId="1" applyFont="1" applyBorder="1" applyAlignment="1">
      <alignment horizontal="left" vertical="center" wrapText="1"/>
    </xf>
    <xf numFmtId="4" fontId="16" fillId="0" borderId="0" xfId="53" applyNumberFormat="1" applyFont="1" applyAlignment="1">
      <alignment vertical="center"/>
    </xf>
    <xf numFmtId="0" fontId="66" fillId="0" borderId="0" xfId="51" applyFont="1" applyAlignment="1">
      <alignment wrapText="1"/>
    </xf>
    <xf numFmtId="0" fontId="25" fillId="0" borderId="0" xfId="53" applyFont="1" applyAlignment="1">
      <alignment horizontal="center" vertical="center"/>
    </xf>
    <xf numFmtId="0" fontId="69" fillId="6" borderId="36" xfId="53" applyFont="1" applyFill="1" applyBorder="1" applyAlignment="1">
      <alignment horizontal="center" vertical="center"/>
    </xf>
    <xf numFmtId="4" fontId="54" fillId="6" borderId="27" xfId="53" applyNumberFormat="1" applyFont="1" applyFill="1" applyBorder="1" applyAlignment="1">
      <alignment horizontal="center" vertical="center"/>
    </xf>
    <xf numFmtId="4" fontId="54" fillId="6" borderId="45" xfId="53" applyNumberFormat="1" applyFont="1" applyFill="1" applyBorder="1" applyAlignment="1">
      <alignment horizontal="center" vertical="center"/>
    </xf>
    <xf numFmtId="4" fontId="54" fillId="6" borderId="31" xfId="53" applyNumberFormat="1" applyFont="1" applyFill="1" applyBorder="1" applyAlignment="1">
      <alignment horizontal="center" vertical="center"/>
    </xf>
    <xf numFmtId="4" fontId="54" fillId="6" borderId="48" xfId="53" applyNumberFormat="1" applyFont="1" applyFill="1" applyBorder="1" applyAlignment="1">
      <alignment horizontal="center" vertical="center"/>
    </xf>
    <xf numFmtId="0" fontId="3" fillId="0" borderId="48" xfId="53" applyFont="1" applyBorder="1" applyAlignment="1">
      <alignment horizontal="center" vertical="center"/>
    </xf>
    <xf numFmtId="4" fontId="3" fillId="0" borderId="48" xfId="53" applyNumberFormat="1" applyFont="1" applyBorder="1" applyAlignment="1">
      <alignment horizontal="center" vertical="center"/>
    </xf>
    <xf numFmtId="4" fontId="69" fillId="0" borderId="53" xfId="53" applyNumberFormat="1" applyFont="1" applyBorder="1" applyAlignment="1">
      <alignment horizontal="center" vertical="center"/>
    </xf>
    <xf numFmtId="4" fontId="69" fillId="0" borderId="55" xfId="53" applyNumberFormat="1" applyFont="1" applyBorder="1" applyAlignment="1">
      <alignment horizontal="center" vertical="center"/>
    </xf>
    <xf numFmtId="0" fontId="3" fillId="0" borderId="56" xfId="53" applyFont="1" applyBorder="1" applyAlignment="1">
      <alignment horizontal="center" vertical="center"/>
    </xf>
    <xf numFmtId="4" fontId="54" fillId="6" borderId="47" xfId="53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168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 vertical="top" wrapText="1"/>
    </xf>
    <xf numFmtId="4" fontId="24" fillId="0" borderId="31" xfId="0" applyNumberFormat="1" applyFont="1" applyBorder="1" applyAlignment="1">
      <alignment horizontal="center" vertical="top"/>
    </xf>
    <xf numFmtId="0" fontId="24" fillId="0" borderId="31" xfId="0" applyFont="1" applyBorder="1" applyAlignment="1">
      <alignment horizontal="center" vertical="top"/>
    </xf>
    <xf numFmtId="4" fontId="24" fillId="6" borderId="31" xfId="0" applyNumberFormat="1" applyFont="1" applyFill="1" applyBorder="1" applyAlignment="1">
      <alignment horizontal="center" vertical="top"/>
    </xf>
    <xf numFmtId="0" fontId="30" fillId="0" borderId="31" xfId="0" applyFont="1" applyBorder="1" applyAlignment="1">
      <alignment horizontal="right"/>
    </xf>
    <xf numFmtId="169" fontId="24" fillId="0" borderId="31" xfId="0" applyNumberFormat="1" applyFont="1" applyBorder="1" applyAlignment="1">
      <alignment horizontal="center" vertical="top"/>
    </xf>
    <xf numFmtId="169" fontId="24" fillId="6" borderId="31" xfId="0" applyNumberFormat="1" applyFont="1" applyFill="1" applyBorder="1" applyAlignment="1">
      <alignment horizontal="center" vertical="top"/>
    </xf>
    <xf numFmtId="168" fontId="24" fillId="0" borderId="31" xfId="0" applyNumberFormat="1" applyFont="1" applyBorder="1" applyAlignment="1">
      <alignment horizontal="center" vertical="top"/>
    </xf>
    <xf numFmtId="4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/>
    </xf>
    <xf numFmtId="0" fontId="24" fillId="0" borderId="31" xfId="0" applyFont="1" applyBorder="1" applyAlignment="1">
      <alignment vertical="top"/>
    </xf>
    <xf numFmtId="0" fontId="24" fillId="0" borderId="31" xfId="0" applyFont="1" applyBorder="1" applyAlignment="1">
      <alignment horizontal="left" wrapText="1"/>
    </xf>
    <xf numFmtId="10" fontId="24" fillId="0" borderId="31" xfId="0" applyNumberFormat="1" applyFont="1" applyBorder="1" applyAlignment="1">
      <alignment horizontal="center" vertical="top"/>
    </xf>
    <xf numFmtId="0" fontId="30" fillId="0" borderId="31" xfId="0" applyFont="1" applyBorder="1" applyAlignment="1">
      <alignment horizontal="left" vertical="top" wrapText="1"/>
    </xf>
    <xf numFmtId="4" fontId="24" fillId="0" borderId="31" xfId="42" applyNumberFormat="1" applyFont="1" applyBorder="1" applyAlignment="1">
      <alignment horizontal="center" vertical="center" wrapText="1"/>
    </xf>
    <xf numFmtId="0" fontId="24" fillId="0" borderId="27" xfId="42" applyFont="1" applyBorder="1" applyAlignment="1">
      <alignment horizontal="center" vertical="center" wrapText="1"/>
    </xf>
    <xf numFmtId="49" fontId="24" fillId="0" borderId="27" xfId="42" applyNumberFormat="1" applyFont="1" applyBorder="1" applyAlignment="1">
      <alignment horizontal="center" vertical="center" wrapText="1"/>
    </xf>
    <xf numFmtId="3" fontId="24" fillId="0" borderId="27" xfId="42" applyNumberFormat="1" applyFont="1" applyBorder="1" applyAlignment="1">
      <alignment horizontal="center" vertical="center" wrapText="1"/>
    </xf>
    <xf numFmtId="0" fontId="24" fillId="0" borderId="29" xfId="42" applyFont="1" applyBorder="1" applyAlignment="1">
      <alignment vertical="center" wrapText="1"/>
    </xf>
    <xf numFmtId="3" fontId="24" fillId="0" borderId="31" xfId="42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textRotation="90"/>
    </xf>
    <xf numFmtId="0" fontId="46" fillId="0" borderId="0" xfId="0" applyFont="1" applyAlignment="1">
      <alignment horizontal="left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0" borderId="28" xfId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52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59" fillId="9" borderId="61" xfId="0" applyFont="1" applyFill="1" applyBorder="1" applyAlignment="1">
      <alignment horizontal="center" vertical="center" wrapText="1"/>
    </xf>
    <xf numFmtId="0" fontId="72" fillId="0" borderId="49" xfId="0" applyFont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textRotation="90" wrapText="1"/>
    </xf>
    <xf numFmtId="0" fontId="72" fillId="0" borderId="47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72" fillId="0" borderId="25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top" wrapText="1"/>
    </xf>
    <xf numFmtId="0" fontId="54" fillId="0" borderId="42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4" fillId="0" borderId="41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45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49" fontId="69" fillId="0" borderId="51" xfId="0" applyNumberFormat="1" applyFont="1" applyBorder="1" applyAlignment="1">
      <alignment horizontal="center" vertical="center" wrapText="1"/>
    </xf>
    <xf numFmtId="0" fontId="70" fillId="0" borderId="54" xfId="0" applyFont="1" applyBorder="1" applyAlignment="1">
      <alignment horizontal="left" vertical="top" wrapText="1"/>
    </xf>
    <xf numFmtId="4" fontId="69" fillId="0" borderId="47" xfId="0" applyNumberFormat="1" applyFont="1" applyBorder="1" applyAlignment="1">
      <alignment horizontal="center" vertical="center"/>
    </xf>
    <xf numFmtId="4" fontId="69" fillId="0" borderId="20" xfId="0" applyNumberFormat="1" applyFont="1" applyBorder="1" applyAlignment="1">
      <alignment horizontal="center" vertical="center"/>
    </xf>
    <xf numFmtId="4" fontId="69" fillId="0" borderId="53" xfId="0" applyNumberFormat="1" applyFont="1" applyBorder="1" applyAlignment="1">
      <alignment horizontal="center" vertical="center"/>
    </xf>
    <xf numFmtId="4" fontId="3" fillId="0" borderId="4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40" xfId="0" applyNumberFormat="1" applyFont="1" applyBorder="1" applyAlignment="1">
      <alignment horizontal="center" vertical="center" wrapText="1"/>
    </xf>
    <xf numFmtId="0" fontId="54" fillId="6" borderId="39" xfId="0" applyFont="1" applyFill="1" applyBorder="1" applyAlignment="1">
      <alignment horizontal="left" vertical="top" wrapText="1"/>
    </xf>
    <xf numFmtId="2" fontId="54" fillId="0" borderId="40" xfId="0" applyNumberFormat="1" applyFont="1" applyBorder="1" applyAlignment="1">
      <alignment horizontal="center" vertical="center" wrapText="1"/>
    </xf>
    <xf numFmtId="4" fontId="54" fillId="6" borderId="31" xfId="0" applyNumberFormat="1" applyFont="1" applyFill="1" applyBorder="1" applyAlignment="1">
      <alignment horizontal="center" vertical="center" wrapText="1"/>
    </xf>
    <xf numFmtId="4" fontId="54" fillId="6" borderId="39" xfId="0" applyNumberFormat="1" applyFont="1" applyFill="1" applyBorder="1" applyAlignment="1">
      <alignment horizontal="center" vertical="center"/>
    </xf>
    <xf numFmtId="3" fontId="54" fillId="6" borderId="30" xfId="0" applyNumberFormat="1" applyFont="1" applyFill="1" applyBorder="1" applyAlignment="1">
      <alignment horizontal="center" vertical="center" wrapText="1"/>
    </xf>
    <xf numFmtId="2" fontId="54" fillId="6" borderId="40" xfId="0" applyNumberFormat="1" applyFont="1" applyFill="1" applyBorder="1" applyAlignment="1">
      <alignment horizontal="center" vertical="center" wrapText="1"/>
    </xf>
    <xf numFmtId="2" fontId="54" fillId="8" borderId="40" xfId="0" applyNumberFormat="1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vertical="center"/>
    </xf>
    <xf numFmtId="2" fontId="54" fillId="6" borderId="30" xfId="0" applyNumberFormat="1" applyFont="1" applyFill="1" applyBorder="1" applyAlignment="1">
      <alignment horizontal="center" vertical="center" wrapText="1"/>
    </xf>
    <xf numFmtId="2" fontId="54" fillId="8" borderId="25" xfId="0" applyNumberFormat="1" applyFont="1" applyFill="1" applyBorder="1" applyAlignment="1">
      <alignment horizontal="center" vertical="center" wrapText="1"/>
    </xf>
    <xf numFmtId="4" fontId="54" fillId="8" borderId="33" xfId="0" applyNumberFormat="1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0" fontId="54" fillId="6" borderId="41" xfId="0" applyFont="1" applyFill="1" applyBorder="1" applyAlignment="1">
      <alignment horizontal="left" vertical="top" wrapText="1"/>
    </xf>
    <xf numFmtId="2" fontId="54" fillId="6" borderId="23" xfId="0" applyNumberFormat="1" applyFont="1" applyFill="1" applyBorder="1" applyAlignment="1">
      <alignment horizontal="center" vertical="center" wrapText="1"/>
    </xf>
    <xf numFmtId="4" fontId="54" fillId="6" borderId="45" xfId="0" applyNumberFormat="1" applyFont="1" applyFill="1" applyBorder="1" applyAlignment="1">
      <alignment horizontal="center" vertical="center" wrapText="1"/>
    </xf>
    <xf numFmtId="4" fontId="54" fillId="6" borderId="44" xfId="0" applyNumberFormat="1" applyFont="1" applyFill="1" applyBorder="1" applyAlignment="1">
      <alignment horizontal="center" vertical="center"/>
    </xf>
    <xf numFmtId="2" fontId="54" fillId="6" borderId="33" xfId="0" applyNumberFormat="1" applyFont="1" applyFill="1" applyBorder="1" applyAlignment="1">
      <alignment horizontal="center" vertical="center" wrapText="1"/>
    </xf>
    <xf numFmtId="4" fontId="54" fillId="6" borderId="27" xfId="0" applyNumberFormat="1" applyFont="1" applyFill="1" applyBorder="1" applyAlignment="1">
      <alignment horizontal="center" vertical="center" wrapText="1"/>
    </xf>
    <xf numFmtId="4" fontId="54" fillId="6" borderId="41" xfId="0" applyNumberFormat="1" applyFont="1" applyFill="1" applyBorder="1" applyAlignment="1">
      <alignment horizontal="center" vertical="center"/>
    </xf>
    <xf numFmtId="2" fontId="54" fillId="6" borderId="42" xfId="0" applyNumberFormat="1" applyFont="1" applyFill="1" applyBorder="1" applyAlignment="1">
      <alignment horizontal="center" vertical="center" wrapText="1"/>
    </xf>
    <xf numFmtId="2" fontId="54" fillId="8" borderId="51" xfId="0" applyNumberFormat="1" applyFont="1" applyFill="1" applyBorder="1" applyAlignment="1">
      <alignment horizontal="center" vertical="center" wrapText="1"/>
    </xf>
    <xf numFmtId="49" fontId="3" fillId="0" borderId="49" xfId="0" applyNumberFormat="1" applyFont="1" applyBorder="1" applyAlignment="1">
      <alignment horizontal="center" vertical="center" wrapText="1"/>
    </xf>
    <xf numFmtId="0" fontId="54" fillId="6" borderId="20" xfId="0" applyFont="1" applyFill="1" applyBorder="1" applyAlignment="1">
      <alignment horizontal="left" vertical="top" wrapText="1"/>
    </xf>
    <xf numFmtId="2" fontId="54" fillId="6" borderId="49" xfId="0" applyNumberFormat="1" applyFont="1" applyFill="1" applyBorder="1" applyAlignment="1">
      <alignment horizontal="center" vertical="center" wrapText="1"/>
    </xf>
    <xf numFmtId="4" fontId="54" fillId="6" borderId="48" xfId="0" applyNumberFormat="1" applyFont="1" applyFill="1" applyBorder="1" applyAlignment="1">
      <alignment horizontal="center" vertical="center" wrapText="1"/>
    </xf>
    <xf numFmtId="4" fontId="54" fillId="6" borderId="47" xfId="0" applyNumberFormat="1" applyFont="1" applyFill="1" applyBorder="1" applyAlignment="1">
      <alignment horizontal="center" vertical="center" wrapText="1"/>
    </xf>
    <xf numFmtId="4" fontId="54" fillId="6" borderId="20" xfId="0" applyNumberFormat="1" applyFont="1" applyFill="1" applyBorder="1" applyAlignment="1">
      <alignment horizontal="center" vertical="center"/>
    </xf>
    <xf numFmtId="2" fontId="54" fillId="10" borderId="49" xfId="0" applyNumberFormat="1" applyFont="1" applyFill="1" applyBorder="1" applyAlignment="1">
      <alignment horizontal="center" vertical="center" wrapText="1"/>
    </xf>
    <xf numFmtId="4" fontId="54" fillId="10" borderId="48" xfId="53" applyNumberFormat="1" applyFont="1" applyFill="1" applyBorder="1" applyAlignment="1">
      <alignment horizontal="center" vertical="center"/>
    </xf>
    <xf numFmtId="4" fontId="54" fillId="10" borderId="48" xfId="0" applyNumberFormat="1" applyFont="1" applyFill="1" applyBorder="1" applyAlignment="1">
      <alignment horizontal="center" vertical="center" wrapText="1"/>
    </xf>
    <xf numFmtId="4" fontId="54" fillId="10" borderId="47" xfId="0" applyNumberFormat="1" applyFont="1" applyFill="1" applyBorder="1" applyAlignment="1">
      <alignment horizontal="center" vertical="center" wrapText="1"/>
    </xf>
    <xf numFmtId="4" fontId="54" fillId="10" borderId="20" xfId="0" applyNumberFormat="1" applyFont="1" applyFill="1" applyBorder="1" applyAlignment="1">
      <alignment horizontal="center" vertical="center"/>
    </xf>
    <xf numFmtId="2" fontId="54" fillId="8" borderId="49" xfId="0" applyNumberFormat="1" applyFont="1" applyFill="1" applyBorder="1" applyAlignment="1">
      <alignment horizontal="center" vertical="center" wrapText="1"/>
    </xf>
    <xf numFmtId="4" fontId="54" fillId="8" borderId="47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vertical="top" wrapText="1"/>
    </xf>
    <xf numFmtId="2" fontId="54" fillId="10" borderId="40" xfId="0" applyNumberFormat="1" applyFont="1" applyFill="1" applyBorder="1" applyAlignment="1">
      <alignment horizontal="center" vertical="center" wrapText="1"/>
    </xf>
    <xf numFmtId="4" fontId="54" fillId="10" borderId="27" xfId="53" applyNumberFormat="1" applyFont="1" applyFill="1" applyBorder="1" applyAlignment="1">
      <alignment horizontal="center" vertical="center"/>
    </xf>
    <xf numFmtId="4" fontId="54" fillId="10" borderId="27" xfId="0" applyNumberFormat="1" applyFont="1" applyFill="1" applyBorder="1" applyAlignment="1">
      <alignment horizontal="center" vertical="center" wrapText="1"/>
    </xf>
    <xf numFmtId="4" fontId="54" fillId="10" borderId="31" xfId="0" applyNumberFormat="1" applyFont="1" applyFill="1" applyBorder="1" applyAlignment="1">
      <alignment horizontal="center" vertical="center" wrapText="1"/>
    </xf>
    <xf numFmtId="4" fontId="54" fillId="10" borderId="39" xfId="0" applyNumberFormat="1" applyFont="1" applyFill="1" applyBorder="1" applyAlignment="1">
      <alignment horizontal="center" vertical="center"/>
    </xf>
    <xf numFmtId="4" fontId="54" fillId="8" borderId="31" xfId="0" applyNumberFormat="1" applyFont="1" applyFill="1" applyBorder="1" applyAlignment="1">
      <alignment horizontal="center" vertical="center"/>
    </xf>
    <xf numFmtId="0" fontId="54" fillId="6" borderId="44" xfId="0" applyFont="1" applyFill="1" applyBorder="1" applyAlignment="1">
      <alignment horizontal="left" vertical="top" wrapText="1"/>
    </xf>
    <xf numFmtId="2" fontId="54" fillId="10" borderId="23" xfId="0" applyNumberFormat="1" applyFont="1" applyFill="1" applyBorder="1" applyAlignment="1">
      <alignment horizontal="center" vertical="center" wrapText="1"/>
    </xf>
    <xf numFmtId="4" fontId="54" fillId="10" borderId="45" xfId="53" applyNumberFormat="1" applyFont="1" applyFill="1" applyBorder="1" applyAlignment="1">
      <alignment horizontal="center" vertical="center"/>
    </xf>
    <xf numFmtId="4" fontId="54" fillId="10" borderId="45" xfId="0" applyNumberFormat="1" applyFont="1" applyFill="1" applyBorder="1" applyAlignment="1">
      <alignment horizontal="center" vertical="center" wrapText="1"/>
    </xf>
    <xf numFmtId="4" fontId="54" fillId="10" borderId="44" xfId="0" applyNumberFormat="1" applyFont="1" applyFill="1" applyBorder="1" applyAlignment="1">
      <alignment horizontal="center" vertical="center"/>
    </xf>
    <xf numFmtId="2" fontId="54" fillId="8" borderId="23" xfId="0" applyNumberFormat="1" applyFont="1" applyFill="1" applyBorder="1" applyAlignment="1">
      <alignment horizontal="center" vertical="center" wrapText="1"/>
    </xf>
    <xf numFmtId="4" fontId="54" fillId="8" borderId="45" xfId="0" applyNumberFormat="1" applyFont="1" applyFill="1" applyBorder="1" applyAlignment="1">
      <alignment horizontal="center" vertical="center"/>
    </xf>
    <xf numFmtId="2" fontId="54" fillId="6" borderId="50" xfId="0" applyNumberFormat="1" applyFont="1" applyFill="1" applyBorder="1" applyAlignment="1">
      <alignment horizontal="center" vertical="center" wrapText="1"/>
    </xf>
    <xf numFmtId="2" fontId="54" fillId="6" borderId="46" xfId="0" applyNumberFormat="1" applyFont="1" applyFill="1" applyBorder="1" applyAlignment="1">
      <alignment horizontal="center" vertical="center" wrapText="1"/>
    </xf>
    <xf numFmtId="2" fontId="54" fillId="11" borderId="49" xfId="0" applyNumberFormat="1" applyFont="1" applyFill="1" applyBorder="1" applyAlignment="1">
      <alignment horizontal="center" vertical="center" wrapText="1"/>
    </xf>
    <xf numFmtId="4" fontId="54" fillId="11" borderId="47" xfId="0" applyNumberFormat="1" applyFont="1" applyFill="1" applyBorder="1" applyAlignment="1">
      <alignment horizontal="center" vertical="center"/>
    </xf>
    <xf numFmtId="2" fontId="54" fillId="11" borderId="40" xfId="0" applyNumberFormat="1" applyFont="1" applyFill="1" applyBorder="1" applyAlignment="1">
      <alignment horizontal="center" vertical="center" wrapText="1"/>
    </xf>
    <xf numFmtId="4" fontId="54" fillId="11" borderId="31" xfId="0" applyNumberFormat="1" applyFont="1" applyFill="1" applyBorder="1" applyAlignment="1">
      <alignment horizontal="center" vertical="center"/>
    </xf>
    <xf numFmtId="2" fontId="54" fillId="11" borderId="23" xfId="0" applyNumberFormat="1" applyFont="1" applyFill="1" applyBorder="1" applyAlignment="1">
      <alignment horizontal="center" vertical="center" wrapText="1"/>
    </xf>
    <xf numFmtId="4" fontId="54" fillId="11" borderId="45" xfId="0" applyNumberFormat="1" applyFont="1" applyFill="1" applyBorder="1" applyAlignment="1">
      <alignment horizontal="center" vertical="center"/>
    </xf>
    <xf numFmtId="4" fontId="68" fillId="6" borderId="37" xfId="0" applyNumberFormat="1" applyFont="1" applyFill="1" applyBorder="1" applyAlignment="1">
      <alignment horizontal="center" vertical="center"/>
    </xf>
    <xf numFmtId="4" fontId="68" fillId="6" borderId="3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4" fontId="49" fillId="0" borderId="0" xfId="0" applyNumberFormat="1" applyFont="1" applyAlignment="1">
      <alignment vertical="center"/>
    </xf>
    <xf numFmtId="49" fontId="62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3" fontId="63" fillId="0" borderId="0" xfId="0" applyNumberFormat="1" applyFont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70" fontId="63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31" fillId="0" borderId="0" xfId="1" applyFont="1" applyAlignment="1">
      <alignment vertic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vertical="top"/>
    </xf>
    <xf numFmtId="0" fontId="24" fillId="0" borderId="0" xfId="1" applyFont="1" applyAlignment="1">
      <alignment horizontal="left" vertical="center"/>
    </xf>
    <xf numFmtId="0" fontId="30" fillId="0" borderId="0" xfId="1" applyFont="1" applyAlignment="1">
      <alignment vertical="top"/>
    </xf>
    <xf numFmtId="0" fontId="24" fillId="0" borderId="20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 wrapText="1"/>
    </xf>
    <xf numFmtId="49" fontId="24" fillId="0" borderId="2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center" vertical="center"/>
    </xf>
    <xf numFmtId="4" fontId="24" fillId="0" borderId="21" xfId="1" applyNumberFormat="1" applyFont="1" applyBorder="1" applyAlignment="1">
      <alignment horizontal="center" vertical="center"/>
    </xf>
    <xf numFmtId="4" fontId="24" fillId="0" borderId="22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36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4" fillId="6" borderId="22" xfId="1" applyNumberFormat="1" applyFont="1" applyFill="1" applyBorder="1" applyAlignment="1">
      <alignment horizontal="center" vertical="center"/>
    </xf>
    <xf numFmtId="0" fontId="31" fillId="0" borderId="0" xfId="1" applyFont="1"/>
    <xf numFmtId="0" fontId="31" fillId="0" borderId="2" xfId="1" applyFont="1" applyBorder="1" applyAlignment="1">
      <alignment horizontal="left" wrapText="1"/>
    </xf>
    <xf numFmtId="4" fontId="24" fillId="0" borderId="2" xfId="1" applyNumberFormat="1" applyFont="1" applyBorder="1" applyAlignment="1">
      <alignment horizontal="center" vertical="center" wrapText="1"/>
    </xf>
    <xf numFmtId="4" fontId="26" fillId="0" borderId="21" xfId="1" applyNumberFormat="1" applyFont="1" applyBorder="1" applyAlignment="1">
      <alignment horizontal="center" vertical="center"/>
    </xf>
    <xf numFmtId="4" fontId="26" fillId="0" borderId="22" xfId="1" applyNumberFormat="1" applyFont="1" applyBorder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/>
    </xf>
    <xf numFmtId="4" fontId="36" fillId="0" borderId="21" xfId="1" applyNumberFormat="1" applyFont="1" applyBorder="1" applyAlignment="1">
      <alignment horizontal="center" vertical="center"/>
    </xf>
    <xf numFmtId="0" fontId="26" fillId="0" borderId="0" xfId="1" applyFont="1"/>
    <xf numFmtId="4" fontId="24" fillId="0" borderId="23" xfId="1" applyNumberFormat="1" applyFont="1" applyBorder="1" applyAlignment="1">
      <alignment horizontal="center" vertical="center"/>
    </xf>
    <xf numFmtId="4" fontId="24" fillId="0" borderId="24" xfId="1" applyNumberFormat="1" applyFont="1" applyBorder="1" applyAlignment="1">
      <alignment horizontal="center" vertical="center"/>
    </xf>
    <xf numFmtId="49" fontId="24" fillId="0" borderId="32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left" vertical="center" wrapText="1"/>
    </xf>
    <xf numFmtId="4" fontId="24" fillId="0" borderId="32" xfId="1" applyNumberFormat="1" applyFont="1" applyBorder="1" applyAlignment="1">
      <alignment horizontal="center" vertical="center"/>
    </xf>
    <xf numFmtId="4" fontId="24" fillId="0" borderId="0" xfId="1" applyNumberFormat="1" applyFont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4" fontId="24" fillId="0" borderId="0" xfId="1" applyNumberFormat="1" applyFont="1"/>
    <xf numFmtId="0" fontId="26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31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left" vertical="center" wrapText="1"/>
    </xf>
    <xf numFmtId="4" fontId="57" fillId="0" borderId="2" xfId="0" applyNumberFormat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26" fillId="0" borderId="0" xfId="1" applyNumberFormat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9" fontId="24" fillId="0" borderId="0" xfId="1" applyNumberFormat="1" applyFont="1" applyAlignment="1">
      <alignment horizontal="center" wrapText="1"/>
    </xf>
    <xf numFmtId="49" fontId="24" fillId="0" borderId="0" xfId="1" applyNumberFormat="1" applyFont="1" applyAlignment="1">
      <alignment horizontal="center"/>
    </xf>
    <xf numFmtId="0" fontId="26" fillId="0" borderId="0" xfId="1" applyFont="1" applyAlignment="1">
      <alignment wrapText="1"/>
    </xf>
    <xf numFmtId="49" fontId="24" fillId="0" borderId="0" xfId="1" applyNumberFormat="1" applyFont="1"/>
    <xf numFmtId="0" fontId="74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0" fontId="31" fillId="0" borderId="0" xfId="1" applyFont="1" applyAlignment="1">
      <alignment horizontal="left"/>
    </xf>
    <xf numFmtId="49" fontId="28" fillId="0" borderId="0" xfId="1" applyNumberFormat="1" applyFont="1" applyAlignment="1">
      <alignment horizontal="left"/>
    </xf>
    <xf numFmtId="0" fontId="75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24" fillId="0" borderId="31" xfId="1" applyFont="1" applyBorder="1" applyAlignment="1">
      <alignment horizontal="center" vertical="center" wrapText="1"/>
    </xf>
    <xf numFmtId="4" fontId="50" fillId="0" borderId="13" xfId="0" applyNumberFormat="1" applyFont="1" applyBorder="1" applyAlignment="1">
      <alignment horizontal="center" vertical="center"/>
    </xf>
    <xf numFmtId="0" fontId="31" fillId="0" borderId="0" xfId="1" applyFont="1" applyAlignment="1">
      <alignment horizontal="right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center" vertical="center"/>
    </xf>
    <xf numFmtId="0" fontId="31" fillId="0" borderId="5" xfId="1" applyFont="1" applyBorder="1" applyAlignment="1">
      <alignment horizontal="center" vertical="center"/>
    </xf>
    <xf numFmtId="0" fontId="74" fillId="0" borderId="0" xfId="1" applyFont="1" applyAlignment="1">
      <alignment vertical="center"/>
    </xf>
    <xf numFmtId="49" fontId="31" fillId="0" borderId="0" xfId="1" applyNumberFormat="1" applyFont="1" applyAlignment="1">
      <alignment horizontal="left"/>
    </xf>
    <xf numFmtId="0" fontId="31" fillId="0" borderId="0" xfId="1" applyFont="1" applyAlignment="1">
      <alignment vertical="top"/>
    </xf>
    <xf numFmtId="0" fontId="31" fillId="0" borderId="0" xfId="1" applyFont="1" applyAlignment="1">
      <alignment horizontal="center" vertical="top"/>
    </xf>
    <xf numFmtId="3" fontId="31" fillId="0" borderId="0" xfId="1" applyNumberFormat="1" applyFont="1"/>
    <xf numFmtId="3" fontId="31" fillId="0" borderId="0" xfId="1" applyNumberFormat="1" applyFont="1" applyAlignment="1">
      <alignment vertical="center"/>
    </xf>
    <xf numFmtId="3" fontId="75" fillId="0" borderId="0" xfId="1" applyNumberFormat="1" applyFont="1"/>
    <xf numFmtId="3" fontId="75" fillId="0" borderId="0" xfId="1" applyNumberFormat="1" applyFont="1" applyAlignment="1">
      <alignment horizontal="right"/>
    </xf>
    <xf numFmtId="3" fontId="75" fillId="0" borderId="0" xfId="1" applyNumberFormat="1" applyFont="1" applyAlignment="1">
      <alignment vertical="top"/>
    </xf>
    <xf numFmtId="0" fontId="24" fillId="0" borderId="0" xfId="3" applyFont="1" applyAlignment="1">
      <alignment horizontal="right"/>
    </xf>
    <xf numFmtId="0" fontId="76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0" fontId="46" fillId="0" borderId="0" xfId="0" applyFont="1"/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74" fillId="0" borderId="0" xfId="51" applyFont="1" applyAlignment="1">
      <alignment horizontal="center"/>
    </xf>
    <xf numFmtId="0" fontId="74" fillId="0" borderId="1" xfId="51" applyFont="1" applyBorder="1"/>
    <xf numFmtId="0" fontId="74" fillId="0" borderId="0" xfId="51" applyFont="1"/>
    <xf numFmtId="0" fontId="74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24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4" fillId="0" borderId="0" xfId="51" applyFont="1"/>
    <xf numFmtId="0" fontId="30" fillId="0" borderId="0" xfId="1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56" fillId="0" borderId="2" xfId="0" applyFont="1" applyBorder="1" applyAlignment="1">
      <alignment horizontal="left" vertical="center" wrapText="1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" fontId="24" fillId="0" borderId="13" xfId="1" applyNumberFormat="1" applyFont="1" applyBorder="1" applyAlignment="1">
      <alignment horizontal="center" vertical="center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49" fontId="24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50" fillId="0" borderId="17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4" fillId="0" borderId="0" xfId="8" applyFont="1" applyAlignment="1">
      <alignment vertical="top" wrapText="1"/>
    </xf>
    <xf numFmtId="0" fontId="36" fillId="0" borderId="0" xfId="0" applyFont="1" applyAlignment="1">
      <alignment vertical="center"/>
    </xf>
    <xf numFmtId="0" fontId="36" fillId="0" borderId="0" xfId="8" applyFont="1" applyAlignment="1">
      <alignment horizontal="center" vertical="top"/>
    </xf>
    <xf numFmtId="0" fontId="36" fillId="0" borderId="0" xfId="8" applyFont="1" applyAlignment="1">
      <alignment horizontal="right"/>
    </xf>
    <xf numFmtId="49" fontId="36" fillId="0" borderId="2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4" fillId="0" borderId="0" xfId="8" applyNumberFormat="1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4" fillId="0" borderId="0" xfId="10" applyFont="1" applyAlignment="1">
      <alignment wrapText="1"/>
    </xf>
    <xf numFmtId="0" fontId="24" fillId="0" borderId="0" xfId="1" applyFont="1" applyAlignment="1">
      <alignment horizontal="right" vertical="center"/>
    </xf>
    <xf numFmtId="0" fontId="79" fillId="0" borderId="0" xfId="1" applyFont="1" applyAlignment="1">
      <alignment vertical="center"/>
    </xf>
    <xf numFmtId="0" fontId="81" fillId="0" borderId="0" xfId="1" applyFont="1"/>
    <xf numFmtId="49" fontId="36" fillId="0" borderId="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1" fillId="0" borderId="0" xfId="1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4" fillId="0" borderId="0" xfId="1" applyFont="1" applyAlignment="1">
      <alignment horizontal="left"/>
    </xf>
    <xf numFmtId="0" fontId="74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0" fontId="75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79" fillId="0" borderId="0" xfId="0" applyFont="1" applyAlignment="1">
      <alignment vertical="top"/>
    </xf>
    <xf numFmtId="0" fontId="24" fillId="0" borderId="0" xfId="3" applyFont="1" applyAlignment="1">
      <alignment vertical="center" wrapText="1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24" fillId="6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3" fontId="24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4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9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4" fillId="6" borderId="0" xfId="1" applyFont="1" applyFill="1"/>
    <xf numFmtId="0" fontId="24" fillId="6" borderId="0" xfId="1" applyFont="1" applyFill="1" applyAlignment="1">
      <alignment vertical="center"/>
    </xf>
    <xf numFmtId="0" fontId="24" fillId="0" borderId="31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/>
    </xf>
    <xf numFmtId="0" fontId="24" fillId="0" borderId="26" xfId="1" applyFont="1" applyBorder="1" applyAlignment="1">
      <alignment horizontal="left" vertical="center"/>
    </xf>
    <xf numFmtId="0" fontId="24" fillId="6" borderId="26" xfId="1" applyFont="1" applyFill="1" applyBorder="1" applyAlignment="1">
      <alignment horizontal="center" vertical="center"/>
    </xf>
    <xf numFmtId="0" fontId="24" fillId="6" borderId="31" xfId="1" applyFont="1" applyFill="1" applyBorder="1" applyAlignment="1">
      <alignment horizontal="center" vertical="center"/>
    </xf>
    <xf numFmtId="0" fontId="24" fillId="0" borderId="26" xfId="1" applyFont="1" applyBorder="1" applyAlignment="1">
      <alignment horizontal="left" vertical="center" wrapText="1"/>
    </xf>
    <xf numFmtId="0" fontId="24" fillId="6" borderId="2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49" fontId="24" fillId="0" borderId="28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right" vertical="center"/>
    </xf>
    <xf numFmtId="0" fontId="24" fillId="0" borderId="28" xfId="1" applyFont="1" applyBorder="1" applyAlignment="1">
      <alignment horizontal="right" vertical="center" wrapText="1"/>
    </xf>
    <xf numFmtId="0" fontId="24" fillId="6" borderId="28" xfId="1" applyFont="1" applyFill="1" applyBorder="1" applyAlignment="1">
      <alignment horizontal="center" vertical="center"/>
    </xf>
    <xf numFmtId="0" fontId="24" fillId="0" borderId="28" xfId="1" applyFont="1" applyBorder="1" applyAlignment="1">
      <alignment horizontal="left" vertical="center"/>
    </xf>
    <xf numFmtId="0" fontId="24" fillId="6" borderId="28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/>
    </xf>
    <xf numFmtId="49" fontId="28" fillId="0" borderId="28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49" fontId="24" fillId="0" borderId="7" xfId="1" applyNumberFormat="1" applyFont="1" applyBorder="1" applyAlignment="1">
      <alignment horizontal="left" vertical="center"/>
    </xf>
    <xf numFmtId="0" fontId="24" fillId="0" borderId="11" xfId="1" applyFont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26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28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6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31" xfId="1" applyNumberFormat="1" applyFont="1" applyBorder="1" applyAlignment="1">
      <alignment horizontal="center" vertical="top" wrapText="1"/>
    </xf>
    <xf numFmtId="0" fontId="24" fillId="0" borderId="31" xfId="1" applyFont="1" applyBorder="1" applyAlignment="1">
      <alignment horizontal="left" vertical="center" wrapText="1"/>
    </xf>
    <xf numFmtId="49" fontId="24" fillId="0" borderId="28" xfId="1" applyNumberFormat="1" applyFont="1" applyBorder="1" applyAlignment="1">
      <alignment horizontal="center" wrapText="1"/>
    </xf>
    <xf numFmtId="49" fontId="24" fillId="0" borderId="28" xfId="1" applyNumberFormat="1" applyFont="1" applyBorder="1" applyAlignment="1">
      <alignment horizontal="left" vertical="center"/>
    </xf>
    <xf numFmtId="49" fontId="24" fillId="0" borderId="26" xfId="1" applyNumberFormat="1" applyFont="1" applyBorder="1" applyAlignment="1">
      <alignment horizontal="left" vertical="center"/>
    </xf>
    <xf numFmtId="49" fontId="24" fillId="0" borderId="28" xfId="1" applyNumberFormat="1" applyFont="1" applyBorder="1" applyAlignment="1">
      <alignment horizontal="center" vertical="center" wrapText="1"/>
    </xf>
    <xf numFmtId="49" fontId="24" fillId="0" borderId="28" xfId="1" applyNumberFormat="1" applyFont="1" applyBorder="1" applyAlignment="1">
      <alignment horizontal="center" vertical="top" wrapText="1"/>
    </xf>
    <xf numFmtId="0" fontId="24" fillId="0" borderId="28" xfId="1" applyFont="1" applyBorder="1" applyAlignment="1">
      <alignment horizontal="left" vertical="center" wrapText="1"/>
    </xf>
    <xf numFmtId="0" fontId="24" fillId="0" borderId="31" xfId="1" applyFont="1" applyBorder="1" applyAlignment="1">
      <alignment horizontal="center"/>
    </xf>
    <xf numFmtId="0" fontId="24" fillId="6" borderId="28" xfId="1" applyFont="1" applyFill="1" applyBorder="1" applyAlignment="1">
      <alignment horizontal="center"/>
    </xf>
    <xf numFmtId="0" fontId="24" fillId="6" borderId="31" xfId="1" applyFont="1" applyFill="1" applyBorder="1" applyAlignment="1">
      <alignment horizontal="center"/>
    </xf>
    <xf numFmtId="0" fontId="24" fillId="0" borderId="28" xfId="1" applyFont="1" applyBorder="1" applyAlignment="1">
      <alignment horizontal="center"/>
    </xf>
    <xf numFmtId="49" fontId="24" fillId="0" borderId="28" xfId="1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center" vertical="center"/>
    </xf>
    <xf numFmtId="0" fontId="19" fillId="0" borderId="26" xfId="1" applyFont="1" applyBorder="1" applyAlignment="1">
      <alignment horizontal="center" vertical="center" textRotation="90"/>
    </xf>
    <xf numFmtId="0" fontId="19" fillId="0" borderId="26" xfId="1" applyFont="1" applyBorder="1" applyAlignment="1">
      <alignment horizontal="center" vertical="center" textRotation="90" wrapText="1"/>
    </xf>
    <xf numFmtId="0" fontId="19" fillId="0" borderId="31" xfId="1" applyFont="1" applyBorder="1" applyAlignment="1">
      <alignment horizontal="center" vertical="center" textRotation="90"/>
    </xf>
    <xf numFmtId="0" fontId="19" fillId="0" borderId="31" xfId="1" applyFont="1" applyBorder="1" applyAlignment="1">
      <alignment horizontal="center" vertical="center" textRotation="90" wrapText="1"/>
    </xf>
    <xf numFmtId="0" fontId="79" fillId="0" borderId="0" xfId="0" applyFont="1"/>
    <xf numFmtId="0" fontId="79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44" fillId="0" borderId="2" xfId="1" applyNumberFormat="1" applyFont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30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/>
    <xf numFmtId="0" fontId="24" fillId="0" borderId="0" xfId="0" applyFont="1" applyAlignment="1">
      <alignment horizontal="right"/>
    </xf>
    <xf numFmtId="0" fontId="24" fillId="0" borderId="3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center"/>
    </xf>
    <xf numFmtId="4" fontId="36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4" fontId="50" fillId="0" borderId="2" xfId="0" applyNumberFormat="1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4" fontId="26" fillId="0" borderId="2" xfId="1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0" fontId="31" fillId="0" borderId="31" xfId="1" applyFont="1" applyBorder="1" applyAlignment="1">
      <alignment horizontal="center" vertical="center" wrapText="1"/>
    </xf>
    <xf numFmtId="2" fontId="31" fillId="0" borderId="2" xfId="1" applyNumberFormat="1" applyFont="1" applyFill="1" applyBorder="1" applyAlignment="1">
      <alignment horizontal="center" vertical="center"/>
    </xf>
    <xf numFmtId="0" fontId="26" fillId="0" borderId="31" xfId="6" applyFont="1" applyBorder="1" applyAlignment="1">
      <alignment vertical="center" wrapText="1"/>
    </xf>
    <xf numFmtId="4" fontId="54" fillId="0" borderId="2" xfId="0" applyNumberFormat="1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center" vertical="center"/>
    </xf>
    <xf numFmtId="1" fontId="54" fillId="0" borderId="2" xfId="1" applyNumberFormat="1" applyFont="1" applyBorder="1" applyAlignment="1">
      <alignment horizontal="center" vertical="center"/>
    </xf>
    <xf numFmtId="4" fontId="54" fillId="0" borderId="2" xfId="1" applyNumberFormat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center"/>
    </xf>
    <xf numFmtId="1" fontId="54" fillId="0" borderId="2" xfId="1" applyNumberFormat="1" applyFont="1" applyFill="1" applyBorder="1" applyAlignment="1">
      <alignment horizontal="center" vertical="center"/>
    </xf>
    <xf numFmtId="4" fontId="54" fillId="0" borderId="2" xfId="0" applyNumberFormat="1" applyFont="1" applyFill="1" applyBorder="1" applyAlignment="1">
      <alignment horizontal="center" vertical="center"/>
    </xf>
    <xf numFmtId="0" fontId="0" fillId="0" borderId="0" xfId="0" applyFont="1"/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0" fillId="0" borderId="0" xfId="0" applyFont="1" applyAlignment="1">
      <alignment wrapText="1"/>
    </xf>
    <xf numFmtId="1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4" fontId="54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54" fillId="0" borderId="2" xfId="0" applyFont="1" applyFill="1" applyBorder="1" applyAlignment="1">
      <alignment horizontal="left" vertical="center" wrapText="1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36" fillId="0" borderId="27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0" fontId="24" fillId="0" borderId="31" xfId="42" applyFont="1" applyFill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4" fontId="24" fillId="0" borderId="14" xfId="1" applyNumberFormat="1" applyFont="1" applyFill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79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4" fontId="24" fillId="0" borderId="31" xfId="1" applyNumberFormat="1" applyFont="1" applyBorder="1" applyAlignment="1">
      <alignment horizontal="center" vertical="center"/>
    </xf>
    <xf numFmtId="0" fontId="36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2" fontId="24" fillId="0" borderId="2" xfId="1" applyNumberFormat="1" applyFont="1" applyFill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6" fillId="0" borderId="0" xfId="0" applyFont="1" applyAlignment="1">
      <alignment horizontal="left"/>
    </xf>
    <xf numFmtId="0" fontId="44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58" fillId="0" borderId="0" xfId="1" applyFont="1" applyAlignment="1">
      <alignment horizontal="left" wrapText="1"/>
    </xf>
    <xf numFmtId="0" fontId="58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5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top" wrapText="1"/>
    </xf>
    <xf numFmtId="0" fontId="24" fillId="0" borderId="0" xfId="1" applyFont="1" applyAlignment="1">
      <alignment horizontal="left"/>
    </xf>
    <xf numFmtId="0" fontId="2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6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6" fillId="0" borderId="1" xfId="1" applyFont="1" applyBorder="1" applyAlignment="1">
      <alignment horizontal="center" vertical="center" wrapText="1"/>
    </xf>
    <xf numFmtId="4" fontId="24" fillId="0" borderId="5" xfId="1" applyNumberFormat="1" applyFont="1" applyBorder="1" applyAlignment="1">
      <alignment horizontal="center" vertical="center"/>
    </xf>
    <xf numFmtId="4" fontId="24" fillId="0" borderId="29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4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24" fillId="0" borderId="10" xfId="1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73" fillId="0" borderId="10" xfId="1" applyFont="1" applyBorder="1" applyAlignment="1">
      <alignment horizontal="left" vertical="distributed" wrapText="1"/>
    </xf>
    <xf numFmtId="0" fontId="73" fillId="0" borderId="8" xfId="1" applyFont="1" applyBorder="1" applyAlignment="1">
      <alignment horizontal="left" vertical="distributed" wrapText="1"/>
    </xf>
    <xf numFmtId="0" fontId="73" fillId="0" borderId="11" xfId="1" applyFont="1" applyBorder="1" applyAlignment="1">
      <alignment horizontal="left" vertical="distributed" wrapText="1"/>
    </xf>
    <xf numFmtId="0" fontId="73" fillId="0" borderId="0" xfId="1" applyFont="1" applyAlignment="1">
      <alignment horizontal="left" vertical="distributed" wrapText="1"/>
    </xf>
    <xf numFmtId="0" fontId="73" fillId="0" borderId="7" xfId="1" applyFont="1" applyBorder="1" applyAlignment="1">
      <alignment horizontal="left" vertical="distributed" wrapText="1"/>
    </xf>
    <xf numFmtId="0" fontId="73" fillId="0" borderId="1" xfId="1" applyFont="1" applyBorder="1" applyAlignment="1">
      <alignment horizontal="left" vertical="distributed" wrapText="1"/>
    </xf>
    <xf numFmtId="0" fontId="30" fillId="0" borderId="9" xfId="1" applyFont="1" applyBorder="1" applyAlignment="1">
      <alignment horizontal="center" vertical="top"/>
    </xf>
    <xf numFmtId="0" fontId="24" fillId="0" borderId="34" xfId="1" applyFont="1" applyBorder="1" applyAlignment="1">
      <alignment horizontal="center" vertical="center" wrapText="1"/>
    </xf>
    <xf numFmtId="0" fontId="24" fillId="0" borderId="2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9" xfId="1" applyFont="1" applyBorder="1" applyAlignment="1">
      <alignment horizontal="center" vertical="center" wrapText="1"/>
    </xf>
    <xf numFmtId="0" fontId="30" fillId="0" borderId="0" xfId="1" applyFont="1" applyAlignment="1">
      <alignment vertical="top"/>
    </xf>
    <xf numFmtId="0" fontId="4" fillId="0" borderId="1" xfId="0" applyFont="1" applyBorder="1"/>
    <xf numFmtId="0" fontId="24" fillId="0" borderId="5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24" fillId="0" borderId="26" xfId="1" applyFont="1" applyBorder="1" applyAlignment="1">
      <alignment horizontal="center" vertical="center" wrapText="1"/>
    </xf>
    <xf numFmtId="0" fontId="24" fillId="0" borderId="3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4" fillId="0" borderId="0" xfId="1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6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top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13" xfId="0" applyFont="1" applyBorder="1" applyAlignment="1">
      <alignment horizontal="center" vertical="center" textRotation="90" wrapText="1"/>
    </xf>
    <xf numFmtId="0" fontId="31" fillId="0" borderId="11" xfId="0" applyFont="1" applyBorder="1" applyAlignment="1">
      <alignment horizontal="center" vertical="center" textRotation="90" wrapText="1"/>
    </xf>
    <xf numFmtId="0" fontId="31" fillId="0" borderId="12" xfId="0" applyFont="1" applyBorder="1" applyAlignment="1">
      <alignment horizontal="center" vertical="center" textRotation="90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27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2" xfId="1" applyFont="1" applyBorder="1" applyAlignment="1">
      <alignment horizontal="left" vertical="top" wrapText="1"/>
    </xf>
    <xf numFmtId="0" fontId="31" fillId="0" borderId="14" xfId="1" applyFont="1" applyBorder="1" applyAlignment="1">
      <alignment horizontal="center" vertical="center" textRotation="90"/>
    </xf>
    <xf numFmtId="0" fontId="31" fillId="0" borderId="15" xfId="1" applyFont="1" applyBorder="1" applyAlignment="1">
      <alignment horizontal="center" vertical="center" textRotation="90"/>
    </xf>
    <xf numFmtId="0" fontId="31" fillId="0" borderId="13" xfId="1" applyFont="1" applyBorder="1" applyAlignment="1">
      <alignment horizontal="center" vertical="center" textRotation="90"/>
    </xf>
    <xf numFmtId="0" fontId="31" fillId="0" borderId="14" xfId="1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0" fontId="31" fillId="0" borderId="1" xfId="1" applyFont="1" applyBorder="1" applyAlignment="1">
      <alignment horizontal="center"/>
    </xf>
    <xf numFmtId="0" fontId="31" fillId="0" borderId="0" xfId="1" applyFont="1" applyAlignment="1">
      <alignment horizontal="right"/>
    </xf>
    <xf numFmtId="0" fontId="36" fillId="0" borderId="0" xfId="1" applyFont="1" applyAlignment="1">
      <alignment horizontal="center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left" vertical="center"/>
    </xf>
    <xf numFmtId="0" fontId="36" fillId="0" borderId="2" xfId="1" applyFont="1" applyBorder="1" applyAlignment="1">
      <alignment horizontal="right"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/>
    </xf>
    <xf numFmtId="0" fontId="31" fillId="0" borderId="4" xfId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31" fillId="0" borderId="14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36" fillId="0" borderId="1" xfId="7" applyNumberFormat="1" applyFont="1" applyFill="1" applyBorder="1" applyAlignment="1" applyProtection="1">
      <alignment horizontal="center" vertical="center" wrapText="1"/>
    </xf>
    <xf numFmtId="0" fontId="24" fillId="0" borderId="1" xfId="7" applyNumberFormat="1" applyFont="1" applyFill="1" applyBorder="1" applyAlignment="1" applyProtection="1">
      <alignment horizontal="center" vertic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56" fillId="0" borderId="32" xfId="5" applyNumberFormat="1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 textRotation="90" wrapText="1"/>
    </xf>
    <xf numFmtId="4" fontId="54" fillId="0" borderId="2" xfId="1" applyNumberFormat="1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32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0" xfId="1" applyFont="1" applyAlignment="1">
      <alignment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4" fillId="0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36" fillId="0" borderId="28" xfId="28" applyFont="1" applyBorder="1" applyAlignment="1">
      <alignment horizontal="center" vertical="center" wrapText="1"/>
    </xf>
    <xf numFmtId="0" fontId="36" fillId="0" borderId="30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6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24" fillId="0" borderId="32" xfId="42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26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6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28" xfId="42" applyFont="1" applyBorder="1" applyAlignment="1">
      <alignment horizontal="center" vertical="center" wrapText="1"/>
    </xf>
    <xf numFmtId="0" fontId="24" fillId="0" borderId="30" xfId="42" applyFont="1" applyBorder="1" applyAlignment="1">
      <alignment horizontal="center" vertical="center" wrapText="1"/>
    </xf>
    <xf numFmtId="0" fontId="24" fillId="0" borderId="33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78" fillId="0" borderId="0" xfId="51" applyFont="1" applyAlignment="1">
      <alignment wrapText="1"/>
    </xf>
    <xf numFmtId="0" fontId="36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6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4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6" fillId="0" borderId="2" xfId="5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9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79" fillId="0" borderId="1" xfId="1" applyFont="1" applyBorder="1" applyAlignment="1">
      <alignment horizontal="left" vertical="top"/>
    </xf>
    <xf numFmtId="167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6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28" xfId="8" applyFont="1" applyBorder="1" applyAlignment="1">
      <alignment horizontal="center" vertical="center"/>
    </xf>
    <xf numFmtId="0" fontId="24" fillId="0" borderId="29" xfId="8" applyFont="1" applyBorder="1" applyAlignment="1">
      <alignment horizontal="center" vertical="center"/>
    </xf>
    <xf numFmtId="0" fontId="24" fillId="0" borderId="30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7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24" fillId="0" borderId="31" xfId="8" applyFont="1" applyBorder="1" applyAlignment="1">
      <alignment horizontal="center" vertical="center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9" fillId="0" borderId="1" xfId="8" applyFont="1" applyBorder="1" applyAlignment="1">
      <alignment horizontal="left" vertical="center"/>
    </xf>
    <xf numFmtId="49" fontId="24" fillId="0" borderId="18" xfId="9" applyNumberFormat="1" applyFont="1" applyBorder="1" applyAlignment="1">
      <alignment horizontal="left" vertical="center" wrapText="1"/>
    </xf>
    <xf numFmtId="49" fontId="24" fillId="0" borderId="19" xfId="9" applyNumberFormat="1" applyFont="1" applyBorder="1" applyAlignment="1">
      <alignment horizontal="left" vertical="center" wrapText="1"/>
    </xf>
    <xf numFmtId="49" fontId="24" fillId="0" borderId="7" xfId="9" applyNumberFormat="1" applyFont="1" applyBorder="1" applyAlignment="1">
      <alignment horizontal="left" vertical="center" wrapText="1"/>
    </xf>
    <xf numFmtId="49" fontId="24" fillId="0" borderId="6" xfId="9" applyNumberFormat="1" applyFont="1" applyBorder="1" applyAlignment="1">
      <alignment horizontal="left" vertical="center" wrapText="1"/>
    </xf>
    <xf numFmtId="49" fontId="24" fillId="0" borderId="5" xfId="9" applyNumberFormat="1" applyFont="1" applyBorder="1" applyAlignment="1">
      <alignment horizontal="left" vertical="center" wrapText="1"/>
    </xf>
    <xf numFmtId="49" fontId="24" fillId="0" borderId="3" xfId="9" applyNumberFormat="1" applyFont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24" fillId="0" borderId="4" xfId="8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79" fillId="0" borderId="1" xfId="8" applyFont="1" applyBorder="1" applyAlignment="1">
      <alignment horizontal="left"/>
    </xf>
    <xf numFmtId="0" fontId="36" fillId="0" borderId="0" xfId="8" applyFont="1" applyAlignment="1">
      <alignment horizontal="center" vertical="center" wrapText="1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4" fillId="0" borderId="14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9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27" xfId="1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wrapText="1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49" fontId="24" fillId="0" borderId="0" xfId="0" applyNumberFormat="1" applyFont="1" applyAlignment="1">
      <alignment horizontal="left" vertical="center" wrapText="1"/>
    </xf>
    <xf numFmtId="0" fontId="24" fillId="0" borderId="26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27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24" fillId="0" borderId="13" xfId="1" applyFont="1" applyBorder="1" applyAlignment="1">
      <alignment horizontal="center" vertical="top"/>
    </xf>
    <xf numFmtId="49" fontId="28" fillId="0" borderId="26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26" xfId="1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top"/>
    </xf>
    <xf numFmtId="0" fontId="24" fillId="6" borderId="15" xfId="1" applyFont="1" applyFill="1" applyBorder="1" applyAlignment="1">
      <alignment horizontal="center" vertical="top"/>
    </xf>
    <xf numFmtId="0" fontId="24" fillId="6" borderId="26" xfId="1" applyFont="1" applyFill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49" fontId="24" fillId="0" borderId="26" xfId="1" applyNumberFormat="1" applyFont="1" applyBorder="1" applyAlignment="1">
      <alignment horizontal="center" vertical="top" wrapText="1"/>
    </xf>
    <xf numFmtId="2" fontId="24" fillId="6" borderId="11" xfId="1" applyNumberFormat="1" applyFont="1" applyFill="1" applyBorder="1" applyAlignment="1">
      <alignment horizontal="center" vertical="top"/>
    </xf>
    <xf numFmtId="0" fontId="24" fillId="6" borderId="13" xfId="1" applyFont="1" applyFill="1" applyBorder="1" applyAlignment="1">
      <alignment horizontal="center" vertical="top"/>
    </xf>
    <xf numFmtId="0" fontId="24" fillId="0" borderId="27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4" fillId="6" borderId="15" xfId="1" applyFont="1" applyFill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/>
    </xf>
    <xf numFmtId="0" fontId="50" fillId="6" borderId="27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0" fontId="50" fillId="6" borderId="13" xfId="0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horizontal="center" wrapText="1"/>
    </xf>
    <xf numFmtId="0" fontId="36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26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26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30" xfId="1" applyFont="1" applyBorder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7" fillId="0" borderId="0" xfId="0" applyFont="1" applyAlignment="1">
      <alignment horizontal="left" vertical="top" wrapText="1"/>
    </xf>
    <xf numFmtId="0" fontId="57" fillId="0" borderId="1" xfId="0" applyFont="1" applyBorder="1" applyAlignment="1">
      <alignment horizontal="center" vertical="center" wrapText="1"/>
    </xf>
    <xf numFmtId="0" fontId="24" fillId="0" borderId="32" xfId="0" applyFont="1" applyBorder="1" applyAlignment="1">
      <alignment wrapText="1"/>
    </xf>
    <xf numFmtId="0" fontId="1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22" fillId="0" borderId="0" xfId="53" applyFont="1"/>
    <xf numFmtId="0" fontId="48" fillId="0" borderId="0" xfId="0" applyFont="1"/>
    <xf numFmtId="0" fontId="27" fillId="0" borderId="0" xfId="53" applyFont="1"/>
    <xf numFmtId="0" fontId="47" fillId="0" borderId="0" xfId="0" applyFont="1"/>
    <xf numFmtId="0" fontId="22" fillId="0" borderId="0" xfId="51" applyFont="1" applyAlignment="1">
      <alignment horizontal="left" wrapText="1"/>
    </xf>
    <xf numFmtId="0" fontId="48" fillId="0" borderId="0" xfId="0" applyFont="1" applyAlignment="1">
      <alignment horizontal="left" wrapText="1"/>
    </xf>
    <xf numFmtId="0" fontId="54" fillId="0" borderId="37" xfId="0" applyFont="1" applyBorder="1" applyAlignment="1">
      <alignment horizontal="center" vertical="center" wrapText="1"/>
    </xf>
    <xf numFmtId="0" fontId="54" fillId="0" borderId="36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 wrapText="1"/>
    </xf>
    <xf numFmtId="0" fontId="61" fillId="0" borderId="59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6" fillId="7" borderId="0" xfId="0" applyFont="1" applyFill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61" xfId="0" applyFont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49" xfId="0" applyNumberFormat="1" applyFont="1" applyBorder="1" applyAlignment="1">
      <alignment horizontal="center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61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1" fillId="0" borderId="2" xfId="1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22" fillId="0" borderId="0" xfId="1" applyFont="1" applyAlignment="1">
      <alignment horizontal="center"/>
    </xf>
    <xf numFmtId="0" fontId="24" fillId="0" borderId="0" xfId="1" applyFont="1" applyAlignment="1">
      <alignment horizontal="center" vertical="center"/>
    </xf>
    <xf numFmtId="0" fontId="16" fillId="0" borderId="4" xfId="1" applyFont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27" fillId="0" borderId="0" xfId="1" applyFont="1" applyAlignment="1">
      <alignment horizontal="center"/>
    </xf>
    <xf numFmtId="0" fontId="38" fillId="0" borderId="0" xfId="1" applyFont="1" applyAlignment="1">
      <alignment horizontal="center" vertical="center" wrapText="1"/>
    </xf>
    <xf numFmtId="0" fontId="27" fillId="0" borderId="9" xfId="1" applyFont="1" applyBorder="1" applyAlignment="1">
      <alignment horizontal="center"/>
    </xf>
    <xf numFmtId="0" fontId="36" fillId="0" borderId="0" xfId="1" applyFont="1" applyAlignment="1">
      <alignment horizontal="left" vertical="center"/>
    </xf>
    <xf numFmtId="0" fontId="22" fillId="0" borderId="0" xfId="1" applyFont="1" applyAlignment="1">
      <alignment horizontal="left" wrapText="1"/>
    </xf>
    <xf numFmtId="0" fontId="16" fillId="0" borderId="0" xfId="1" applyFont="1" applyAlignment="1">
      <alignment horizontal="left"/>
    </xf>
    <xf numFmtId="0" fontId="39" fillId="0" borderId="0" xfId="0" applyFont="1" applyAlignment="1">
      <alignment horizontal="left" wrapText="1"/>
    </xf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/>
    </xf>
    <xf numFmtId="49" fontId="16" fillId="0" borderId="0" xfId="1" applyNumberFormat="1" applyFont="1" applyAlignment="1">
      <alignment horizontal="left" vertical="top"/>
    </xf>
    <xf numFmtId="49" fontId="16" fillId="0" borderId="0" xfId="1" applyNumberFormat="1" applyFont="1" applyAlignment="1">
      <alignment horizontal="left" wrapText="1"/>
    </xf>
    <xf numFmtId="0" fontId="16" fillId="0" borderId="0" xfId="1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0" xfId="1" applyFont="1" applyAlignment="1">
      <alignment horizontal="left" wrapText="1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CE7B070-3384-8B40-887D-690A98278F0F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62087A8C-E269-7D46-A386-D1A372C543CB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3"/>
  <sheetViews>
    <sheetView view="pageBreakPreview" topLeftCell="A2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6" customWidth="1"/>
    <col min="2" max="2" width="55.42578125" style="6" customWidth="1"/>
    <col min="3" max="3" width="11.28515625" style="6" customWidth="1"/>
    <col min="4" max="4" width="20.140625" style="6" customWidth="1"/>
    <col min="5" max="5" width="17.7109375" style="6" customWidth="1"/>
    <col min="6" max="6" width="13.28515625" style="6" customWidth="1"/>
    <col min="7" max="7" width="35.42578125" style="6" customWidth="1"/>
    <col min="8" max="8" width="14.140625" style="6" customWidth="1"/>
    <col min="9" max="9" width="13.140625" style="6" customWidth="1"/>
    <col min="10" max="10" width="21" style="6" customWidth="1"/>
    <col min="11" max="11" width="20.28515625" style="6" customWidth="1"/>
    <col min="12" max="12" width="22.140625" style="6" customWidth="1"/>
    <col min="13" max="13" width="23.42578125" style="6" customWidth="1"/>
    <col min="14" max="14" width="18.28515625" style="6" customWidth="1"/>
    <col min="15" max="15" width="25" style="6" customWidth="1"/>
    <col min="16" max="16" width="9.140625" style="6" customWidth="1"/>
    <col min="17" max="16384" width="0.7109375" style="6"/>
  </cols>
  <sheetData>
    <row r="1" spans="1:15" ht="63" customHeight="1" x14ac:dyDescent="0.2">
      <c r="M1" s="731" t="s">
        <v>116</v>
      </c>
      <c r="N1" s="732"/>
      <c r="O1" s="732"/>
    </row>
    <row r="2" spans="1:15" s="90" customFormat="1" ht="18.75" customHeight="1" x14ac:dyDescent="0.3">
      <c r="M2" s="33"/>
      <c r="N2" s="33"/>
      <c r="O2" s="33"/>
    </row>
    <row r="3" spans="1:15" s="90" customFormat="1" ht="18.75" x14ac:dyDescent="0.3">
      <c r="O3" s="91" t="s">
        <v>140</v>
      </c>
    </row>
    <row r="4" spans="1:15" s="90" customFormat="1" ht="12.75" customHeight="1" x14ac:dyDescent="0.3">
      <c r="G4" s="58"/>
      <c r="H4" s="58"/>
      <c r="I4" s="58"/>
    </row>
    <row r="5" spans="1:15" s="90" customFormat="1" ht="23.25" customHeight="1" x14ac:dyDescent="0.3">
      <c r="A5" s="735" t="s">
        <v>921</v>
      </c>
      <c r="B5" s="735"/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  <c r="O5" s="735"/>
    </row>
    <row r="6" spans="1:15" s="90" customFormat="1" ht="15.75" customHeight="1" x14ac:dyDescent="0.3">
      <c r="A6" s="89"/>
      <c r="B6" s="89"/>
      <c r="C6" s="89"/>
      <c r="D6" s="89"/>
      <c r="E6" s="89"/>
      <c r="F6" s="737"/>
      <c r="G6" s="737"/>
      <c r="H6" s="737"/>
      <c r="I6" s="737"/>
      <c r="J6" s="737"/>
      <c r="K6" s="737"/>
    </row>
    <row r="7" spans="1:15" s="58" customFormat="1" ht="78" customHeight="1" x14ac:dyDescent="0.25">
      <c r="A7" s="736"/>
      <c r="B7" s="736"/>
      <c r="C7" s="736"/>
      <c r="D7" s="736"/>
      <c r="E7" s="92"/>
      <c r="F7" s="92"/>
      <c r="G7" s="92"/>
      <c r="H7" s="92"/>
      <c r="I7" s="92"/>
      <c r="K7" s="93" t="s">
        <v>427</v>
      </c>
      <c r="L7" s="730" t="s">
        <v>600</v>
      </c>
      <c r="M7" s="730"/>
      <c r="N7" s="730"/>
      <c r="O7" s="730"/>
    </row>
    <row r="8" spans="1:15" s="58" customFormat="1" ht="48.95" customHeight="1" x14ac:dyDescent="0.3">
      <c r="A8" s="92"/>
      <c r="B8" s="723"/>
      <c r="C8" s="723"/>
      <c r="D8" s="723"/>
      <c r="E8" s="94"/>
      <c r="F8" s="94"/>
      <c r="G8" s="94"/>
      <c r="H8" s="94"/>
      <c r="I8" s="94"/>
      <c r="K8" s="95" t="s">
        <v>342</v>
      </c>
      <c r="L8" s="719" t="s">
        <v>922</v>
      </c>
      <c r="M8" s="719"/>
      <c r="N8" s="719"/>
      <c r="O8" s="719"/>
    </row>
    <row r="9" spans="1:15" s="58" customFormat="1" ht="16.5" customHeight="1" x14ac:dyDescent="0.25">
      <c r="A9" s="86"/>
      <c r="B9" s="722"/>
      <c r="C9" s="722"/>
      <c r="D9" s="722"/>
      <c r="E9" s="86"/>
      <c r="F9" s="96"/>
      <c r="G9" s="96"/>
      <c r="H9" s="96"/>
      <c r="I9" s="96"/>
      <c r="K9" s="93"/>
    </row>
    <row r="10" spans="1:15" s="58" customFormat="1" ht="17.850000000000001" customHeight="1" x14ac:dyDescent="0.25">
      <c r="A10" s="86"/>
      <c r="B10" s="723"/>
      <c r="C10" s="723"/>
      <c r="D10" s="723"/>
      <c r="E10" s="86"/>
      <c r="F10" s="96"/>
      <c r="G10" s="96"/>
      <c r="H10" s="96"/>
      <c r="I10" s="96"/>
      <c r="K10" s="96" t="s">
        <v>105</v>
      </c>
      <c r="L10" s="720" t="s">
        <v>303</v>
      </c>
      <c r="M10" s="720"/>
      <c r="N10" s="720"/>
      <c r="O10" s="720"/>
    </row>
    <row r="11" spans="1:15" s="58" customFormat="1" ht="20.25" customHeight="1" x14ac:dyDescent="0.25">
      <c r="A11" s="86"/>
      <c r="B11" s="722"/>
      <c r="C11" s="722"/>
      <c r="D11" s="722"/>
      <c r="E11" s="86"/>
      <c r="K11" s="96" t="s">
        <v>343</v>
      </c>
      <c r="L11" s="720"/>
      <c r="M11" s="720"/>
      <c r="N11" s="720"/>
      <c r="O11" s="720"/>
    </row>
    <row r="12" spans="1:15" s="58" customFormat="1" ht="18.75" x14ac:dyDescent="0.25">
      <c r="A12" s="86"/>
      <c r="B12" s="722"/>
      <c r="C12" s="722"/>
      <c r="D12" s="722"/>
      <c r="E12" s="86"/>
      <c r="K12" s="96"/>
      <c r="L12" s="733"/>
      <c r="M12" s="733"/>
      <c r="N12" s="733"/>
      <c r="O12" s="733"/>
    </row>
    <row r="13" spans="1:15" s="58" customFormat="1" ht="17.25" customHeight="1" x14ac:dyDescent="0.25">
      <c r="A13" s="86"/>
      <c r="B13" s="722"/>
      <c r="C13" s="722"/>
      <c r="D13" s="722"/>
      <c r="E13" s="86"/>
      <c r="K13" s="96"/>
      <c r="L13" s="734"/>
      <c r="M13" s="732"/>
      <c r="N13" s="732"/>
      <c r="O13" s="732"/>
    </row>
    <row r="14" spans="1:15" s="58" customFormat="1" ht="17.25" customHeight="1" x14ac:dyDescent="0.25">
      <c r="A14" s="86"/>
      <c r="B14" s="722"/>
      <c r="C14" s="722"/>
      <c r="D14" s="722"/>
      <c r="E14" s="86"/>
      <c r="K14" s="96"/>
      <c r="L14" s="97"/>
      <c r="M14" s="97"/>
      <c r="N14" s="97"/>
      <c r="O14" s="97"/>
    </row>
    <row r="15" spans="1:15" s="58" customFormat="1" ht="18.75" customHeight="1" x14ac:dyDescent="0.25">
      <c r="A15" s="86"/>
      <c r="B15" s="722"/>
      <c r="C15" s="722"/>
      <c r="D15" s="722"/>
      <c r="E15" s="86"/>
      <c r="M15" s="97"/>
      <c r="N15" s="97"/>
      <c r="O15" s="97"/>
    </row>
    <row r="16" spans="1:15" s="90" customFormat="1" ht="18" customHeight="1" x14ac:dyDescent="0.3">
      <c r="E16" s="89"/>
      <c r="F16" s="98"/>
      <c r="G16" s="98"/>
      <c r="H16" s="98"/>
      <c r="I16" s="98"/>
      <c r="J16" s="98"/>
      <c r="L16" s="712"/>
      <c r="M16" s="712"/>
      <c r="N16" s="712"/>
      <c r="O16" s="712"/>
    </row>
    <row r="17" spans="1:15" s="90" customFormat="1" ht="51.75" customHeight="1" x14ac:dyDescent="0.3">
      <c r="A17" s="724" t="s">
        <v>9</v>
      </c>
      <c r="B17" s="724" t="s">
        <v>344</v>
      </c>
      <c r="C17" s="724" t="s">
        <v>345</v>
      </c>
      <c r="D17" s="724" t="s">
        <v>526</v>
      </c>
      <c r="E17" s="724" t="s">
        <v>136</v>
      </c>
      <c r="F17" s="724" t="s">
        <v>8</v>
      </c>
      <c r="G17" s="724" t="s">
        <v>227</v>
      </c>
      <c r="H17" s="724" t="s">
        <v>204</v>
      </c>
      <c r="I17" s="724"/>
      <c r="J17" s="725" t="s">
        <v>348</v>
      </c>
      <c r="K17" s="724" t="s">
        <v>329</v>
      </c>
      <c r="L17" s="724" t="s">
        <v>330</v>
      </c>
      <c r="M17" s="721" t="s">
        <v>226</v>
      </c>
      <c r="N17" s="721"/>
      <c r="O17" s="721"/>
    </row>
    <row r="18" spans="1:15" s="90" customFormat="1" ht="110.1" customHeight="1" x14ac:dyDescent="0.3">
      <c r="A18" s="724"/>
      <c r="B18" s="724"/>
      <c r="C18" s="724"/>
      <c r="D18" s="724"/>
      <c r="E18" s="724"/>
      <c r="F18" s="724"/>
      <c r="G18" s="724"/>
      <c r="H18" s="99" t="s">
        <v>94</v>
      </c>
      <c r="I18" s="99" t="s">
        <v>95</v>
      </c>
      <c r="J18" s="726"/>
      <c r="K18" s="724"/>
      <c r="L18" s="724"/>
      <c r="M18" s="99" t="s">
        <v>104</v>
      </c>
      <c r="N18" s="99" t="s">
        <v>331</v>
      </c>
      <c r="O18" s="100" t="s">
        <v>332</v>
      </c>
    </row>
    <row r="19" spans="1:15" s="90" customFormat="1" ht="18.75" x14ac:dyDescent="0.3">
      <c r="A19" s="101">
        <v>1</v>
      </c>
      <c r="B19" s="101">
        <v>2</v>
      </c>
      <c r="C19" s="101">
        <v>3</v>
      </c>
      <c r="D19" s="101">
        <v>4</v>
      </c>
      <c r="E19" s="101">
        <v>5</v>
      </c>
      <c r="F19" s="101">
        <v>6</v>
      </c>
      <c r="G19" s="101">
        <v>7</v>
      </c>
      <c r="H19" s="102" t="s">
        <v>74</v>
      </c>
      <c r="I19" s="102" t="s">
        <v>75</v>
      </c>
      <c r="J19" s="101">
        <v>9</v>
      </c>
      <c r="K19" s="101">
        <v>10</v>
      </c>
      <c r="L19" s="101">
        <v>11</v>
      </c>
      <c r="M19" s="101">
        <v>12</v>
      </c>
      <c r="N19" s="101">
        <v>13</v>
      </c>
      <c r="O19" s="101">
        <v>14</v>
      </c>
    </row>
    <row r="20" spans="1:15" s="108" customFormat="1" ht="255.75" customHeight="1" x14ac:dyDescent="0.25">
      <c r="A20" s="105" t="s">
        <v>38</v>
      </c>
      <c r="B20" s="1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220" t="str">
        <f>Плановая2!C5</f>
        <v>52.23.20.120</v>
      </c>
      <c r="D20" s="113" t="s">
        <v>306</v>
      </c>
      <c r="E20" s="113" t="s">
        <v>306</v>
      </c>
      <c r="F20" s="220" t="s">
        <v>488</v>
      </c>
      <c r="G20" s="10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06" t="s">
        <v>988</v>
      </c>
      <c r="I20" s="642" t="str">
        <f>год</f>
        <v>2030</v>
      </c>
      <c r="J20" s="107">
        <f>Плановая2!E55</f>
        <v>9120816.0978121907</v>
      </c>
      <c r="K20" s="113"/>
      <c r="L20" s="107"/>
      <c r="M20" s="109" t="s">
        <v>923</v>
      </c>
      <c r="N20" s="113"/>
      <c r="O20" s="109"/>
    </row>
    <row r="21" spans="1:15" s="108" customFormat="1" ht="18.75" x14ac:dyDescent="0.25">
      <c r="A21" s="166"/>
      <c r="B21" s="167"/>
      <c r="C21" s="168"/>
      <c r="D21" s="169"/>
      <c r="E21" s="169"/>
      <c r="F21" s="168"/>
      <c r="G21" s="170"/>
      <c r="H21" s="171"/>
      <c r="I21" s="171"/>
      <c r="J21" s="172"/>
      <c r="K21" s="169"/>
      <c r="L21" s="172"/>
      <c r="M21" s="170"/>
      <c r="N21" s="169"/>
      <c r="O21" s="170"/>
    </row>
    <row r="22" spans="1:15" s="104" customFormat="1" ht="18" customHeight="1" x14ac:dyDescent="0.3">
      <c r="A22" s="718" t="s">
        <v>301</v>
      </c>
      <c r="B22" s="718"/>
      <c r="J22" s="729" t="s">
        <v>302</v>
      </c>
      <c r="K22" s="729"/>
      <c r="L22" s="729"/>
      <c r="M22" s="729"/>
      <c r="N22" s="729"/>
      <c r="O22" s="729"/>
    </row>
    <row r="23" spans="1:15" s="90" customFormat="1" ht="54.75" customHeight="1" x14ac:dyDescent="0.3">
      <c r="A23" s="727" t="s">
        <v>598</v>
      </c>
      <c r="B23" s="727"/>
      <c r="C23" s="727"/>
      <c r="D23" s="727"/>
      <c r="E23" s="727"/>
      <c r="F23" s="727"/>
      <c r="G23" s="727"/>
      <c r="H23" s="727"/>
      <c r="I23" s="727"/>
      <c r="J23" s="714" t="s">
        <v>429</v>
      </c>
      <c r="K23" s="715"/>
      <c r="L23" s="715"/>
      <c r="M23" s="715"/>
      <c r="N23" s="715"/>
      <c r="O23" s="715"/>
    </row>
    <row r="24" spans="1:15" s="90" customFormat="1" ht="60" customHeight="1" x14ac:dyDescent="0.3">
      <c r="A24" s="728" t="s">
        <v>599</v>
      </c>
      <c r="B24" s="728"/>
      <c r="C24" s="728"/>
      <c r="D24" s="728"/>
      <c r="E24" s="728"/>
      <c r="F24" s="728"/>
      <c r="G24" s="728"/>
      <c r="H24" s="728"/>
      <c r="I24" s="728"/>
      <c r="J24" s="716" t="s">
        <v>430</v>
      </c>
      <c r="K24" s="716"/>
      <c r="L24" s="716"/>
      <c r="M24" s="716"/>
      <c r="N24" s="716"/>
      <c r="O24" s="716"/>
    </row>
    <row r="25" spans="1:15" s="90" customFormat="1" ht="17.25" customHeight="1" x14ac:dyDescent="0.3">
      <c r="A25" s="717" t="s">
        <v>346</v>
      </c>
      <c r="B25" s="717"/>
      <c r="C25" s="717" t="s">
        <v>525</v>
      </c>
      <c r="D25" s="717"/>
      <c r="E25" s="717"/>
      <c r="F25" s="717"/>
      <c r="G25" s="717"/>
      <c r="H25" s="103"/>
      <c r="I25" s="103"/>
      <c r="J25" s="717" t="s">
        <v>347</v>
      </c>
      <c r="K25" s="717"/>
      <c r="L25" s="717" t="s">
        <v>394</v>
      </c>
      <c r="M25" s="717"/>
      <c r="N25" s="717"/>
      <c r="O25" s="717"/>
    </row>
    <row r="26" spans="1:15" s="90" customFormat="1" ht="17.25" customHeight="1" x14ac:dyDescent="0.3">
      <c r="A26" s="104" t="s">
        <v>92</v>
      </c>
      <c r="B26" s="104"/>
      <c r="C26" s="104"/>
      <c r="D26" s="104"/>
      <c r="E26" s="104"/>
      <c r="J26" s="718" t="str">
        <f>Плановая2!A63</f>
        <v>"07" апреля  2025 г.</v>
      </c>
      <c r="K26" s="718"/>
      <c r="L26" s="718"/>
    </row>
    <row r="27" spans="1:15" s="90" customFormat="1" ht="18.75" x14ac:dyDescent="0.3">
      <c r="F27" s="104"/>
      <c r="J27" s="104"/>
    </row>
    <row r="28" spans="1:15" s="90" customFormat="1" ht="18.75" x14ac:dyDescent="0.3">
      <c r="J28" s="712"/>
      <c r="K28" s="712"/>
      <c r="L28" s="104"/>
    </row>
    <row r="29" spans="1:15" s="90" customFormat="1" ht="18.75" x14ac:dyDescent="0.3">
      <c r="J29" s="713"/>
      <c r="K29" s="713"/>
      <c r="L29" s="103"/>
    </row>
    <row r="30" spans="1:15" ht="15" x14ac:dyDescent="0.25">
      <c r="J30" s="37"/>
      <c r="K30" s="13"/>
      <c r="L30" s="13"/>
    </row>
    <row r="31" spans="1:15" ht="15" x14ac:dyDescent="0.25">
      <c r="J31" s="39"/>
      <c r="K31" s="38"/>
    </row>
    <row r="32" spans="1:15" ht="9" customHeight="1" x14ac:dyDescent="0.25">
      <c r="K32" s="14"/>
    </row>
    <row r="33" spans="11:11" ht="15" x14ac:dyDescent="0.25">
      <c r="K33" s="13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5:B25"/>
    <mergeCell ref="J17:J18"/>
    <mergeCell ref="A22:B22"/>
    <mergeCell ref="E17:E18"/>
    <mergeCell ref="B9:D9"/>
    <mergeCell ref="D17:D18"/>
    <mergeCell ref="B12:D12"/>
    <mergeCell ref="B11:D11"/>
    <mergeCell ref="B15:D15"/>
    <mergeCell ref="A23:I23"/>
    <mergeCell ref="A24:I24"/>
    <mergeCell ref="C25:G25"/>
    <mergeCell ref="J25:K25"/>
    <mergeCell ref="J22:O22"/>
    <mergeCell ref="L8:O8"/>
    <mergeCell ref="L10:O10"/>
    <mergeCell ref="M17:O17"/>
    <mergeCell ref="B13:D13"/>
    <mergeCell ref="B14:D14"/>
    <mergeCell ref="B8:D8"/>
    <mergeCell ref="C17:C18"/>
    <mergeCell ref="J28:K28"/>
    <mergeCell ref="J29:K29"/>
    <mergeCell ref="L16:O16"/>
    <mergeCell ref="J23:O23"/>
    <mergeCell ref="J24:O24"/>
    <mergeCell ref="L25:O25"/>
    <mergeCell ref="J26:L26"/>
  </mergeCells>
  <printOptions horizontalCentered="1"/>
  <pageMargins left="0.25" right="0.25" top="0.75" bottom="0.75" header="0.3" footer="0.3"/>
  <pageSetup paperSize="9" scale="45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view="pageBreakPreview" zoomScale="120" zoomScaleNormal="120" zoomScaleSheetLayoutView="120" workbookViewId="0">
      <selection activeCell="A3" sqref="A3:G3"/>
    </sheetView>
  </sheetViews>
  <sheetFormatPr defaultColWidth="11.42578125" defaultRowHeight="15" x14ac:dyDescent="0.25"/>
  <cols>
    <col min="1" max="1" width="6.85546875" style="42" customWidth="1"/>
    <col min="2" max="2" width="47.140625" style="42" customWidth="1"/>
    <col min="3" max="3" width="14.28515625" style="42" customWidth="1"/>
    <col min="4" max="4" width="14.42578125" style="42" customWidth="1"/>
    <col min="5" max="5" width="13.7109375" style="42" customWidth="1"/>
    <col min="6" max="6" width="15" style="42" customWidth="1"/>
    <col min="7" max="7" width="16.42578125" style="42" customWidth="1"/>
    <col min="8" max="16384" width="11.42578125" style="42"/>
  </cols>
  <sheetData>
    <row r="1" spans="1:7" x14ac:dyDescent="0.25">
      <c r="A1" s="929" t="s">
        <v>125</v>
      </c>
      <c r="B1" s="930"/>
      <c r="C1" s="930"/>
      <c r="D1" s="930"/>
      <c r="E1" s="930"/>
      <c r="F1" s="930"/>
      <c r="G1" s="930"/>
    </row>
    <row r="2" spans="1:7" x14ac:dyDescent="0.25">
      <c r="A2" s="931" t="s">
        <v>310</v>
      </c>
      <c r="B2" s="932"/>
      <c r="C2" s="932"/>
      <c r="D2" s="932"/>
      <c r="E2" s="932"/>
      <c r="F2" s="932"/>
      <c r="G2" s="932"/>
    </row>
    <row r="3" spans="1:7" ht="72" customHeight="1" x14ac:dyDescent="0.25">
      <c r="A3" s="93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34"/>
      <c r="C3" s="934"/>
      <c r="D3" s="934"/>
      <c r="E3" s="934"/>
      <c r="F3" s="934"/>
      <c r="G3" s="934"/>
    </row>
    <row r="4" spans="1:7" x14ac:dyDescent="0.25">
      <c r="A4" s="935" t="s">
        <v>212</v>
      </c>
      <c r="B4" s="936"/>
      <c r="C4" s="936"/>
      <c r="D4" s="936"/>
      <c r="E4" s="936"/>
      <c r="F4" s="936"/>
      <c r="G4" s="936"/>
    </row>
    <row r="5" spans="1:7" x14ac:dyDescent="0.25">
      <c r="A5" s="470" t="s">
        <v>542</v>
      </c>
      <c r="B5" s="471" t="s">
        <v>914</v>
      </c>
      <c r="C5" s="472"/>
      <c r="D5" s="472"/>
      <c r="E5" s="472"/>
      <c r="F5" s="472"/>
      <c r="G5" s="472"/>
    </row>
    <row r="6" spans="1:7" x14ac:dyDescent="0.25">
      <c r="A6" s="470"/>
      <c r="B6" s="472"/>
      <c r="C6" s="472"/>
      <c r="D6" s="472"/>
      <c r="E6" s="472"/>
      <c r="F6" s="472"/>
      <c r="G6" s="473" t="s">
        <v>183</v>
      </c>
    </row>
    <row r="7" spans="1:7" x14ac:dyDescent="0.25">
      <c r="A7" s="937" t="s">
        <v>543</v>
      </c>
      <c r="B7" s="937" t="s">
        <v>35</v>
      </c>
      <c r="C7" s="937" t="s">
        <v>250</v>
      </c>
      <c r="D7" s="938"/>
      <c r="E7" s="937" t="s">
        <v>264</v>
      </c>
      <c r="F7" s="938"/>
      <c r="G7" s="937" t="s">
        <v>251</v>
      </c>
    </row>
    <row r="8" spans="1:7" x14ac:dyDescent="0.25">
      <c r="A8" s="938"/>
      <c r="B8" s="938" t="s">
        <v>35</v>
      </c>
      <c r="C8" s="229" t="s">
        <v>544</v>
      </c>
      <c r="D8" s="229" t="s">
        <v>545</v>
      </c>
      <c r="E8" s="229" t="s">
        <v>544</v>
      </c>
      <c r="F8" s="229" t="s">
        <v>545</v>
      </c>
      <c r="G8" s="938" t="s">
        <v>251</v>
      </c>
    </row>
    <row r="9" spans="1:7" x14ac:dyDescent="0.25">
      <c r="A9" s="144">
        <v>1</v>
      </c>
      <c r="B9" s="144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</row>
    <row r="10" spans="1:7" x14ac:dyDescent="0.25">
      <c r="A10" s="145" t="s">
        <v>141</v>
      </c>
      <c r="B10" s="146" t="s">
        <v>126</v>
      </c>
      <c r="C10" s="147"/>
      <c r="D10" s="147">
        <f>SUM(D12:D21)</f>
        <v>51497.893920000002</v>
      </c>
      <c r="E10" s="147" t="s">
        <v>50</v>
      </c>
      <c r="F10" s="147">
        <v>1</v>
      </c>
      <c r="G10" s="147">
        <f>SUM(G12:G21)</f>
        <v>514.98</v>
      </c>
    </row>
    <row r="11" spans="1:7" x14ac:dyDescent="0.25">
      <c r="A11" s="145"/>
      <c r="B11" s="148" t="s">
        <v>14</v>
      </c>
      <c r="C11" s="147" t="s">
        <v>306</v>
      </c>
      <c r="D11" s="147" t="s">
        <v>306</v>
      </c>
      <c r="E11" s="147" t="s">
        <v>306</v>
      </c>
      <c r="F11" s="147" t="s">
        <v>306</v>
      </c>
      <c r="G11" s="147" t="s">
        <v>306</v>
      </c>
    </row>
    <row r="12" spans="1:7" ht="30" x14ac:dyDescent="0.25">
      <c r="A12" s="145" t="s">
        <v>142</v>
      </c>
      <c r="B12" s="148" t="s">
        <v>546</v>
      </c>
      <c r="C12" s="147" t="s">
        <v>50</v>
      </c>
      <c r="D12" s="147">
        <f>'4 матер'!T11</f>
        <v>51497.893920000002</v>
      </c>
      <c r="E12" s="147" t="s">
        <v>50</v>
      </c>
      <c r="F12" s="147">
        <v>1</v>
      </c>
      <c r="G12" s="147">
        <f t="shared" ref="G12:G21" si="0">ROUND(D12*F12/100,2)</f>
        <v>514.98</v>
      </c>
    </row>
    <row r="13" spans="1:7" x14ac:dyDescent="0.25">
      <c r="A13" s="145" t="s">
        <v>146</v>
      </c>
      <c r="B13" s="148" t="s">
        <v>547</v>
      </c>
      <c r="C13" s="147" t="s">
        <v>50</v>
      </c>
      <c r="D13" s="147">
        <v>0</v>
      </c>
      <c r="E13" s="147" t="s">
        <v>50</v>
      </c>
      <c r="F13" s="147">
        <v>1</v>
      </c>
      <c r="G13" s="147">
        <f t="shared" si="0"/>
        <v>0</v>
      </c>
    </row>
    <row r="14" spans="1:7" x14ac:dyDescent="0.25">
      <c r="A14" s="145" t="s">
        <v>147</v>
      </c>
      <c r="B14" s="148" t="s">
        <v>548</v>
      </c>
      <c r="C14" s="147"/>
      <c r="D14" s="147">
        <v>0</v>
      </c>
      <c r="E14" s="147"/>
      <c r="F14" s="147">
        <v>1</v>
      </c>
      <c r="G14" s="147">
        <f t="shared" si="0"/>
        <v>0</v>
      </c>
    </row>
    <row r="15" spans="1:7" x14ac:dyDescent="0.25">
      <c r="A15" s="145" t="s">
        <v>148</v>
      </c>
      <c r="B15" s="148" t="s">
        <v>549</v>
      </c>
      <c r="C15" s="147" t="s">
        <v>50</v>
      </c>
      <c r="D15" s="147">
        <f>'6.'!L12</f>
        <v>0</v>
      </c>
      <c r="E15" s="147" t="s">
        <v>50</v>
      </c>
      <c r="F15" s="147">
        <v>1</v>
      </c>
      <c r="G15" s="147">
        <f t="shared" si="0"/>
        <v>0</v>
      </c>
    </row>
    <row r="16" spans="1:7" ht="30" x14ac:dyDescent="0.25">
      <c r="A16" s="145" t="s">
        <v>149</v>
      </c>
      <c r="B16" s="148" t="s">
        <v>550</v>
      </c>
      <c r="C16" s="147" t="s">
        <v>50</v>
      </c>
      <c r="D16" s="147">
        <v>0</v>
      </c>
      <c r="E16" s="147" t="s">
        <v>50</v>
      </c>
      <c r="F16" s="147">
        <v>1</v>
      </c>
      <c r="G16" s="147">
        <f t="shared" si="0"/>
        <v>0</v>
      </c>
    </row>
    <row r="17" spans="1:7" x14ac:dyDescent="0.25">
      <c r="A17" s="145" t="s">
        <v>150</v>
      </c>
      <c r="B17" s="148" t="s">
        <v>551</v>
      </c>
      <c r="C17" s="147">
        <v>0</v>
      </c>
      <c r="D17" s="147">
        <v>0</v>
      </c>
      <c r="E17" s="147">
        <v>0</v>
      </c>
      <c r="F17" s="147">
        <v>1</v>
      </c>
      <c r="G17" s="147">
        <f t="shared" si="0"/>
        <v>0</v>
      </c>
    </row>
    <row r="18" spans="1:7" x14ac:dyDescent="0.25">
      <c r="A18" s="145" t="s">
        <v>151</v>
      </c>
      <c r="B18" s="148" t="s">
        <v>552</v>
      </c>
      <c r="C18" s="147">
        <v>0</v>
      </c>
      <c r="D18" s="147">
        <v>0</v>
      </c>
      <c r="E18" s="147">
        <v>0</v>
      </c>
      <c r="F18" s="147">
        <v>1</v>
      </c>
      <c r="G18" s="147">
        <f t="shared" si="0"/>
        <v>0</v>
      </c>
    </row>
    <row r="19" spans="1:7" x14ac:dyDescent="0.25">
      <c r="A19" s="145" t="s">
        <v>152</v>
      </c>
      <c r="B19" s="148" t="s">
        <v>553</v>
      </c>
      <c r="C19" s="147">
        <v>0</v>
      </c>
      <c r="D19" s="147">
        <v>0</v>
      </c>
      <c r="E19" s="147">
        <v>0</v>
      </c>
      <c r="F19" s="147">
        <v>1</v>
      </c>
      <c r="G19" s="147">
        <f t="shared" si="0"/>
        <v>0</v>
      </c>
    </row>
    <row r="20" spans="1:7" x14ac:dyDescent="0.25">
      <c r="A20" s="145" t="s">
        <v>153</v>
      </c>
      <c r="B20" s="148" t="s">
        <v>554</v>
      </c>
      <c r="C20" s="147">
        <v>0</v>
      </c>
      <c r="D20" s="147">
        <v>0</v>
      </c>
      <c r="E20" s="147">
        <v>0</v>
      </c>
      <c r="F20" s="147">
        <v>1</v>
      </c>
      <c r="G20" s="147">
        <f t="shared" si="0"/>
        <v>0</v>
      </c>
    </row>
    <row r="21" spans="1:7" x14ac:dyDescent="0.25">
      <c r="A21" s="145" t="s">
        <v>154</v>
      </c>
      <c r="B21" s="148" t="s">
        <v>555</v>
      </c>
      <c r="C21" s="147">
        <v>0</v>
      </c>
      <c r="D21" s="147">
        <v>0</v>
      </c>
      <c r="E21" s="147">
        <v>0</v>
      </c>
      <c r="F21" s="147">
        <v>1</v>
      </c>
      <c r="G21" s="147">
        <f t="shared" si="0"/>
        <v>0</v>
      </c>
    </row>
    <row r="22" spans="1:7" x14ac:dyDescent="0.25">
      <c r="A22" s="145" t="s">
        <v>155</v>
      </c>
      <c r="B22" s="146" t="s">
        <v>158</v>
      </c>
      <c r="C22" s="147">
        <f>C24+C25</f>
        <v>444103.27147139329</v>
      </c>
      <c r="D22" s="147" t="s">
        <v>50</v>
      </c>
      <c r="E22" s="147">
        <v>15</v>
      </c>
      <c r="F22" s="147" t="s">
        <v>50</v>
      </c>
      <c r="G22" s="147">
        <f>SUM(G24:G25)</f>
        <v>66615.490000000005</v>
      </c>
    </row>
    <row r="23" spans="1:7" x14ac:dyDescent="0.25">
      <c r="A23" s="145"/>
      <c r="B23" s="148" t="s">
        <v>14</v>
      </c>
      <c r="C23" s="147" t="s">
        <v>306</v>
      </c>
      <c r="D23" s="147" t="s">
        <v>306</v>
      </c>
      <c r="E23" s="147" t="s">
        <v>306</v>
      </c>
      <c r="F23" s="147" t="s">
        <v>306</v>
      </c>
      <c r="G23" s="147" t="s">
        <v>306</v>
      </c>
    </row>
    <row r="24" spans="1:7" x14ac:dyDescent="0.25">
      <c r="A24" s="145" t="s">
        <v>156</v>
      </c>
      <c r="B24" s="148" t="s">
        <v>556</v>
      </c>
      <c r="C24" s="147">
        <f>'9 ОЗП'!L14</f>
        <v>420503.12421888404</v>
      </c>
      <c r="D24" s="147" t="s">
        <v>50</v>
      </c>
      <c r="E24" s="149">
        <v>15</v>
      </c>
      <c r="F24" s="147" t="s">
        <v>50</v>
      </c>
      <c r="G24" s="147">
        <f>ROUND(C24*E24/100,2)</f>
        <v>63075.47</v>
      </c>
    </row>
    <row r="25" spans="1:7" x14ac:dyDescent="0.25">
      <c r="A25" s="145" t="s">
        <v>157</v>
      </c>
      <c r="B25" s="148" t="s">
        <v>16</v>
      </c>
      <c r="C25" s="147">
        <f>'10 (10д) ДЗП'!F22</f>
        <v>23600.147252509279</v>
      </c>
      <c r="D25" s="147" t="s">
        <v>50</v>
      </c>
      <c r="E25" s="147">
        <v>15</v>
      </c>
      <c r="F25" s="147" t="s">
        <v>50</v>
      </c>
      <c r="G25" s="147">
        <f>ROUND(C25*E25/100,2)</f>
        <v>3540.02</v>
      </c>
    </row>
    <row r="26" spans="1:7" ht="30" x14ac:dyDescent="0.25">
      <c r="A26" s="145" t="s">
        <v>159</v>
      </c>
      <c r="B26" s="146" t="s">
        <v>51</v>
      </c>
      <c r="C26" s="147">
        <f>Плановая2!E33</f>
        <v>82159.105222207756</v>
      </c>
      <c r="D26" s="147" t="s">
        <v>50</v>
      </c>
      <c r="E26" s="149">
        <v>15</v>
      </c>
      <c r="F26" s="147">
        <v>0</v>
      </c>
      <c r="G26" s="147">
        <f>ROUND(C26*E26/100,2)</f>
        <v>12323.87</v>
      </c>
    </row>
    <row r="27" spans="1:7" ht="30" x14ac:dyDescent="0.25">
      <c r="A27" s="145" t="s">
        <v>160</v>
      </c>
      <c r="B27" s="146" t="s">
        <v>557</v>
      </c>
      <c r="C27" s="147">
        <f>SUM(C29:C30)</f>
        <v>0</v>
      </c>
      <c r="D27" s="147">
        <f>SUM(D29:D30)</f>
        <v>0</v>
      </c>
      <c r="E27" s="147">
        <f>SUM(E29:E30)</f>
        <v>0</v>
      </c>
      <c r="F27" s="147">
        <f>SUM(F29:F30)</f>
        <v>0</v>
      </c>
      <c r="G27" s="147">
        <f>SUM(G29:G30)</f>
        <v>0</v>
      </c>
    </row>
    <row r="28" spans="1:7" x14ac:dyDescent="0.25">
      <c r="A28" s="145"/>
      <c r="B28" s="148" t="s">
        <v>14</v>
      </c>
      <c r="C28" s="147" t="s">
        <v>306</v>
      </c>
      <c r="D28" s="147" t="s">
        <v>306</v>
      </c>
      <c r="E28" s="147" t="s">
        <v>306</v>
      </c>
      <c r="F28" s="147" t="s">
        <v>306</v>
      </c>
      <c r="G28" s="147" t="s">
        <v>306</v>
      </c>
    </row>
    <row r="29" spans="1:7" x14ac:dyDescent="0.25">
      <c r="A29" s="145" t="s">
        <v>161</v>
      </c>
      <c r="B29" s="148" t="s">
        <v>558</v>
      </c>
      <c r="C29" s="143">
        <v>0</v>
      </c>
      <c r="D29" s="143">
        <v>0</v>
      </c>
      <c r="E29" s="143">
        <v>0</v>
      </c>
      <c r="F29" s="143">
        <v>0</v>
      </c>
      <c r="G29" s="147">
        <f>ROUND(D29*F29/100,2)</f>
        <v>0</v>
      </c>
    </row>
    <row r="30" spans="1:7" ht="30" x14ac:dyDescent="0.25">
      <c r="A30" s="145" t="s">
        <v>162</v>
      </c>
      <c r="B30" s="148" t="s">
        <v>559</v>
      </c>
      <c r="C30" s="143">
        <v>0</v>
      </c>
      <c r="D30" s="143">
        <v>0</v>
      </c>
      <c r="E30" s="143">
        <v>0</v>
      </c>
      <c r="F30" s="143">
        <v>0</v>
      </c>
      <c r="G30" s="147">
        <f>ROUND(D30*F30/100,2)</f>
        <v>0</v>
      </c>
    </row>
    <row r="31" spans="1:7" ht="30" x14ac:dyDescent="0.25">
      <c r="A31" s="145" t="s">
        <v>164</v>
      </c>
      <c r="B31" s="146" t="s">
        <v>13</v>
      </c>
      <c r="C31" s="147">
        <v>0</v>
      </c>
      <c r="D31" s="147">
        <v>0</v>
      </c>
      <c r="E31" s="147">
        <v>0</v>
      </c>
      <c r="F31" s="147">
        <v>0</v>
      </c>
      <c r="G31" s="147">
        <f>ROUND(D31*F31/100,2)</f>
        <v>0</v>
      </c>
    </row>
    <row r="32" spans="1:7" ht="30" x14ac:dyDescent="0.25">
      <c r="A32" s="145" t="s">
        <v>165</v>
      </c>
      <c r="B32" s="146" t="s">
        <v>560</v>
      </c>
      <c r="C32" s="147">
        <v>0</v>
      </c>
      <c r="D32" s="147">
        <v>0</v>
      </c>
      <c r="E32" s="147">
        <v>0</v>
      </c>
      <c r="F32" s="147">
        <v>0</v>
      </c>
      <c r="G32" s="147">
        <f>ROUND(D32*F32/100,2)</f>
        <v>0</v>
      </c>
    </row>
    <row r="33" spans="1:7" x14ac:dyDescent="0.25">
      <c r="A33" s="145" t="s">
        <v>166</v>
      </c>
      <c r="B33" s="146" t="s">
        <v>12</v>
      </c>
      <c r="C33" s="147">
        <v>0</v>
      </c>
      <c r="D33" s="147">
        <v>0</v>
      </c>
      <c r="E33" s="147">
        <v>0</v>
      </c>
      <c r="F33" s="147">
        <v>0</v>
      </c>
      <c r="G33" s="147">
        <f>ROUND(D33*F33/100,2)</f>
        <v>0</v>
      </c>
    </row>
    <row r="34" spans="1:7" x14ac:dyDescent="0.25">
      <c r="A34" s="145" t="s">
        <v>167</v>
      </c>
      <c r="B34" s="146" t="s">
        <v>11</v>
      </c>
      <c r="C34" s="147">
        <v>0</v>
      </c>
      <c r="D34" s="147" t="s">
        <v>50</v>
      </c>
      <c r="E34" s="147">
        <v>0</v>
      </c>
      <c r="F34" s="147" t="s">
        <v>50</v>
      </c>
      <c r="G34" s="147">
        <f>ROUND(C34*E34/100,2)</f>
        <v>0</v>
      </c>
    </row>
    <row r="35" spans="1:7" x14ac:dyDescent="0.25">
      <c r="A35" s="145" t="s">
        <v>168</v>
      </c>
      <c r="B35" s="146" t="s">
        <v>309</v>
      </c>
      <c r="C35" s="147">
        <f>Плановая2!E42</f>
        <v>1784447.0400319998</v>
      </c>
      <c r="D35" s="147" t="s">
        <v>50</v>
      </c>
      <c r="E35" s="147">
        <v>15</v>
      </c>
      <c r="F35" s="147" t="s">
        <v>50</v>
      </c>
      <c r="G35" s="147">
        <f>ROUNDUP(C35*E35/100,2)</f>
        <v>267667.06</v>
      </c>
    </row>
    <row r="36" spans="1:7" x14ac:dyDescent="0.25">
      <c r="A36" s="145" t="s">
        <v>169</v>
      </c>
      <c r="B36" s="146" t="s">
        <v>170</v>
      </c>
      <c r="C36" s="147">
        <f>'19 (19д) Командировки '!F16</f>
        <v>323875.35948269459</v>
      </c>
      <c r="D36" s="147" t="s">
        <v>50</v>
      </c>
      <c r="E36" s="147">
        <v>15</v>
      </c>
      <c r="F36" s="147" t="s">
        <v>50</v>
      </c>
      <c r="G36" s="147">
        <f>ROUND(C36*E36/100,2)</f>
        <v>48581.3</v>
      </c>
    </row>
    <row r="37" spans="1:7" x14ac:dyDescent="0.25">
      <c r="A37" s="145" t="s">
        <v>171</v>
      </c>
      <c r="B37" s="146" t="s">
        <v>387</v>
      </c>
      <c r="C37" s="147">
        <v>0</v>
      </c>
      <c r="D37" s="147">
        <f>'18 (18д) проч з'!F14</f>
        <v>1420854.0523307866</v>
      </c>
      <c r="E37" s="147">
        <v>0</v>
      </c>
      <c r="F37" s="147">
        <v>1</v>
      </c>
      <c r="G37" s="147">
        <f>ROUND(D37*F37/100,2)</f>
        <v>14208.54</v>
      </c>
    </row>
    <row r="38" spans="1:7" ht="30" x14ac:dyDescent="0.25">
      <c r="A38" s="145" t="s">
        <v>172</v>
      </c>
      <c r="B38" s="146" t="s">
        <v>467</v>
      </c>
      <c r="C38" s="147" t="s">
        <v>50</v>
      </c>
      <c r="D38" s="147">
        <f>'7д НИР ОКР'!I15</f>
        <v>4558384.295353109</v>
      </c>
      <c r="E38" s="147" t="s">
        <v>50</v>
      </c>
      <c r="F38" s="147">
        <v>1</v>
      </c>
      <c r="G38" s="147">
        <f>ROUND(D38*F38/100,2)</f>
        <v>45583.839999999997</v>
      </c>
    </row>
    <row r="39" spans="1:7" x14ac:dyDescent="0.25">
      <c r="A39" s="145" t="s">
        <v>175</v>
      </c>
      <c r="B39" s="146" t="s">
        <v>561</v>
      </c>
      <c r="C39" s="147">
        <v>0</v>
      </c>
      <c r="D39" s="147">
        <v>0</v>
      </c>
      <c r="E39" s="147">
        <v>0</v>
      </c>
      <c r="F39" s="147">
        <v>0</v>
      </c>
      <c r="G39" s="147">
        <f>C39*F39/100</f>
        <v>0</v>
      </c>
    </row>
    <row r="40" spans="1:7" x14ac:dyDescent="0.25">
      <c r="A40" s="145" t="s">
        <v>176</v>
      </c>
      <c r="B40" s="146" t="s">
        <v>337</v>
      </c>
      <c r="C40" s="147" t="s">
        <v>50</v>
      </c>
      <c r="D40" s="147" t="s">
        <v>50</v>
      </c>
      <c r="E40" s="149" t="s">
        <v>50</v>
      </c>
      <c r="F40" s="147" t="s">
        <v>50</v>
      </c>
      <c r="G40" s="147" t="s">
        <v>50</v>
      </c>
    </row>
    <row r="41" spans="1:7" x14ac:dyDescent="0.25">
      <c r="A41" s="145" t="s">
        <v>177</v>
      </c>
      <c r="B41" s="146" t="s">
        <v>562</v>
      </c>
      <c r="C41" s="147" t="s">
        <v>306</v>
      </c>
      <c r="D41" s="147" t="s">
        <v>50</v>
      </c>
      <c r="E41" s="147" t="s">
        <v>306</v>
      </c>
      <c r="F41" s="147" t="s">
        <v>50</v>
      </c>
      <c r="G41" s="147">
        <v>0</v>
      </c>
    </row>
    <row r="42" spans="1:7" x14ac:dyDescent="0.25">
      <c r="A42" s="939" t="s">
        <v>1</v>
      </c>
      <c r="B42" s="940"/>
      <c r="C42" s="150" t="s">
        <v>306</v>
      </c>
      <c r="D42" s="150" t="s">
        <v>306</v>
      </c>
      <c r="E42" s="150" t="s">
        <v>306</v>
      </c>
      <c r="F42" s="151" t="s">
        <v>306</v>
      </c>
      <c r="G42" s="165">
        <f>G10+G22+G26+G27+G31+G32+G33+G34+G35+G36+G37+G38+G39+G41</f>
        <v>455495.07999999996</v>
      </c>
    </row>
    <row r="43" spans="1:7" x14ac:dyDescent="0.25">
      <c r="A43" s="152"/>
      <c r="B43" s="153"/>
      <c r="C43" s="153"/>
      <c r="D43" s="153"/>
      <c r="E43" s="154"/>
      <c r="F43" s="154"/>
      <c r="G43" s="474" t="s">
        <v>207</v>
      </c>
    </row>
    <row r="44" spans="1:7" x14ac:dyDescent="0.25">
      <c r="A44" s="155" t="s">
        <v>44</v>
      </c>
      <c r="B44" s="941" t="s">
        <v>188</v>
      </c>
      <c r="C44" s="783"/>
      <c r="D44" s="942" t="s">
        <v>251</v>
      </c>
      <c r="E44" s="793"/>
      <c r="F44" s="942" t="s">
        <v>265</v>
      </c>
      <c r="G44" s="793"/>
    </row>
    <row r="45" spans="1:7" x14ac:dyDescent="0.25">
      <c r="A45" s="155" t="s">
        <v>38</v>
      </c>
      <c r="B45" s="941">
        <v>2</v>
      </c>
      <c r="C45" s="783"/>
      <c r="D45" s="942">
        <v>3</v>
      </c>
      <c r="E45" s="793">
        <v>3</v>
      </c>
      <c r="F45" s="942">
        <v>4</v>
      </c>
      <c r="G45" s="793">
        <v>4</v>
      </c>
    </row>
    <row r="46" spans="1:7" x14ac:dyDescent="0.25">
      <c r="A46" s="475" t="s">
        <v>5</v>
      </c>
      <c r="B46" s="941" t="s">
        <v>306</v>
      </c>
      <c r="C46" s="783"/>
      <c r="D46" s="942" t="s">
        <v>306</v>
      </c>
      <c r="E46" s="793">
        <f>G42*G46%</f>
        <v>0</v>
      </c>
      <c r="F46" s="942" t="s">
        <v>306</v>
      </c>
      <c r="G46" s="793"/>
    </row>
    <row r="47" spans="1:7" x14ac:dyDescent="0.25">
      <c r="A47" s="475" t="s">
        <v>6</v>
      </c>
      <c r="B47" s="943" t="s">
        <v>563</v>
      </c>
      <c r="C47" s="944"/>
      <c r="D47" s="944"/>
      <c r="E47" s="944"/>
      <c r="F47" s="944"/>
      <c r="G47" s="945"/>
    </row>
    <row r="48" spans="1:7" x14ac:dyDescent="0.25">
      <c r="A48" s="946" t="s">
        <v>1</v>
      </c>
      <c r="B48" s="947"/>
      <c r="C48" s="948"/>
      <c r="D48" s="942" t="s">
        <v>306</v>
      </c>
      <c r="E48" s="793" t="e">
        <f>G43*G48%</f>
        <v>#VALUE!</v>
      </c>
      <c r="F48" s="942" t="s">
        <v>306</v>
      </c>
      <c r="G48" s="793" t="s">
        <v>306</v>
      </c>
    </row>
    <row r="49" spans="1:7" x14ac:dyDescent="0.25">
      <c r="A49" s="476"/>
      <c r="B49" s="41"/>
      <c r="C49" s="41"/>
      <c r="D49" s="174"/>
      <c r="E49" s="477"/>
      <c r="F49" s="174"/>
      <c r="G49" s="477"/>
    </row>
    <row r="50" spans="1:7" x14ac:dyDescent="0.25">
      <c r="A50" s="478"/>
      <c r="B50" s="156"/>
      <c r="C50" s="156"/>
      <c r="D50" s="164" t="s">
        <v>564</v>
      </c>
      <c r="E50" s="164"/>
      <c r="F50" s="164"/>
    </row>
    <row r="51" spans="1:7" x14ac:dyDescent="0.25">
      <c r="A51" s="479"/>
      <c r="B51" s="479"/>
      <c r="C51" s="479"/>
      <c r="D51" s="480" t="s">
        <v>304</v>
      </c>
      <c r="E51" s="480"/>
      <c r="F51" s="480"/>
    </row>
    <row r="52" spans="1:7" x14ac:dyDescent="0.25">
      <c r="A52" s="479"/>
      <c r="B52" s="479"/>
      <c r="C52" s="479"/>
      <c r="D52" s="453" t="s">
        <v>407</v>
      </c>
      <c r="E52" s="453"/>
      <c r="F52" s="453"/>
    </row>
    <row r="53" spans="1:7" x14ac:dyDescent="0.25">
      <c r="A53" s="481"/>
      <c r="B53" s="481"/>
      <c r="C53" s="481"/>
      <c r="D53" s="454" t="s">
        <v>408</v>
      </c>
      <c r="E53" s="482" t="s">
        <v>0</v>
      </c>
      <c r="F53" s="477"/>
    </row>
    <row r="54" spans="1:7" x14ac:dyDescent="0.25">
      <c r="A54" s="481"/>
      <c r="B54" s="481"/>
      <c r="C54" s="481"/>
      <c r="D54" s="483" t="str">
        <f>Плановая2!F63</f>
        <v>"07" апреля 2025 г.</v>
      </c>
      <c r="E54" s="469"/>
      <c r="F54" s="469"/>
    </row>
  </sheetData>
  <mergeCells count="23"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ageMargins left="0.31496062992125984" right="0.31496062992125984" top="0.35433070866141736" bottom="0.35433070866141736" header="0.31496062992125984" footer="0.31496062992125984"/>
  <pageSetup paperSize="9" scale="76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O10" sqref="O10:P10"/>
    </sheetView>
  </sheetViews>
  <sheetFormatPr defaultColWidth="0.7109375" defaultRowHeight="15" x14ac:dyDescent="0.25"/>
  <cols>
    <col min="1" max="1" width="5.7109375" style="13" bestFit="1" customWidth="1"/>
    <col min="2" max="2" width="24.7109375" style="13" customWidth="1"/>
    <col min="3" max="5" width="2.28515625" style="13" customWidth="1"/>
    <col min="6" max="6" width="10.7109375" style="13" customWidth="1"/>
    <col min="7" max="7" width="7.140625" style="13" customWidth="1"/>
    <col min="8" max="8" width="7" style="13" customWidth="1"/>
    <col min="9" max="9" width="8.28515625" style="13" customWidth="1"/>
    <col min="10" max="10" width="6.85546875" style="13" customWidth="1"/>
    <col min="11" max="11" width="6.42578125" style="13" customWidth="1"/>
    <col min="12" max="12" width="7.42578125" style="13" customWidth="1"/>
    <col min="13" max="13" width="13" style="13" customWidth="1"/>
    <col min="14" max="14" width="8.85546875" style="13" customWidth="1"/>
    <col min="15" max="16" width="7.42578125" style="13" customWidth="1"/>
    <col min="17" max="17" width="11.85546875" style="13" customWidth="1"/>
    <col min="18" max="18" width="11.28515625" style="13" customWidth="1"/>
    <col min="19" max="19" width="10.42578125" style="13" customWidth="1"/>
    <col min="20" max="20" width="8.42578125" style="13" customWidth="1"/>
    <col min="21" max="21" width="11" style="13" customWidth="1"/>
    <col min="22" max="23" width="8.42578125" style="13" customWidth="1"/>
    <col min="24" max="24" width="9.7109375" style="13" customWidth="1"/>
    <col min="25" max="16384" width="0.7109375" style="13"/>
  </cols>
  <sheetData>
    <row r="1" spans="1:24" ht="16.5" customHeight="1" x14ac:dyDescent="0.25">
      <c r="W1" s="749" t="s">
        <v>360</v>
      </c>
      <c r="X1" s="749"/>
    </row>
    <row r="2" spans="1:24" ht="9.75" customHeight="1" x14ac:dyDescent="0.25"/>
    <row r="3" spans="1:24" x14ac:dyDescent="0.25">
      <c r="A3" s="750" t="s">
        <v>3</v>
      </c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</row>
    <row r="4" spans="1:24" x14ac:dyDescent="0.25">
      <c r="A4" s="750" t="s">
        <v>938</v>
      </c>
      <c r="B4" s="750"/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0"/>
      <c r="X4" s="750"/>
    </row>
    <row r="5" spans="1:24" ht="54" customHeight="1" x14ac:dyDescent="0.25">
      <c r="A5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  <c r="X5" s="901"/>
    </row>
    <row r="6" spans="1:24" ht="15" customHeight="1" x14ac:dyDescent="0.25">
      <c r="A6" s="777" t="s">
        <v>89</v>
      </c>
      <c r="B6" s="777"/>
      <c r="C6" s="777"/>
      <c r="D6" s="777"/>
      <c r="E6" s="777"/>
      <c r="F6" s="777"/>
      <c r="G6" s="777"/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</row>
    <row r="7" spans="1:24" ht="21" customHeight="1" x14ac:dyDescent="0.25">
      <c r="A7" s="950" t="s">
        <v>468</v>
      </c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</row>
    <row r="8" spans="1:24" ht="9" customHeight="1" x14ac:dyDescent="0.25"/>
    <row r="9" spans="1:24" ht="27.75" customHeight="1" x14ac:dyDescent="0.25">
      <c r="A9" s="755" t="s">
        <v>501</v>
      </c>
      <c r="B9" s="869" t="s">
        <v>4</v>
      </c>
      <c r="C9" s="794" t="s">
        <v>929</v>
      </c>
      <c r="D9" s="794" t="s">
        <v>135</v>
      </c>
      <c r="E9" s="794" t="s">
        <v>128</v>
      </c>
      <c r="F9" s="791" t="s">
        <v>27</v>
      </c>
      <c r="G9" s="755" t="s">
        <v>896</v>
      </c>
      <c r="H9" s="755"/>
      <c r="I9" s="755"/>
      <c r="J9" s="755"/>
      <c r="K9" s="755"/>
      <c r="L9" s="755"/>
      <c r="M9" s="755"/>
      <c r="N9" s="755"/>
      <c r="O9" s="755"/>
      <c r="P9" s="755"/>
      <c r="Q9" s="752" t="s">
        <v>333</v>
      </c>
      <c r="R9" s="869" t="str">
        <f>"Планируемый период (год "&amp;год&amp;")"</f>
        <v>Планируемый период (год 2030)</v>
      </c>
      <c r="S9" s="869"/>
      <c r="T9" s="869"/>
      <c r="U9" s="869"/>
      <c r="V9" s="869"/>
      <c r="W9" s="869"/>
      <c r="X9" s="869"/>
    </row>
    <row r="10" spans="1:24" ht="58.5" customHeight="1" x14ac:dyDescent="0.25">
      <c r="A10" s="755"/>
      <c r="B10" s="869"/>
      <c r="C10" s="795"/>
      <c r="D10" s="795"/>
      <c r="E10" s="795"/>
      <c r="F10" s="951"/>
      <c r="G10" s="787" t="s">
        <v>232</v>
      </c>
      <c r="H10" s="788"/>
      <c r="I10" s="754" t="s">
        <v>939</v>
      </c>
      <c r="J10" s="953"/>
      <c r="K10" s="787" t="s">
        <v>236</v>
      </c>
      <c r="L10" s="788"/>
      <c r="M10" s="755" t="s">
        <v>185</v>
      </c>
      <c r="N10" s="755"/>
      <c r="O10" s="897" t="s">
        <v>940</v>
      </c>
      <c r="P10" s="897"/>
      <c r="Q10" s="753"/>
      <c r="R10" s="755" t="s">
        <v>190</v>
      </c>
      <c r="S10" s="755" t="s">
        <v>939</v>
      </c>
      <c r="T10" s="755" t="s">
        <v>237</v>
      </c>
      <c r="U10" s="755" t="s">
        <v>185</v>
      </c>
      <c r="V10" s="755"/>
      <c r="W10" s="755" t="s">
        <v>940</v>
      </c>
      <c r="X10" s="793"/>
    </row>
    <row r="11" spans="1:24" ht="72.75" customHeight="1" x14ac:dyDescent="0.25">
      <c r="A11" s="793"/>
      <c r="B11" s="783"/>
      <c r="C11" s="796"/>
      <c r="D11" s="796"/>
      <c r="E11" s="796"/>
      <c r="F11" s="952"/>
      <c r="G11" s="233" t="s">
        <v>26</v>
      </c>
      <c r="H11" s="233" t="s">
        <v>25</v>
      </c>
      <c r="I11" s="233" t="s">
        <v>26</v>
      </c>
      <c r="J11" s="233" t="s">
        <v>25</v>
      </c>
      <c r="K11" s="31" t="s">
        <v>26</v>
      </c>
      <c r="L11" s="31" t="s">
        <v>25</v>
      </c>
      <c r="M11" s="31" t="s">
        <v>184</v>
      </c>
      <c r="N11" s="230" t="s">
        <v>214</v>
      </c>
      <c r="O11" s="233" t="s">
        <v>122</v>
      </c>
      <c r="P11" s="230" t="s">
        <v>46</v>
      </c>
      <c r="Q11" s="949"/>
      <c r="R11" s="793"/>
      <c r="S11" s="793"/>
      <c r="T11" s="793"/>
      <c r="U11" s="31" t="s">
        <v>230</v>
      </c>
      <c r="V11" s="230" t="s">
        <v>214</v>
      </c>
      <c r="W11" s="230" t="s">
        <v>122</v>
      </c>
      <c r="X11" s="230" t="s">
        <v>46</v>
      </c>
    </row>
    <row r="12" spans="1:24" ht="12.75" customHeight="1" x14ac:dyDescent="0.25">
      <c r="A12" s="24">
        <v>1</v>
      </c>
      <c r="B12" s="24">
        <v>2</v>
      </c>
      <c r="C12" s="24">
        <v>3</v>
      </c>
      <c r="D12" s="24">
        <v>4</v>
      </c>
      <c r="E12" s="24">
        <v>5</v>
      </c>
      <c r="F12" s="31">
        <v>6</v>
      </c>
      <c r="G12" s="31">
        <v>7</v>
      </c>
      <c r="H12" s="31">
        <v>8</v>
      </c>
      <c r="I12" s="31">
        <v>9</v>
      </c>
      <c r="J12" s="31">
        <v>10</v>
      </c>
      <c r="K12" s="31">
        <v>11</v>
      </c>
      <c r="L12" s="484">
        <v>12</v>
      </c>
      <c r="M12" s="395" t="s">
        <v>233</v>
      </c>
      <c r="N12" s="395" t="s">
        <v>234</v>
      </c>
      <c r="O12" s="485">
        <v>14</v>
      </c>
      <c r="P12" s="31">
        <v>15</v>
      </c>
      <c r="Q12" s="484">
        <v>16</v>
      </c>
      <c r="R12" s="460">
        <v>17</v>
      </c>
      <c r="S12" s="460">
        <v>18</v>
      </c>
      <c r="T12" s="460">
        <v>19</v>
      </c>
      <c r="U12" s="395" t="s">
        <v>215</v>
      </c>
      <c r="V12" s="395" t="s">
        <v>216</v>
      </c>
      <c r="W12" s="484">
        <v>21</v>
      </c>
      <c r="X12" s="460">
        <v>22</v>
      </c>
    </row>
    <row r="13" spans="1:24" ht="21" customHeight="1" x14ac:dyDescent="0.25">
      <c r="A13" s="230"/>
      <c r="B13" s="29" t="s">
        <v>24</v>
      </c>
      <c r="C13" s="367" t="s">
        <v>306</v>
      </c>
      <c r="D13" s="367" t="s">
        <v>306</v>
      </c>
      <c r="E13" s="367" t="s">
        <v>306</v>
      </c>
      <c r="F13" s="367" t="s">
        <v>306</v>
      </c>
      <c r="G13" s="367" t="s">
        <v>306</v>
      </c>
      <c r="H13" s="367" t="s">
        <v>306</v>
      </c>
      <c r="I13" s="367" t="s">
        <v>306</v>
      </c>
      <c r="J13" s="367" t="s">
        <v>306</v>
      </c>
      <c r="K13" s="367" t="s">
        <v>306</v>
      </c>
      <c r="L13" s="367" t="s">
        <v>306</v>
      </c>
      <c r="M13" s="367" t="s">
        <v>306</v>
      </c>
      <c r="N13" s="367" t="s">
        <v>306</v>
      </c>
      <c r="O13" s="367" t="s">
        <v>306</v>
      </c>
      <c r="P13" s="367" t="s">
        <v>306</v>
      </c>
      <c r="Q13" s="367" t="s">
        <v>306</v>
      </c>
      <c r="R13" s="367" t="s">
        <v>306</v>
      </c>
      <c r="S13" s="367" t="s">
        <v>306</v>
      </c>
      <c r="T13" s="367" t="s">
        <v>306</v>
      </c>
      <c r="U13" s="367" t="s">
        <v>306</v>
      </c>
      <c r="V13" s="367" t="s">
        <v>306</v>
      </c>
      <c r="W13" s="367" t="s">
        <v>306</v>
      </c>
      <c r="X13" s="367" t="s">
        <v>306</v>
      </c>
    </row>
    <row r="14" spans="1:24" ht="29.25" customHeight="1" x14ac:dyDescent="0.25">
      <c r="A14" s="230" t="s">
        <v>5</v>
      </c>
      <c r="B14" s="175" t="s">
        <v>235</v>
      </c>
      <c r="C14" s="367" t="s">
        <v>306</v>
      </c>
      <c r="D14" s="367" t="s">
        <v>306</v>
      </c>
      <c r="E14" s="367" t="s">
        <v>306</v>
      </c>
      <c r="F14" s="367" t="s">
        <v>306</v>
      </c>
      <c r="G14" s="367" t="s">
        <v>306</v>
      </c>
      <c r="H14" s="367" t="s">
        <v>306</v>
      </c>
      <c r="I14" s="460"/>
      <c r="J14" s="460"/>
      <c r="K14" s="460"/>
      <c r="L14" s="460"/>
      <c r="M14" s="29" t="s">
        <v>469</v>
      </c>
      <c r="N14" s="460"/>
      <c r="O14" s="485"/>
      <c r="P14" s="460"/>
      <c r="Q14" s="367" t="s">
        <v>306</v>
      </c>
      <c r="R14" s="460"/>
      <c r="S14" s="460"/>
      <c r="T14" s="460"/>
      <c r="U14" s="29" t="s">
        <v>448</v>
      </c>
      <c r="V14" s="29"/>
      <c r="W14" s="29"/>
      <c r="X14" s="29"/>
    </row>
    <row r="15" spans="1:24" x14ac:dyDescent="0.25">
      <c r="A15" s="230"/>
      <c r="B15" s="176" t="s">
        <v>23</v>
      </c>
      <c r="C15" s="367" t="s">
        <v>306</v>
      </c>
      <c r="D15" s="367" t="s">
        <v>306</v>
      </c>
      <c r="E15" s="367" t="s">
        <v>306</v>
      </c>
      <c r="F15" s="367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367" t="s">
        <v>306</v>
      </c>
      <c r="M15" s="367" t="s">
        <v>306</v>
      </c>
      <c r="N15" s="367" t="s">
        <v>306</v>
      </c>
      <c r="O15" s="367" t="s">
        <v>306</v>
      </c>
      <c r="P15" s="367" t="s">
        <v>306</v>
      </c>
      <c r="Q15" s="367" t="s">
        <v>306</v>
      </c>
      <c r="R15" s="367" t="s">
        <v>306</v>
      </c>
      <c r="S15" s="367" t="s">
        <v>306</v>
      </c>
      <c r="T15" s="367" t="s">
        <v>306</v>
      </c>
      <c r="U15" s="367" t="s">
        <v>306</v>
      </c>
      <c r="V15" s="367" t="s">
        <v>306</v>
      </c>
      <c r="W15" s="367" t="s">
        <v>306</v>
      </c>
      <c r="X15" s="367" t="s">
        <v>306</v>
      </c>
    </row>
    <row r="16" spans="1:24" ht="30" x14ac:dyDescent="0.25">
      <c r="A16" s="230" t="s">
        <v>7</v>
      </c>
      <c r="B16" s="5" t="s">
        <v>231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367" t="s">
        <v>306</v>
      </c>
      <c r="H16" s="367" t="s">
        <v>306</v>
      </c>
      <c r="I16" s="460"/>
      <c r="J16" s="460"/>
      <c r="K16" s="460"/>
      <c r="L16" s="460"/>
      <c r="M16" s="29" t="s">
        <v>469</v>
      </c>
      <c r="N16" s="460"/>
      <c r="O16" s="485"/>
      <c r="P16" s="460"/>
      <c r="Q16" s="367" t="s">
        <v>306</v>
      </c>
      <c r="R16" s="460"/>
      <c r="S16" s="460"/>
      <c r="T16" s="460"/>
      <c r="U16" s="29" t="s">
        <v>448</v>
      </c>
      <c r="V16" s="29"/>
      <c r="W16" s="29"/>
      <c r="X16" s="29"/>
    </row>
    <row r="17" spans="1:25" s="21" customFormat="1" ht="14.25" customHeight="1" x14ac:dyDescent="0.25">
      <c r="A17" s="230"/>
      <c r="B17" s="176" t="s">
        <v>22</v>
      </c>
      <c r="C17" s="367" t="s">
        <v>306</v>
      </c>
      <c r="D17" s="367" t="s">
        <v>306</v>
      </c>
      <c r="E17" s="367" t="s">
        <v>306</v>
      </c>
      <c r="F17" s="367" t="s">
        <v>306</v>
      </c>
      <c r="G17" s="367" t="s">
        <v>306</v>
      </c>
      <c r="H17" s="367" t="s">
        <v>306</v>
      </c>
      <c r="I17" s="29"/>
      <c r="J17" s="29"/>
      <c r="K17" s="29"/>
      <c r="L17" s="29"/>
      <c r="M17" s="29" t="s">
        <v>448</v>
      </c>
      <c r="N17" s="29"/>
      <c r="O17" s="485"/>
      <c r="P17" s="29"/>
      <c r="Q17" s="367" t="s">
        <v>306</v>
      </c>
      <c r="R17" s="29"/>
      <c r="S17" s="29"/>
      <c r="T17" s="29"/>
      <c r="U17" s="29" t="s">
        <v>448</v>
      </c>
      <c r="V17" s="29"/>
      <c r="W17" s="29"/>
      <c r="X17" s="29"/>
      <c r="Y17" s="13"/>
    </row>
    <row r="18" spans="1:25" ht="12.75" customHeight="1" x14ac:dyDescent="0.25">
      <c r="A18" s="1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8"/>
      <c r="W18" s="39"/>
      <c r="X18" s="39"/>
    </row>
    <row r="19" spans="1:25" ht="14.25" customHeight="1" x14ac:dyDescent="0.25">
      <c r="A19" s="850" t="str">
        <f>Плановая2!A60</f>
        <v>Первый заместитель Генерального директора ООО "Бенефит Бизнес"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44" t="s">
        <v>304</v>
      </c>
      <c r="O19" s="844"/>
      <c r="P19" s="844"/>
      <c r="Q19" s="844"/>
      <c r="R19" s="844"/>
      <c r="S19" s="844"/>
      <c r="T19" s="844"/>
      <c r="U19" s="844"/>
      <c r="V19" s="844"/>
      <c r="W19" s="844"/>
      <c r="X19" s="21"/>
      <c r="Y19" s="21"/>
    </row>
    <row r="20" spans="1:25" ht="19.5" customHeight="1" x14ac:dyDescent="0.25">
      <c r="A20" s="850"/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44"/>
      <c r="O20" s="844"/>
      <c r="P20" s="844"/>
      <c r="Q20" s="844"/>
      <c r="R20" s="844"/>
      <c r="S20" s="844"/>
      <c r="T20" s="844"/>
      <c r="U20" s="844"/>
      <c r="V20" s="844"/>
      <c r="W20" s="844"/>
      <c r="X20" s="21"/>
      <c r="Y20" s="358"/>
    </row>
    <row r="21" spans="1:25" ht="36.75" customHeight="1" x14ac:dyDescent="0.25">
      <c r="A21" s="844" t="s">
        <v>493</v>
      </c>
      <c r="B21" s="844"/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 t="s">
        <v>494</v>
      </c>
      <c r="O21" s="844"/>
      <c r="P21" s="844"/>
      <c r="Q21" s="844"/>
      <c r="R21" s="844"/>
      <c r="S21" s="844"/>
      <c r="T21" s="844"/>
      <c r="U21" s="844"/>
      <c r="V21" s="844"/>
      <c r="W21" s="844"/>
      <c r="Y21" s="14"/>
    </row>
    <row r="22" spans="1:25" ht="12.75" customHeight="1" x14ac:dyDescent="0.25">
      <c r="A22" s="807" t="s">
        <v>349</v>
      </c>
      <c r="B22" s="807"/>
      <c r="C22" s="747" t="s">
        <v>495</v>
      </c>
      <c r="D22" s="747"/>
      <c r="E22" s="747"/>
      <c r="F22" s="747"/>
      <c r="G22" s="747"/>
      <c r="H22" s="747"/>
      <c r="I22" s="747"/>
      <c r="J22" s="747"/>
      <c r="K22" s="747"/>
      <c r="L22" s="747"/>
      <c r="M22" s="747"/>
      <c r="N22" s="747" t="s">
        <v>98</v>
      </c>
      <c r="O22" s="747"/>
      <c r="P22" s="747"/>
      <c r="Q22" s="747" t="s">
        <v>394</v>
      </c>
      <c r="R22" s="747"/>
      <c r="S22" s="747"/>
      <c r="T22" s="747"/>
      <c r="U22" s="747"/>
      <c r="V22" s="747"/>
      <c r="W22" s="747"/>
      <c r="X22" s="359"/>
      <c r="Y22" s="14"/>
    </row>
    <row r="23" spans="1:25" ht="12.75" customHeight="1" x14ac:dyDescent="0.25">
      <c r="A23" s="803" t="str">
        <f>Плановая2!A63</f>
        <v>"07" апреля  2025 г.</v>
      </c>
      <c r="B23" s="803"/>
      <c r="C23" s="803"/>
      <c r="D23" s="803"/>
      <c r="E23" s="803"/>
      <c r="F23" s="803"/>
      <c r="G23" s="803"/>
      <c r="H23" s="803"/>
      <c r="N23" s="738" t="str">
        <f>A23</f>
        <v>"07" апреля  2025 г.</v>
      </c>
      <c r="O23" s="738"/>
      <c r="P23" s="738"/>
      <c r="Q23" s="738"/>
      <c r="R23" s="738"/>
      <c r="S23" s="738"/>
      <c r="T23" s="738"/>
      <c r="U23" s="14"/>
      <c r="V23" s="409"/>
      <c r="W23" s="411"/>
      <c r="X23" s="14"/>
      <c r="Y23" s="411"/>
    </row>
    <row r="24" spans="1:25" ht="16.5" customHeight="1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8"/>
      <c r="W24" s="39"/>
      <c r="X24" s="39"/>
    </row>
    <row r="25" spans="1:25" s="416" customFormat="1" x14ac:dyDescent="0.25"/>
    <row r="37" spans="3:3" x14ac:dyDescent="0.25">
      <c r="C37" s="40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8" sqref="Q8:Q9"/>
    </sheetView>
  </sheetViews>
  <sheetFormatPr defaultColWidth="0.7109375" defaultRowHeight="15" x14ac:dyDescent="0.25"/>
  <cols>
    <col min="1" max="1" width="5.42578125" style="13" customWidth="1"/>
    <col min="2" max="2" width="33.7109375" style="13" customWidth="1"/>
    <col min="3" max="3" width="7.42578125" style="13" customWidth="1"/>
    <col min="4" max="4" width="6.42578125" style="13" customWidth="1"/>
    <col min="5" max="5" width="5.140625" style="13" customWidth="1"/>
    <col min="6" max="6" width="8.85546875" style="13" customWidth="1"/>
    <col min="7" max="7" width="7" style="13" customWidth="1"/>
    <col min="8" max="8" width="9.7109375" style="13" customWidth="1"/>
    <col min="9" max="9" width="9" style="13" customWidth="1"/>
    <col min="10" max="10" width="11.85546875" style="13" customWidth="1"/>
    <col min="11" max="11" width="8.42578125" style="13" customWidth="1"/>
    <col min="12" max="12" width="12.28515625" style="13" customWidth="1"/>
    <col min="13" max="13" width="31.42578125" style="13" customWidth="1"/>
    <col min="14" max="14" width="7.7109375" style="13" customWidth="1"/>
    <col min="15" max="15" width="5" style="13" customWidth="1"/>
    <col min="16" max="16" width="5.85546875" style="13" customWidth="1"/>
    <col min="17" max="17" width="9.42578125" style="13" bestFit="1" customWidth="1"/>
    <col min="18" max="18" width="13.140625" style="13" bestFit="1" customWidth="1"/>
    <col min="19" max="19" width="14.28515625" style="13" bestFit="1" customWidth="1"/>
    <col min="20" max="20" width="14.7109375" style="13" customWidth="1"/>
    <col min="21" max="21" width="15.42578125" style="13" customWidth="1"/>
    <col min="22" max="22" width="11.42578125" style="13" customWidth="1"/>
    <col min="23" max="23" width="13.28515625" style="13" customWidth="1"/>
    <col min="24" max="16384" width="0.7109375" style="13"/>
  </cols>
  <sheetData>
    <row r="1" spans="1:25" x14ac:dyDescent="0.25">
      <c r="V1" s="749" t="s">
        <v>361</v>
      </c>
      <c r="W1" s="749"/>
    </row>
    <row r="2" spans="1:25" x14ac:dyDescent="0.25">
      <c r="A2" s="827" t="s">
        <v>3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</row>
    <row r="3" spans="1:25" x14ac:dyDescent="0.25">
      <c r="A3" s="827" t="s">
        <v>577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7"/>
      <c r="T3" s="827"/>
      <c r="U3" s="827"/>
      <c r="V3" s="827"/>
      <c r="W3" s="827"/>
    </row>
    <row r="4" spans="1:25" ht="41.2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5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</row>
    <row r="6" spans="1:25" ht="18.75" customHeight="1" x14ac:dyDescent="0.25">
      <c r="A6" s="955" t="s">
        <v>538</v>
      </c>
      <c r="B6" s="955"/>
      <c r="C6" s="955"/>
      <c r="D6" s="955"/>
      <c r="E6" s="955"/>
      <c r="F6" s="955"/>
      <c r="G6" s="955"/>
      <c r="H6" s="955"/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392"/>
      <c r="U6" s="392"/>
      <c r="V6" s="392"/>
      <c r="W6" s="392"/>
    </row>
    <row r="7" spans="1:25" x14ac:dyDescent="0.25">
      <c r="A7" s="869" t="s">
        <v>44</v>
      </c>
      <c r="B7" s="869" t="s">
        <v>4</v>
      </c>
      <c r="C7" s="755" t="s">
        <v>489</v>
      </c>
      <c r="D7" s="859" t="s">
        <v>134</v>
      </c>
      <c r="E7" s="755" t="s">
        <v>128</v>
      </c>
      <c r="F7" s="755" t="s">
        <v>27</v>
      </c>
      <c r="G7" s="755" t="s">
        <v>897</v>
      </c>
      <c r="H7" s="755"/>
      <c r="I7" s="755"/>
      <c r="J7" s="755"/>
      <c r="K7" s="755"/>
      <c r="L7" s="755"/>
      <c r="M7" s="755"/>
      <c r="N7" s="755"/>
      <c r="O7" s="755"/>
      <c r="P7" s="752" t="s">
        <v>333</v>
      </c>
      <c r="Q7" s="769" t="str">
        <f>"Планируемый период (год "&amp;год&amp;")"</f>
        <v>Планируемый период (год 2030)</v>
      </c>
      <c r="R7" s="910"/>
      <c r="S7" s="910"/>
      <c r="T7" s="910"/>
      <c r="U7" s="910"/>
      <c r="V7" s="910"/>
      <c r="W7" s="911"/>
    </row>
    <row r="8" spans="1:25" ht="48.95" customHeight="1" x14ac:dyDescent="0.25">
      <c r="A8" s="869"/>
      <c r="B8" s="869"/>
      <c r="C8" s="755"/>
      <c r="D8" s="859"/>
      <c r="E8" s="755"/>
      <c r="F8" s="755"/>
      <c r="G8" s="787" t="s">
        <v>232</v>
      </c>
      <c r="H8" s="788"/>
      <c r="I8" s="754" t="s">
        <v>931</v>
      </c>
      <c r="J8" s="953"/>
      <c r="K8" s="787" t="s">
        <v>915</v>
      </c>
      <c r="L8" s="788"/>
      <c r="M8" s="755" t="s">
        <v>185</v>
      </c>
      <c r="N8" s="755"/>
      <c r="O8" s="232"/>
      <c r="P8" s="753"/>
      <c r="Q8" s="752" t="s">
        <v>131</v>
      </c>
      <c r="R8" s="752" t="s">
        <v>941</v>
      </c>
      <c r="S8" s="752" t="s">
        <v>237</v>
      </c>
      <c r="T8" s="755" t="s">
        <v>185</v>
      </c>
      <c r="U8" s="755"/>
      <c r="V8" s="765" t="s">
        <v>940</v>
      </c>
      <c r="W8" s="945"/>
    </row>
    <row r="9" spans="1:25" ht="60" x14ac:dyDescent="0.25">
      <c r="A9" s="783"/>
      <c r="B9" s="783"/>
      <c r="C9" s="755"/>
      <c r="D9" s="859"/>
      <c r="E9" s="755"/>
      <c r="F9" s="783"/>
      <c r="G9" s="31" t="s">
        <v>26</v>
      </c>
      <c r="H9" s="31" t="s">
        <v>25</v>
      </c>
      <c r="I9" s="233" t="s">
        <v>26</v>
      </c>
      <c r="J9" s="233" t="s">
        <v>25</v>
      </c>
      <c r="K9" s="31" t="s">
        <v>26</v>
      </c>
      <c r="L9" s="31" t="s">
        <v>25</v>
      </c>
      <c r="M9" s="31" t="s">
        <v>350</v>
      </c>
      <c r="N9" s="230" t="s">
        <v>214</v>
      </c>
      <c r="O9" s="230" t="s">
        <v>46</v>
      </c>
      <c r="P9" s="949"/>
      <c r="Q9" s="949"/>
      <c r="R9" s="949"/>
      <c r="S9" s="949"/>
      <c r="T9" s="31" t="s">
        <v>230</v>
      </c>
      <c r="U9" s="230" t="s">
        <v>214</v>
      </c>
      <c r="V9" s="233" t="s">
        <v>122</v>
      </c>
      <c r="W9" s="230" t="s">
        <v>46</v>
      </c>
    </row>
    <row r="10" spans="1:25" x14ac:dyDescent="0.25">
      <c r="A10" s="24">
        <v>1</v>
      </c>
      <c r="B10" s="225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223">
        <v>8</v>
      </c>
      <c r="I10" s="31">
        <v>9</v>
      </c>
      <c r="J10" s="31">
        <v>10</v>
      </c>
      <c r="K10" s="31">
        <v>11</v>
      </c>
      <c r="L10" s="484">
        <v>12</v>
      </c>
      <c r="M10" s="395" t="s">
        <v>233</v>
      </c>
      <c r="N10" s="395" t="s">
        <v>234</v>
      </c>
      <c r="O10" s="31">
        <v>15</v>
      </c>
      <c r="P10" s="484">
        <v>16</v>
      </c>
      <c r="Q10" s="486">
        <v>17</v>
      </c>
      <c r="R10" s="486">
        <v>18</v>
      </c>
      <c r="S10" s="460">
        <v>19</v>
      </c>
      <c r="T10" s="395" t="s">
        <v>215</v>
      </c>
      <c r="U10" s="395" t="s">
        <v>216</v>
      </c>
      <c r="V10" s="487">
        <v>21</v>
      </c>
      <c r="W10" s="486">
        <v>22</v>
      </c>
    </row>
    <row r="11" spans="1:25" s="355" customFormat="1" x14ac:dyDescent="0.25">
      <c r="A11" s="138">
        <v>1</v>
      </c>
      <c r="B11" s="141" t="s">
        <v>306</v>
      </c>
      <c r="C11" s="488" t="s">
        <v>306</v>
      </c>
      <c r="D11" s="135" t="s">
        <v>306</v>
      </c>
      <c r="E11" s="135" t="s">
        <v>306</v>
      </c>
      <c r="F11" s="130" t="s">
        <v>306</v>
      </c>
      <c r="G11" s="139" t="s">
        <v>306</v>
      </c>
      <c r="H11" s="140" t="s">
        <v>306</v>
      </c>
      <c r="I11" s="400" t="s">
        <v>306</v>
      </c>
      <c r="J11" s="132" t="s">
        <v>306</v>
      </c>
      <c r="K11" s="367" t="s">
        <v>306</v>
      </c>
      <c r="L11" s="132">
        <v>0</v>
      </c>
      <c r="M11" s="231" t="s">
        <v>306</v>
      </c>
      <c r="N11" s="367" t="s">
        <v>306</v>
      </c>
      <c r="O11" s="393" t="s">
        <v>306</v>
      </c>
      <c r="P11" s="367" t="s">
        <v>306</v>
      </c>
      <c r="Q11" s="130" t="s">
        <v>306</v>
      </c>
      <c r="R11" s="143" t="s">
        <v>306</v>
      </c>
      <c r="S11" s="143" t="s">
        <v>306</v>
      </c>
      <c r="T11" s="130" t="s">
        <v>306</v>
      </c>
      <c r="U11" s="157" t="s">
        <v>306</v>
      </c>
      <c r="V11" s="130" t="s">
        <v>306</v>
      </c>
      <c r="W11" s="130" t="s">
        <v>306</v>
      </c>
    </row>
    <row r="12" spans="1:25" s="71" customFormat="1" ht="33.950000000000003" customHeight="1" x14ac:dyDescent="0.25">
      <c r="A12" s="367" t="s">
        <v>306</v>
      </c>
      <c r="B12" s="134" t="s">
        <v>1</v>
      </c>
      <c r="C12" s="134"/>
      <c r="D12" s="135" t="s">
        <v>306</v>
      </c>
      <c r="E12" s="135" t="s">
        <v>306</v>
      </c>
      <c r="F12" s="367" t="s">
        <v>306</v>
      </c>
      <c r="G12" s="367" t="s">
        <v>306</v>
      </c>
      <c r="H12" s="367" t="s">
        <v>306</v>
      </c>
      <c r="I12" s="367" t="s">
        <v>306</v>
      </c>
      <c r="J12" s="367" t="s">
        <v>306</v>
      </c>
      <c r="K12" s="367" t="s">
        <v>306</v>
      </c>
      <c r="L12" s="133">
        <v>0</v>
      </c>
      <c r="M12" s="367" t="s">
        <v>306</v>
      </c>
      <c r="N12" s="367" t="s">
        <v>306</v>
      </c>
      <c r="O12" s="367" t="s">
        <v>306</v>
      </c>
      <c r="P12" s="367" t="s">
        <v>306</v>
      </c>
      <c r="Q12" s="367" t="s">
        <v>306</v>
      </c>
      <c r="R12" s="367" t="s">
        <v>306</v>
      </c>
      <c r="S12" s="133">
        <v>0</v>
      </c>
      <c r="T12" s="367" t="s">
        <v>306</v>
      </c>
      <c r="U12" s="367" t="s">
        <v>306</v>
      </c>
      <c r="V12" s="367" t="s">
        <v>306</v>
      </c>
      <c r="W12" s="367" t="s">
        <v>306</v>
      </c>
    </row>
    <row r="13" spans="1:25" ht="10.5" customHeight="1" x14ac:dyDescent="0.25"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8"/>
      <c r="V13" s="39"/>
      <c r="W13" s="39"/>
    </row>
    <row r="14" spans="1:25" ht="45.75" customHeight="1" x14ac:dyDescent="0.25">
      <c r="A14" s="850" t="str">
        <f>Плановая2!A60</f>
        <v>Первый заместитель Генерального директора ООО "Бенефит Бизнес"</v>
      </c>
      <c r="B14" s="850"/>
      <c r="C14" s="850"/>
      <c r="D14" s="850"/>
      <c r="E14" s="850"/>
      <c r="F14" s="850"/>
      <c r="G14" s="850"/>
      <c r="H14" s="850"/>
      <c r="I14" s="850"/>
      <c r="J14" s="850"/>
      <c r="K14" s="850"/>
      <c r="L14" s="850"/>
      <c r="M14" s="850"/>
      <c r="N14" s="850"/>
      <c r="O14" s="14"/>
      <c r="P14" s="844" t="s">
        <v>304</v>
      </c>
      <c r="Q14" s="844"/>
      <c r="R14" s="844"/>
      <c r="S14" s="844"/>
      <c r="T14" s="844"/>
      <c r="U14" s="844"/>
      <c r="V14" s="844"/>
      <c r="W14" s="844"/>
      <c r="X14" s="21"/>
      <c r="Y14" s="21"/>
    </row>
    <row r="15" spans="1:25" ht="14.25" customHeight="1" x14ac:dyDescent="0.25">
      <c r="A15" s="850"/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850"/>
      <c r="O15" s="14"/>
      <c r="P15" s="844"/>
      <c r="Q15" s="844"/>
      <c r="R15" s="844"/>
      <c r="S15" s="844"/>
      <c r="T15" s="844"/>
      <c r="U15" s="844"/>
      <c r="V15" s="844"/>
      <c r="W15" s="844"/>
      <c r="X15" s="21"/>
      <c r="Y15" s="358"/>
    </row>
    <row r="16" spans="1:25" ht="44.25" customHeight="1" x14ac:dyDescent="0.25">
      <c r="A16" s="844" t="s">
        <v>496</v>
      </c>
      <c r="B16" s="844"/>
      <c r="C16" s="844"/>
      <c r="D16" s="844"/>
      <c r="E16" s="844"/>
      <c r="F16" s="844"/>
      <c r="G16" s="844"/>
      <c r="H16" s="844"/>
      <c r="I16" s="844"/>
      <c r="J16" s="844"/>
      <c r="K16" s="844"/>
      <c r="L16" s="844"/>
      <c r="M16" s="844"/>
      <c r="N16" s="844"/>
      <c r="O16" s="14"/>
      <c r="P16" s="844" t="s">
        <v>411</v>
      </c>
      <c r="Q16" s="844"/>
      <c r="R16" s="844"/>
      <c r="S16" s="844"/>
      <c r="T16" s="844"/>
      <c r="U16" s="844"/>
      <c r="V16" s="844"/>
      <c r="W16" s="844"/>
      <c r="Y16" s="14"/>
    </row>
    <row r="17" spans="1:25" x14ac:dyDescent="0.25">
      <c r="A17" s="807" t="s">
        <v>349</v>
      </c>
      <c r="B17" s="807"/>
      <c r="C17" s="747" t="s">
        <v>497</v>
      </c>
      <c r="D17" s="747"/>
      <c r="E17" s="747"/>
      <c r="F17" s="747"/>
      <c r="G17" s="747"/>
      <c r="H17" s="747"/>
      <c r="I17" s="747"/>
      <c r="J17" s="747"/>
      <c r="K17" s="747"/>
      <c r="L17" s="747"/>
      <c r="M17" s="747"/>
      <c r="N17" s="747"/>
      <c r="O17" s="357"/>
      <c r="P17" s="747" t="s">
        <v>98</v>
      </c>
      <c r="Q17" s="747"/>
      <c r="S17" s="747" t="s">
        <v>0</v>
      </c>
      <c r="T17" s="747"/>
      <c r="U17" s="747"/>
      <c r="V17" s="747"/>
      <c r="W17" s="747"/>
      <c r="X17" s="359"/>
      <c r="Y17" s="14"/>
    </row>
    <row r="18" spans="1:25" ht="15.75" customHeight="1" x14ac:dyDescent="0.25">
      <c r="A18" s="803" t="str">
        <f>Плановая2!A63</f>
        <v>"07" апреля  2025 г.</v>
      </c>
      <c r="B18" s="803"/>
      <c r="C18" s="803"/>
      <c r="D18" s="803"/>
      <c r="E18" s="803"/>
      <c r="F18" s="803"/>
      <c r="G18" s="803"/>
      <c r="H18" s="803"/>
      <c r="I18" s="803"/>
      <c r="J18" s="803"/>
      <c r="K18" s="803"/>
      <c r="P18" s="954" t="str">
        <f>A18</f>
        <v>"07" апреля  2025 г.</v>
      </c>
      <c r="Q18" s="936"/>
      <c r="R18" s="936"/>
      <c r="S18" s="936"/>
      <c r="T18" s="936"/>
      <c r="U18" s="936"/>
      <c r="V18" s="14"/>
      <c r="W18" s="411"/>
      <c r="X18" s="14"/>
      <c r="Y18" s="411"/>
    </row>
    <row r="19" spans="1:25" s="416" customFormat="1" x14ac:dyDescent="0.25"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5" s="416" customFormat="1" x14ac:dyDescent="0.25"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5" s="416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5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2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42" bestFit="1" customWidth="1"/>
    <col min="2" max="2" width="34.140625" style="42" customWidth="1"/>
    <col min="3" max="3" width="17.42578125" style="42" customWidth="1"/>
    <col min="4" max="4" width="9.7109375" style="42" customWidth="1"/>
    <col min="5" max="5" width="13.42578125" style="42" customWidth="1"/>
    <col min="6" max="6" width="14.28515625" style="42" customWidth="1"/>
    <col min="7" max="7" width="14.7109375" style="42" customWidth="1"/>
    <col min="8" max="8" width="13.140625" style="42" customWidth="1"/>
    <col min="9" max="9" width="13.42578125" style="42" customWidth="1"/>
    <col min="10" max="10" width="21.42578125" style="42" customWidth="1"/>
    <col min="11" max="16384" width="9.140625" style="42"/>
  </cols>
  <sheetData>
    <row r="1" spans="1:24" x14ac:dyDescent="0.25">
      <c r="A1" s="489"/>
      <c r="B1" s="489"/>
      <c r="C1" s="489"/>
      <c r="D1" s="489"/>
      <c r="E1" s="489"/>
      <c r="F1" s="489"/>
      <c r="G1" s="489"/>
      <c r="H1" s="489"/>
      <c r="J1" s="490" t="s">
        <v>139</v>
      </c>
    </row>
    <row r="2" spans="1:24" x14ac:dyDescent="0.25">
      <c r="A2" s="489"/>
      <c r="B2" s="489"/>
      <c r="C2" s="489"/>
      <c r="D2" s="489"/>
      <c r="E2" s="489"/>
      <c r="F2" s="489"/>
      <c r="G2" s="489"/>
      <c r="H2" s="489"/>
    </row>
    <row r="3" spans="1:24" ht="42" customHeight="1" x14ac:dyDescent="0.25">
      <c r="A3" s="957" t="s">
        <v>942</v>
      </c>
      <c r="B3" s="957"/>
      <c r="C3" s="958"/>
      <c r="D3" s="958"/>
      <c r="E3" s="958"/>
      <c r="F3" s="958"/>
      <c r="G3" s="958"/>
      <c r="H3" s="958"/>
      <c r="I3" s="958"/>
      <c r="J3" s="958"/>
    </row>
    <row r="4" spans="1:24" ht="60" customHeight="1" x14ac:dyDescent="0.25">
      <c r="A4" s="95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59"/>
      <c r="C4" s="959"/>
      <c r="D4" s="959"/>
      <c r="E4" s="959"/>
      <c r="F4" s="959"/>
      <c r="G4" s="936"/>
      <c r="H4" s="936"/>
      <c r="I4" s="936"/>
      <c r="J4" s="936"/>
    </row>
    <row r="5" spans="1:24" x14ac:dyDescent="0.25">
      <c r="A5" s="960" t="s">
        <v>470</v>
      </c>
      <c r="B5" s="960"/>
      <c r="C5" s="960"/>
      <c r="D5" s="960"/>
      <c r="E5" s="960"/>
      <c r="F5" s="960"/>
      <c r="G5" s="960"/>
      <c r="H5" s="960"/>
      <c r="I5" s="960"/>
      <c r="J5" s="490" t="s">
        <v>21</v>
      </c>
    </row>
    <row r="6" spans="1:24" ht="33.75" customHeight="1" x14ac:dyDescent="0.25">
      <c r="A6" s="769" t="s">
        <v>44</v>
      </c>
      <c r="B6" s="965" t="s">
        <v>262</v>
      </c>
      <c r="C6" s="965" t="s">
        <v>898</v>
      </c>
      <c r="D6" s="965"/>
      <c r="E6" s="965"/>
      <c r="F6" s="965"/>
      <c r="G6" s="961" t="str">
        <f>"Планируемый период (год "&amp;год&amp;")"</f>
        <v>Планируемый период (год 2030)</v>
      </c>
      <c r="H6" s="962"/>
      <c r="I6" s="962"/>
      <c r="J6" s="963"/>
    </row>
    <row r="7" spans="1:24" ht="21.75" customHeight="1" x14ac:dyDescent="0.25">
      <c r="A7" s="769"/>
      <c r="B7" s="965"/>
      <c r="C7" s="965" t="s">
        <v>943</v>
      </c>
      <c r="D7" s="966" t="s">
        <v>351</v>
      </c>
      <c r="E7" s="967"/>
      <c r="F7" s="967"/>
      <c r="G7" s="965" t="s">
        <v>943</v>
      </c>
      <c r="H7" s="967" t="s">
        <v>351</v>
      </c>
      <c r="I7" s="967"/>
      <c r="J7" s="967"/>
    </row>
    <row r="8" spans="1:24" ht="45" customHeight="1" x14ac:dyDescent="0.25">
      <c r="A8" s="964"/>
      <c r="B8" s="965"/>
      <c r="C8" s="965"/>
      <c r="D8" s="492" t="s">
        <v>55</v>
      </c>
      <c r="E8" s="492" t="s">
        <v>17</v>
      </c>
      <c r="F8" s="492" t="s">
        <v>56</v>
      </c>
      <c r="G8" s="965"/>
      <c r="H8" s="492" t="s">
        <v>55</v>
      </c>
      <c r="I8" s="492" t="s">
        <v>17</v>
      </c>
      <c r="J8" s="492" t="s">
        <v>56</v>
      </c>
    </row>
    <row r="9" spans="1:24" ht="12" customHeight="1" x14ac:dyDescent="0.25">
      <c r="A9" s="24">
        <v>1</v>
      </c>
      <c r="B9" s="24">
        <v>2</v>
      </c>
      <c r="C9" s="24">
        <v>3</v>
      </c>
      <c r="D9" s="24">
        <v>4</v>
      </c>
      <c r="E9" s="442">
        <v>5</v>
      </c>
      <c r="F9" s="442">
        <v>6</v>
      </c>
      <c r="G9" s="442">
        <v>7</v>
      </c>
      <c r="H9" s="442">
        <v>8</v>
      </c>
      <c r="I9" s="442">
        <v>9</v>
      </c>
      <c r="J9" s="442">
        <v>10</v>
      </c>
    </row>
    <row r="10" spans="1:24" ht="30" x14ac:dyDescent="0.25">
      <c r="A10" s="29" t="s">
        <v>5</v>
      </c>
      <c r="B10" s="5" t="s">
        <v>449</v>
      </c>
      <c r="C10" s="494" t="s">
        <v>306</v>
      </c>
      <c r="D10" s="132" t="s">
        <v>306</v>
      </c>
      <c r="E10" s="132" t="s">
        <v>306</v>
      </c>
      <c r="F10" s="132" t="s">
        <v>306</v>
      </c>
      <c r="G10" s="132" t="s">
        <v>306</v>
      </c>
      <c r="H10" s="132" t="s">
        <v>306</v>
      </c>
      <c r="I10" s="132" t="s">
        <v>306</v>
      </c>
      <c r="J10" s="132" t="s">
        <v>306</v>
      </c>
    </row>
    <row r="11" spans="1:24" ht="15.75" thickBot="1" x14ac:dyDescent="0.3">
      <c r="A11" s="495"/>
      <c r="B11" s="496" t="s">
        <v>1</v>
      </c>
      <c r="C11" s="497"/>
      <c r="D11" s="498" t="s">
        <v>306</v>
      </c>
      <c r="E11" s="498" t="s">
        <v>306</v>
      </c>
      <c r="F11" s="498" t="s">
        <v>306</v>
      </c>
      <c r="G11" s="498" t="s">
        <v>306</v>
      </c>
      <c r="H11" s="498" t="s">
        <v>306</v>
      </c>
      <c r="I11" s="498" t="s">
        <v>306</v>
      </c>
      <c r="J11" s="498" t="s">
        <v>306</v>
      </c>
    </row>
    <row r="12" spans="1:24" ht="20.25" customHeight="1" x14ac:dyDescent="0.25">
      <c r="A12" s="499"/>
      <c r="B12" s="499" t="s">
        <v>352</v>
      </c>
      <c r="C12" s="500" t="s">
        <v>306</v>
      </c>
      <c r="D12" s="500" t="s">
        <v>306</v>
      </c>
      <c r="E12" s="500" t="s">
        <v>306</v>
      </c>
      <c r="F12" s="500" t="s">
        <v>306</v>
      </c>
      <c r="G12" s="500" t="s">
        <v>306</v>
      </c>
      <c r="H12" s="500" t="s">
        <v>306</v>
      </c>
      <c r="I12" s="500" t="s">
        <v>306</v>
      </c>
      <c r="J12" s="500" t="s">
        <v>306</v>
      </c>
    </row>
    <row r="13" spans="1:24" ht="26.25" customHeight="1" x14ac:dyDescent="0.25">
      <c r="A13" s="501"/>
      <c r="B13" s="501" t="s">
        <v>90</v>
      </c>
      <c r="C13" s="132" t="s">
        <v>306</v>
      </c>
      <c r="D13" s="132" t="s">
        <v>306</v>
      </c>
      <c r="E13" s="132" t="s">
        <v>306</v>
      </c>
      <c r="F13" s="132" t="s">
        <v>306</v>
      </c>
      <c r="G13" s="132" t="s">
        <v>306</v>
      </c>
      <c r="H13" s="132" t="s">
        <v>306</v>
      </c>
      <c r="I13" s="132" t="s">
        <v>306</v>
      </c>
      <c r="J13" s="132" t="s">
        <v>306</v>
      </c>
    </row>
    <row r="14" spans="1:24" ht="12.75" customHeight="1" x14ac:dyDescent="0.25">
      <c r="A14" s="502"/>
      <c r="B14" s="502"/>
      <c r="C14" s="503"/>
      <c r="D14" s="503"/>
      <c r="E14" s="503"/>
      <c r="F14" s="503"/>
      <c r="G14" s="504"/>
      <c r="H14" s="505"/>
      <c r="I14" s="503"/>
      <c r="J14" s="503"/>
    </row>
    <row r="15" spans="1:24" s="13" customFormat="1" ht="14.25" customHeight="1" x14ac:dyDescent="0.25">
      <c r="A15" s="804" t="str">
        <f>Плановая2!A60</f>
        <v>Первый заместитель Генерального директора ООО "Бенефит Бизнес"</v>
      </c>
      <c r="B15" s="804"/>
      <c r="C15" s="804"/>
      <c r="D15" s="804"/>
      <c r="E15" s="804"/>
      <c r="F15" s="804" t="s">
        <v>304</v>
      </c>
      <c r="G15" s="804"/>
      <c r="H15" s="804"/>
      <c r="I15" s="804"/>
      <c r="J15" s="804"/>
      <c r="K15" s="506"/>
      <c r="L15" s="506"/>
      <c r="M15" s="506"/>
      <c r="N15" s="506"/>
      <c r="O15" s="71"/>
      <c r="P15" s="507"/>
      <c r="Q15" s="507"/>
      <c r="R15" s="507"/>
      <c r="S15" s="507"/>
      <c r="T15" s="358"/>
      <c r="U15" s="358"/>
      <c r="V15" s="21"/>
      <c r="W15" s="21"/>
      <c r="X15" s="21"/>
    </row>
    <row r="16" spans="1:24" s="13" customFormat="1" ht="21" customHeight="1" x14ac:dyDescent="0.25">
      <c r="A16" s="804"/>
      <c r="B16" s="804"/>
      <c r="C16" s="804"/>
      <c r="D16" s="804"/>
      <c r="E16" s="804"/>
      <c r="F16" s="804"/>
      <c r="G16" s="804"/>
      <c r="H16" s="804"/>
      <c r="I16" s="804"/>
      <c r="J16" s="804"/>
      <c r="K16" s="506"/>
      <c r="L16" s="506"/>
      <c r="M16" s="506"/>
      <c r="N16" s="506"/>
      <c r="O16" s="507"/>
      <c r="P16" s="507"/>
      <c r="Q16" s="507"/>
      <c r="R16" s="507"/>
      <c r="S16" s="507"/>
      <c r="T16" s="21"/>
      <c r="U16" s="21"/>
      <c r="V16" s="21"/>
      <c r="W16" s="21"/>
      <c r="X16" s="358"/>
    </row>
    <row r="17" spans="1:24" s="13" customFormat="1" ht="30.95" customHeight="1" x14ac:dyDescent="0.25">
      <c r="A17" s="805" t="s">
        <v>509</v>
      </c>
      <c r="B17" s="805"/>
      <c r="C17" s="805"/>
      <c r="D17" s="805"/>
      <c r="E17" s="805"/>
      <c r="F17" s="805" t="s">
        <v>510</v>
      </c>
      <c r="G17" s="805"/>
      <c r="H17" s="805"/>
      <c r="I17" s="805"/>
      <c r="J17" s="805"/>
      <c r="L17" s="20"/>
      <c r="M17" s="20"/>
      <c r="N17" s="45"/>
      <c r="O17" s="42"/>
      <c r="P17" s="42"/>
      <c r="Q17" s="42"/>
      <c r="R17" s="358"/>
      <c r="S17" s="508"/>
      <c r="T17" s="508"/>
      <c r="U17" s="508"/>
      <c r="V17" s="508"/>
      <c r="X17" s="14"/>
    </row>
    <row r="18" spans="1:24" s="509" customFormat="1" ht="21" customHeight="1" x14ac:dyDescent="0.25">
      <c r="A18" s="388"/>
      <c r="B18" s="388" t="s">
        <v>349</v>
      </c>
      <c r="C18" s="747" t="s">
        <v>412</v>
      </c>
      <c r="D18" s="747"/>
      <c r="E18" s="747"/>
      <c r="F18" s="747" t="s">
        <v>349</v>
      </c>
      <c r="G18" s="747"/>
      <c r="H18" s="747" t="s">
        <v>511</v>
      </c>
      <c r="I18" s="747"/>
      <c r="J18" s="747"/>
      <c r="K18" s="747"/>
      <c r="L18" s="388"/>
      <c r="M18" s="388"/>
      <c r="O18" s="388"/>
      <c r="Q18" s="388"/>
      <c r="R18" s="388"/>
      <c r="S18" s="388"/>
      <c r="T18" s="388"/>
      <c r="U18" s="388"/>
      <c r="V18" s="388"/>
      <c r="W18" s="388"/>
    </row>
    <row r="19" spans="1:24" s="509" customFormat="1" ht="30" customHeight="1" x14ac:dyDescent="0.25">
      <c r="A19" s="956" t="str">
        <f>Плановая2!A63</f>
        <v>"07" апреля  2025 г.</v>
      </c>
      <c r="B19" s="956"/>
      <c r="C19" s="510"/>
      <c r="D19" s="511"/>
      <c r="E19" s="512"/>
      <c r="F19" s="968" t="str">
        <f>A19</f>
        <v>"07" апреля  2025 г.</v>
      </c>
      <c r="G19" s="969"/>
      <c r="H19" s="969"/>
      <c r="I19" s="969"/>
      <c r="J19" s="969"/>
      <c r="K19" s="511"/>
      <c r="L19" s="511"/>
      <c r="M19" s="511"/>
      <c r="N19" s="511"/>
      <c r="O19" s="468"/>
      <c r="P19" s="468"/>
      <c r="Q19" s="468"/>
      <c r="R19" s="468"/>
      <c r="S19" s="468"/>
      <c r="U19" s="512"/>
      <c r="V19" s="512"/>
      <c r="X19" s="512"/>
    </row>
    <row r="20" spans="1:24" ht="15" customHeight="1" x14ac:dyDescent="0.25">
      <c r="A20" s="13"/>
      <c r="B20" s="13"/>
      <c r="C20" s="13"/>
      <c r="D20" s="13"/>
      <c r="E20" s="21"/>
    </row>
    <row r="21" spans="1:24" ht="15" customHeight="1" x14ac:dyDescent="0.25">
      <c r="A21" s="807"/>
      <c r="B21" s="807"/>
      <c r="C21" s="738"/>
      <c r="D21" s="357"/>
      <c r="E21" s="21"/>
    </row>
    <row r="22" spans="1:24" ht="16.5" customHeight="1" x14ac:dyDescent="0.25">
      <c r="A22" s="748"/>
      <c r="B22" s="748"/>
      <c r="C22" s="748"/>
      <c r="D22" s="748"/>
      <c r="E22" s="21"/>
    </row>
    <row r="23" spans="1:24" ht="20.25" customHeight="1" x14ac:dyDescent="0.25">
      <c r="A23" s="13"/>
      <c r="B23" s="13"/>
      <c r="C23" s="37"/>
      <c r="D23" s="37"/>
      <c r="F23" s="21"/>
      <c r="G23" s="19"/>
      <c r="H23" s="19"/>
      <c r="I23" s="19"/>
      <c r="J23" s="19"/>
    </row>
    <row r="24" spans="1:24" ht="15" customHeight="1" x14ac:dyDescent="0.25">
      <c r="A24" s="951"/>
      <c r="B24" s="951"/>
      <c r="C24" s="951"/>
      <c r="D24" s="951"/>
      <c r="E24" s="951"/>
      <c r="F24" s="951"/>
      <c r="G24" s="951"/>
      <c r="H24" s="951"/>
      <c r="I24" s="951"/>
      <c r="J24" s="951"/>
    </row>
    <row r="25" spans="1:24" x14ac:dyDescent="0.25">
      <c r="A25" s="13"/>
      <c r="B25" s="13"/>
      <c r="C25" s="13"/>
      <c r="D25" s="13"/>
      <c r="F25" s="21"/>
      <c r="G25" s="846"/>
      <c r="H25" s="846"/>
      <c r="I25" s="489"/>
      <c r="J25" s="489"/>
    </row>
    <row r="26" spans="1:24" x14ac:dyDescent="0.25">
      <c r="A26" s="807"/>
      <c r="B26" s="807"/>
      <c r="C26" s="738"/>
      <c r="D26" s="357"/>
      <c r="F26" s="21"/>
      <c r="G26" s="846"/>
      <c r="H26" s="846"/>
      <c r="I26" s="489"/>
      <c r="J26" s="489"/>
    </row>
    <row r="27" spans="1:24" ht="12.75" customHeight="1" x14ac:dyDescent="0.25">
      <c r="A27" s="748"/>
      <c r="B27" s="748"/>
      <c r="C27" s="748"/>
      <c r="D27" s="748"/>
      <c r="E27" s="21"/>
      <c r="F27" s="21"/>
      <c r="G27" s="489"/>
      <c r="H27" s="489"/>
      <c r="I27" s="489"/>
      <c r="J27" s="489"/>
    </row>
    <row r="28" spans="1:24" ht="25.5" customHeight="1" x14ac:dyDescent="0.25">
      <c r="A28" s="489"/>
      <c r="B28" s="489"/>
      <c r="C28" s="55"/>
      <c r="D28" s="55"/>
      <c r="E28" s="227"/>
      <c r="F28" s="489"/>
      <c r="G28" s="489"/>
      <c r="H28" s="489"/>
      <c r="I28" s="489"/>
      <c r="J28" s="489"/>
    </row>
    <row r="29" spans="1:24" ht="18" customHeight="1" x14ac:dyDescent="0.25">
      <c r="A29" s="489"/>
      <c r="B29" s="489"/>
      <c r="C29" s="117"/>
      <c r="D29" s="55"/>
      <c r="E29" s="56"/>
      <c r="F29" s="489"/>
      <c r="G29" s="489"/>
      <c r="H29" s="489"/>
      <c r="I29" s="489"/>
      <c r="J29" s="489"/>
    </row>
    <row r="30" spans="1:24" x14ac:dyDescent="0.25">
      <c r="A30" s="489"/>
      <c r="B30" s="489"/>
      <c r="C30" s="513"/>
      <c r="D30" s="55"/>
      <c r="E30" s="57"/>
      <c r="F30" s="514"/>
      <c r="G30" s="489"/>
      <c r="H30" s="489"/>
      <c r="I30" s="489"/>
      <c r="J30" s="489"/>
    </row>
    <row r="31" spans="1:24" x14ac:dyDescent="0.25">
      <c r="A31" s="489"/>
      <c r="B31" s="489"/>
      <c r="C31" s="117"/>
      <c r="D31" s="55"/>
      <c r="E31" s="57"/>
      <c r="F31" s="489"/>
      <c r="G31" s="489"/>
      <c r="H31" s="489"/>
      <c r="I31" s="489"/>
      <c r="J31" s="489"/>
    </row>
    <row r="32" spans="1:24" x14ac:dyDescent="0.25">
      <c r="A32" s="489"/>
      <c r="B32" s="489"/>
      <c r="C32" s="489"/>
      <c r="D32" s="489"/>
      <c r="E32" s="489"/>
      <c r="F32" s="489"/>
      <c r="G32" s="489"/>
      <c r="H32" s="489"/>
      <c r="I32" s="489"/>
      <c r="J32" s="489"/>
    </row>
    <row r="54" s="42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489" customWidth="1"/>
    <col min="2" max="2" width="60.7109375" style="489" customWidth="1"/>
    <col min="3" max="3" width="15.42578125" style="489" customWidth="1"/>
    <col min="4" max="4" width="18" style="489" customWidth="1"/>
    <col min="5" max="5" width="13.7109375" style="489" customWidth="1"/>
    <col min="6" max="6" width="16.7109375" style="489" customWidth="1"/>
    <col min="7" max="7" width="18.7109375" style="489" customWidth="1"/>
    <col min="8" max="8" width="15.7109375" style="489" customWidth="1"/>
    <col min="9" max="9" width="19.7109375" style="489" customWidth="1"/>
    <col min="10" max="16384" width="9.140625" style="42"/>
  </cols>
  <sheetData>
    <row r="1" spans="1:9" x14ac:dyDescent="0.25">
      <c r="H1" s="974" t="s">
        <v>528</v>
      </c>
      <c r="I1" s="974"/>
    </row>
    <row r="2" spans="1:9" ht="10.5" customHeight="1" x14ac:dyDescent="0.25"/>
    <row r="3" spans="1:9" x14ac:dyDescent="0.25">
      <c r="A3" s="958" t="s">
        <v>195</v>
      </c>
      <c r="B3" s="958"/>
      <c r="C3" s="958"/>
      <c r="D3" s="958"/>
      <c r="E3" s="958"/>
      <c r="F3" s="958"/>
      <c r="G3" s="958"/>
      <c r="H3" s="958"/>
      <c r="I3" s="958"/>
    </row>
    <row r="4" spans="1:9" x14ac:dyDescent="0.25">
      <c r="A4" s="977" t="s">
        <v>916</v>
      </c>
      <c r="B4" s="978"/>
      <c r="C4" s="978"/>
      <c r="D4" s="978"/>
      <c r="E4" s="978"/>
      <c r="F4" s="978"/>
      <c r="G4" s="978"/>
      <c r="H4" s="978"/>
      <c r="I4" s="978"/>
    </row>
    <row r="5" spans="1:9" ht="28.5" customHeight="1" x14ac:dyDescent="0.25">
      <c r="A5" s="515"/>
      <c r="B5" s="516"/>
      <c r="C5" s="516"/>
      <c r="D5" s="516" t="s">
        <v>424</v>
      </c>
      <c r="E5" s="516"/>
      <c r="F5" s="516"/>
      <c r="G5" s="516"/>
      <c r="H5" s="516"/>
      <c r="I5" s="516"/>
    </row>
    <row r="6" spans="1:9" ht="60" customHeight="1" x14ac:dyDescent="0.25">
      <c r="A6" s="97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6" s="979"/>
      <c r="C6" s="979"/>
      <c r="D6" s="979"/>
      <c r="E6" s="979"/>
      <c r="F6" s="979"/>
      <c r="G6" s="979"/>
      <c r="H6" s="979"/>
      <c r="I6" s="979"/>
    </row>
    <row r="7" spans="1:9" ht="24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ht="23.1" customHeight="1" x14ac:dyDescent="0.25">
      <c r="A8" s="980" t="s">
        <v>471</v>
      </c>
      <c r="B8" s="980"/>
      <c r="C8" s="980"/>
      <c r="D8" s="980"/>
      <c r="E8" s="491"/>
      <c r="F8" s="491"/>
      <c r="G8" s="491"/>
      <c r="H8" s="491"/>
      <c r="I8" s="490" t="s">
        <v>21</v>
      </c>
    </row>
    <row r="9" spans="1:9" ht="27" customHeight="1" x14ac:dyDescent="0.25">
      <c r="A9" s="965" t="s">
        <v>44</v>
      </c>
      <c r="B9" s="967" t="s">
        <v>944</v>
      </c>
      <c r="C9" s="965" t="s">
        <v>899</v>
      </c>
      <c r="D9" s="965"/>
      <c r="E9" s="965"/>
      <c r="F9" s="965"/>
      <c r="G9" s="975" t="s">
        <v>945</v>
      </c>
      <c r="H9" s="976" t="str">
        <f>"Планируемый период (год "&amp;год&amp;")"</f>
        <v>Планируемый период (год 2030)</v>
      </c>
      <c r="I9" s="976"/>
    </row>
    <row r="10" spans="1:9" ht="29.25" customHeight="1" x14ac:dyDescent="0.25">
      <c r="A10" s="965"/>
      <c r="B10" s="967"/>
      <c r="C10" s="967" t="s">
        <v>26</v>
      </c>
      <c r="D10" s="967"/>
      <c r="E10" s="967" t="s">
        <v>900</v>
      </c>
      <c r="F10" s="967"/>
      <c r="G10" s="975"/>
      <c r="H10" s="975" t="s">
        <v>946</v>
      </c>
      <c r="I10" s="975"/>
    </row>
    <row r="11" spans="1:9" ht="45.75" customHeight="1" x14ac:dyDescent="0.25">
      <c r="A11" s="965"/>
      <c r="B11" s="967"/>
      <c r="C11" s="493" t="s">
        <v>120</v>
      </c>
      <c r="D11" s="492" t="s">
        <v>91</v>
      </c>
      <c r="E11" s="493" t="s">
        <v>120</v>
      </c>
      <c r="F11" s="492" t="s">
        <v>91</v>
      </c>
      <c r="G11" s="975"/>
      <c r="H11" s="493" t="s">
        <v>120</v>
      </c>
      <c r="I11" s="492" t="s">
        <v>91</v>
      </c>
    </row>
    <row r="12" spans="1:9" x14ac:dyDescent="0.25">
      <c r="A12" s="442">
        <v>1</v>
      </c>
      <c r="B12" s="442">
        <v>2</v>
      </c>
      <c r="C12" s="442">
        <v>3</v>
      </c>
      <c r="D12" s="442">
        <v>4</v>
      </c>
      <c r="E12" s="442">
        <v>5</v>
      </c>
      <c r="F12" s="442">
        <v>6</v>
      </c>
      <c r="G12" s="442">
        <v>7</v>
      </c>
      <c r="H12" s="442">
        <v>8</v>
      </c>
      <c r="I12" s="442">
        <v>9</v>
      </c>
    </row>
    <row r="13" spans="1:9" ht="33" customHeight="1" x14ac:dyDescent="0.25">
      <c r="A13" s="493" t="s">
        <v>5</v>
      </c>
      <c r="B13" s="501" t="s">
        <v>100</v>
      </c>
      <c r="C13" s="517" t="s">
        <v>450</v>
      </c>
      <c r="D13" s="494"/>
      <c r="E13" s="173" t="s">
        <v>306</v>
      </c>
      <c r="F13" s="173" t="s">
        <v>306</v>
      </c>
      <c r="G13" s="173" t="s">
        <v>306</v>
      </c>
      <c r="H13" s="173" t="s">
        <v>306</v>
      </c>
      <c r="I13" s="173" t="s">
        <v>306</v>
      </c>
    </row>
    <row r="14" spans="1:9" ht="15.75" thickBot="1" x14ac:dyDescent="0.3">
      <c r="A14" s="973" t="s">
        <v>1</v>
      </c>
      <c r="B14" s="973"/>
      <c r="C14" s="518" t="s">
        <v>306</v>
      </c>
      <c r="D14" s="518" t="s">
        <v>306</v>
      </c>
      <c r="E14" s="518" t="s">
        <v>306</v>
      </c>
      <c r="F14" s="497" t="s">
        <v>306</v>
      </c>
      <c r="G14" s="518" t="s">
        <v>306</v>
      </c>
      <c r="H14" s="518" t="s">
        <v>306</v>
      </c>
      <c r="I14" s="518" t="s">
        <v>306</v>
      </c>
    </row>
    <row r="15" spans="1:9" ht="33.75" customHeight="1" x14ac:dyDescent="0.25">
      <c r="A15" s="970" t="s">
        <v>947</v>
      </c>
      <c r="B15" s="970"/>
      <c r="C15" s="424" t="s">
        <v>306</v>
      </c>
      <c r="D15" s="424" t="s">
        <v>306</v>
      </c>
      <c r="E15" s="424" t="s">
        <v>306</v>
      </c>
      <c r="F15" s="424" t="s">
        <v>306</v>
      </c>
      <c r="G15" s="424" t="s">
        <v>306</v>
      </c>
      <c r="H15" s="424" t="s">
        <v>306</v>
      </c>
      <c r="I15" s="424" t="s">
        <v>306</v>
      </c>
    </row>
    <row r="16" spans="1:9" ht="25.5" customHeight="1" x14ac:dyDescent="0.25">
      <c r="A16" s="971" t="s">
        <v>206</v>
      </c>
      <c r="B16" s="971"/>
      <c r="C16" s="173" t="s">
        <v>306</v>
      </c>
      <c r="D16" s="173" t="s">
        <v>306</v>
      </c>
      <c r="E16" s="173" t="s">
        <v>306</v>
      </c>
      <c r="F16" s="173" t="s">
        <v>306</v>
      </c>
      <c r="G16" s="173" t="s">
        <v>306</v>
      </c>
      <c r="H16" s="173" t="s">
        <v>306</v>
      </c>
      <c r="I16" s="173" t="s">
        <v>306</v>
      </c>
    </row>
    <row r="17" spans="1:20" ht="17.25" customHeight="1" x14ac:dyDescent="0.25">
      <c r="A17" s="502"/>
      <c r="B17" s="66"/>
      <c r="C17" s="503"/>
      <c r="D17" s="503"/>
      <c r="E17" s="503"/>
      <c r="F17" s="503"/>
      <c r="G17" s="519"/>
      <c r="H17" s="503"/>
      <c r="I17" s="503"/>
    </row>
    <row r="18" spans="1:20" s="451" customFormat="1" ht="50.1" customHeight="1" x14ac:dyDescent="0.25">
      <c r="A18" s="850" t="str">
        <f>Плановая2!A60</f>
        <v>Первый заместитель Генерального директора ООО "Бенефит Бизнес"</v>
      </c>
      <c r="B18" s="850"/>
      <c r="C18" s="850"/>
      <c r="D18" s="850"/>
      <c r="E18" s="221"/>
      <c r="F18" s="850" t="s">
        <v>304</v>
      </c>
      <c r="G18" s="850"/>
      <c r="H18" s="850"/>
      <c r="I18" s="972"/>
    </row>
    <row r="19" spans="1:20" s="451" customFormat="1" ht="41.1" customHeight="1" x14ac:dyDescent="0.25">
      <c r="A19" s="844" t="s">
        <v>512</v>
      </c>
      <c r="B19" s="844"/>
      <c r="C19" s="844"/>
      <c r="D19" s="844"/>
      <c r="E19" s="452"/>
      <c r="F19" s="844" t="s">
        <v>413</v>
      </c>
      <c r="G19" s="844"/>
      <c r="H19" s="844"/>
      <c r="I19" s="844"/>
    </row>
    <row r="20" spans="1:20" ht="14.25" customHeight="1" x14ac:dyDescent="0.25">
      <c r="A20" s="807" t="s">
        <v>390</v>
      </c>
      <c r="B20" s="807"/>
      <c r="C20" s="807" t="s">
        <v>0</v>
      </c>
      <c r="D20" s="807"/>
      <c r="E20" s="14"/>
      <c r="F20" s="807" t="s">
        <v>391</v>
      </c>
      <c r="G20" s="807"/>
      <c r="H20" s="807" t="s">
        <v>498</v>
      </c>
      <c r="I20" s="807"/>
    </row>
    <row r="21" spans="1:20" ht="16.5" customHeight="1" x14ac:dyDescent="0.25">
      <c r="A21" s="738" t="str">
        <f>Плановая2!A63</f>
        <v>"07" апреля  2025 г.</v>
      </c>
      <c r="B21" s="738"/>
      <c r="C21" s="738"/>
      <c r="D21" s="738"/>
      <c r="E21" s="14"/>
      <c r="F21" s="738" t="str">
        <f>A21</f>
        <v>"07" апреля  2025 г.</v>
      </c>
      <c r="G21" s="738"/>
      <c r="H21" s="738"/>
      <c r="I21" s="738"/>
    </row>
    <row r="22" spans="1:20" ht="26.25" customHeight="1" x14ac:dyDescent="0.25">
      <c r="A22" s="502"/>
      <c r="B22" s="66"/>
      <c r="C22" s="503"/>
      <c r="D22" s="503"/>
      <c r="E22" s="503"/>
      <c r="F22" s="503"/>
      <c r="G22" s="519"/>
      <c r="H22" s="503"/>
      <c r="I22" s="503"/>
    </row>
    <row r="23" spans="1:20" ht="20.25" customHeight="1" x14ac:dyDescent="0.25">
      <c r="B23" s="411"/>
      <c r="C23" s="411"/>
      <c r="D23" s="389"/>
      <c r="E23" s="389"/>
    </row>
    <row r="24" spans="1:20" ht="15.75" customHeight="1" x14ac:dyDescent="0.25">
      <c r="D24" s="37"/>
      <c r="E24" s="37"/>
      <c r="F24" s="21"/>
    </row>
    <row r="25" spans="1:20" ht="27" customHeight="1" x14ac:dyDescent="0.25">
      <c r="D25" s="19"/>
      <c r="E25" s="21"/>
      <c r="O25" s="21"/>
      <c r="P25" s="21"/>
      <c r="Q25" s="21"/>
      <c r="R25" s="21"/>
      <c r="S25" s="21"/>
      <c r="T25" s="21"/>
    </row>
    <row r="26" spans="1:20" x14ac:dyDescent="0.25">
      <c r="D26" s="13"/>
      <c r="E26" s="13"/>
    </row>
    <row r="27" spans="1:20" x14ac:dyDescent="0.25">
      <c r="D27" s="457"/>
      <c r="E27" s="357"/>
      <c r="F27" s="514"/>
    </row>
    <row r="28" spans="1:20" x14ac:dyDescent="0.25">
      <c r="D28" s="411"/>
      <c r="E28" s="411"/>
    </row>
    <row r="29" spans="1:20" ht="13.5" customHeight="1" x14ac:dyDescent="0.25"/>
    <row r="36" spans="2:2" x14ac:dyDescent="0.25">
      <c r="B36" s="52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G6" sqref="G6:G8"/>
    </sheetView>
  </sheetViews>
  <sheetFormatPr defaultColWidth="9.140625" defaultRowHeight="15" x14ac:dyDescent="0.25"/>
  <cols>
    <col min="1" max="1" width="5" style="489" customWidth="1"/>
    <col min="2" max="2" width="57" style="489" customWidth="1"/>
    <col min="3" max="3" width="13.7109375" style="489" customWidth="1"/>
    <col min="4" max="4" width="17.7109375" style="489" customWidth="1"/>
    <col min="5" max="5" width="14.42578125" style="489" customWidth="1"/>
    <col min="6" max="6" width="17" style="489" customWidth="1"/>
    <col min="7" max="7" width="13.7109375" style="489" customWidth="1"/>
    <col min="8" max="8" width="15.7109375" style="489" customWidth="1"/>
    <col min="9" max="9" width="21.7109375" style="489" customWidth="1"/>
    <col min="10" max="16384" width="9.140625" style="57"/>
  </cols>
  <sheetData>
    <row r="1" spans="1:9" ht="16.5" customHeight="1" x14ac:dyDescent="0.25">
      <c r="I1" s="67" t="s">
        <v>209</v>
      </c>
    </row>
    <row r="2" spans="1:9" ht="13.5" customHeight="1" x14ac:dyDescent="0.25">
      <c r="I2" s="67"/>
    </row>
    <row r="3" spans="1:9" s="521" customFormat="1" ht="50.1" customHeight="1" x14ac:dyDescent="0.25">
      <c r="A3" s="977" t="s">
        <v>917</v>
      </c>
      <c r="B3" s="977"/>
      <c r="C3" s="977"/>
      <c r="D3" s="977"/>
      <c r="E3" s="977"/>
      <c r="F3" s="977"/>
      <c r="G3" s="977"/>
      <c r="H3" s="977"/>
      <c r="I3" s="977"/>
    </row>
    <row r="4" spans="1:9" s="521" customFormat="1" ht="51.75" customHeight="1" x14ac:dyDescent="0.25">
      <c r="A4" s="99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21"/>
      <c r="C4" s="921"/>
      <c r="D4" s="921"/>
      <c r="E4" s="921"/>
      <c r="F4" s="921"/>
      <c r="G4" s="921"/>
      <c r="H4" s="921"/>
      <c r="I4" s="921"/>
    </row>
    <row r="5" spans="1:9" s="521" customFormat="1" ht="38.1" customHeight="1" x14ac:dyDescent="0.25">
      <c r="A5" s="990" t="s">
        <v>514</v>
      </c>
      <c r="B5" s="990"/>
      <c r="C5" s="990"/>
      <c r="D5" s="990"/>
      <c r="E5" s="990"/>
      <c r="F5" s="990"/>
      <c r="G5" s="990"/>
      <c r="H5" s="522"/>
      <c r="I5" s="523" t="s">
        <v>21</v>
      </c>
    </row>
    <row r="6" spans="1:9" ht="34.5" customHeight="1" x14ac:dyDescent="0.25">
      <c r="A6" s="965" t="s">
        <v>240</v>
      </c>
      <c r="B6" s="967" t="s">
        <v>948</v>
      </c>
      <c r="C6" s="987" t="s">
        <v>901</v>
      </c>
      <c r="D6" s="988"/>
      <c r="E6" s="988"/>
      <c r="F6" s="989"/>
      <c r="G6" s="975" t="s">
        <v>949</v>
      </c>
      <c r="H6" s="976" t="str">
        <f>"Планируемый период (год "&amp;год&amp;")"</f>
        <v>Планируемый период (год 2030)</v>
      </c>
      <c r="I6" s="976"/>
    </row>
    <row r="7" spans="1:9" ht="29.25" customHeight="1" x14ac:dyDescent="0.25">
      <c r="A7" s="965"/>
      <c r="B7" s="967"/>
      <c r="C7" s="967" t="s">
        <v>26</v>
      </c>
      <c r="D7" s="967"/>
      <c r="E7" s="967" t="s">
        <v>902</v>
      </c>
      <c r="F7" s="967"/>
      <c r="G7" s="975"/>
      <c r="H7" s="975" t="s">
        <v>285</v>
      </c>
      <c r="I7" s="975"/>
    </row>
    <row r="8" spans="1:9" ht="44.25" customHeight="1" x14ac:dyDescent="0.25">
      <c r="A8" s="965"/>
      <c r="B8" s="967"/>
      <c r="C8" s="493" t="s">
        <v>120</v>
      </c>
      <c r="D8" s="492" t="s">
        <v>91</v>
      </c>
      <c r="E8" s="493" t="s">
        <v>120</v>
      </c>
      <c r="F8" s="492" t="s">
        <v>91</v>
      </c>
      <c r="G8" s="975"/>
      <c r="H8" s="493" t="s">
        <v>120</v>
      </c>
      <c r="I8" s="492" t="s">
        <v>91</v>
      </c>
    </row>
    <row r="9" spans="1:9" ht="14.25" customHeight="1" x14ac:dyDescent="0.25">
      <c r="A9" s="493">
        <v>1</v>
      </c>
      <c r="B9" s="493">
        <v>2</v>
      </c>
      <c r="C9" s="493">
        <v>3</v>
      </c>
      <c r="D9" s="493">
        <v>4</v>
      </c>
      <c r="E9" s="493">
        <v>5</v>
      </c>
      <c r="F9" s="493">
        <v>6</v>
      </c>
      <c r="G9" s="493">
        <v>7</v>
      </c>
      <c r="H9" s="493">
        <v>8</v>
      </c>
      <c r="I9" s="493">
        <v>9</v>
      </c>
    </row>
    <row r="10" spans="1:9" ht="28.5" x14ac:dyDescent="0.25">
      <c r="A10" s="493" t="s">
        <v>5</v>
      </c>
      <c r="B10" s="524" t="s">
        <v>515</v>
      </c>
      <c r="C10" s="494" t="s">
        <v>306</v>
      </c>
      <c r="D10" s="494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</row>
    <row r="11" spans="1:9" x14ac:dyDescent="0.25">
      <c r="A11" s="493" t="s">
        <v>6</v>
      </c>
      <c r="B11" s="525" t="s">
        <v>6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</row>
    <row r="12" spans="1:9" ht="19.5" customHeight="1" thickBot="1" x14ac:dyDescent="0.3">
      <c r="A12" s="981" t="s">
        <v>1</v>
      </c>
      <c r="B12" s="982"/>
      <c r="C12" s="120" t="s">
        <v>306</v>
      </c>
      <c r="D12" s="120" t="s">
        <v>306</v>
      </c>
      <c r="E12" s="120" t="s">
        <v>306</v>
      </c>
      <c r="F12" s="120" t="s">
        <v>306</v>
      </c>
      <c r="G12" s="120" t="s">
        <v>306</v>
      </c>
      <c r="H12" s="120" t="s">
        <v>306</v>
      </c>
      <c r="I12" s="120" t="s">
        <v>306</v>
      </c>
    </row>
    <row r="13" spans="1:9" ht="30.75" customHeight="1" x14ac:dyDescent="0.25">
      <c r="A13" s="983" t="s">
        <v>335</v>
      </c>
      <c r="B13" s="984"/>
      <c r="C13" s="119" t="s">
        <v>306</v>
      </c>
      <c r="D13" s="119" t="s">
        <v>306</v>
      </c>
      <c r="E13" s="119" t="s">
        <v>306</v>
      </c>
      <c r="F13" s="119" t="s">
        <v>306</v>
      </c>
      <c r="G13" s="119" t="s">
        <v>306</v>
      </c>
      <c r="H13" s="119" t="s">
        <v>306</v>
      </c>
      <c r="I13" s="119" t="s">
        <v>306</v>
      </c>
    </row>
    <row r="14" spans="1:9" ht="27.75" customHeight="1" x14ac:dyDescent="0.25">
      <c r="A14" s="985" t="s">
        <v>286</v>
      </c>
      <c r="B14" s="986"/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</row>
    <row r="15" spans="1:9" ht="18" customHeight="1" x14ac:dyDescent="0.25">
      <c r="A15" s="502"/>
      <c r="B15" s="43"/>
    </row>
    <row r="16" spans="1:9" s="277" customFormat="1" ht="44.1" customHeight="1" x14ac:dyDescent="0.2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 t="s">
        <v>304</v>
      </c>
      <c r="F16" s="850"/>
      <c r="G16" s="850"/>
      <c r="H16" s="850"/>
      <c r="I16" s="850"/>
    </row>
    <row r="17" spans="1:16" s="277" customFormat="1" ht="33.75" customHeight="1" x14ac:dyDescent="0.2">
      <c r="A17" s="844" t="s">
        <v>414</v>
      </c>
      <c r="B17" s="844"/>
      <c r="C17" s="844"/>
      <c r="D17" s="844"/>
      <c r="E17" s="844" t="s">
        <v>396</v>
      </c>
      <c r="F17" s="844"/>
      <c r="G17" s="844"/>
      <c r="H17" s="844"/>
      <c r="I17" s="844"/>
    </row>
    <row r="18" spans="1:16" ht="17.25" customHeight="1" x14ac:dyDescent="0.25">
      <c r="A18" s="845" t="s">
        <v>405</v>
      </c>
      <c r="B18" s="845"/>
      <c r="C18" s="845"/>
      <c r="D18" s="845"/>
      <c r="E18" s="454" t="s">
        <v>397</v>
      </c>
      <c r="F18" s="454"/>
      <c r="G18" s="845" t="s">
        <v>513</v>
      </c>
      <c r="H18" s="845"/>
      <c r="I18" s="22"/>
    </row>
    <row r="19" spans="1:16" ht="17.25" customHeight="1" x14ac:dyDescent="0.25">
      <c r="A19" s="738" t="str">
        <f>Плановая2!A63</f>
        <v>"07" апреля  2025 г.</v>
      </c>
      <c r="B19" s="738"/>
      <c r="C19" s="738"/>
      <c r="D19" s="738"/>
      <c r="E19" s="738" t="str">
        <f>A19</f>
        <v>"07" апреля  2025 г.</v>
      </c>
      <c r="F19" s="738"/>
      <c r="G19" s="738"/>
      <c r="H19" s="738"/>
      <c r="I19" s="738"/>
    </row>
    <row r="20" spans="1:16" ht="17.25" customHeight="1" x14ac:dyDescent="0.25">
      <c r="A20" s="358"/>
      <c r="B20" s="358"/>
      <c r="C20" s="358"/>
      <c r="D20" s="57"/>
      <c r="E20" s="21"/>
      <c r="F20" s="358"/>
      <c r="G20" s="358"/>
      <c r="H20" s="358"/>
      <c r="I20" s="57"/>
    </row>
    <row r="21" spans="1:16" ht="17.25" customHeight="1" x14ac:dyDescent="0.25">
      <c r="A21" s="20"/>
      <c r="B21" s="57"/>
      <c r="C21" s="57"/>
      <c r="D21" s="358"/>
      <c r="E21" s="21"/>
      <c r="F21" s="21"/>
      <c r="G21" s="57"/>
      <c r="H21" s="57"/>
      <c r="I21" s="57"/>
      <c r="M21" s="21"/>
      <c r="N21" s="21"/>
      <c r="O21" s="21"/>
      <c r="P21" s="21"/>
    </row>
    <row r="22" spans="1:16" ht="29.25" customHeight="1" x14ac:dyDescent="0.25">
      <c r="A22" s="57"/>
      <c r="B22" s="57"/>
      <c r="C22" s="57"/>
      <c r="D22" s="227"/>
      <c r="E22" s="227"/>
    </row>
    <row r="23" spans="1:16" ht="15.75" customHeight="1" x14ac:dyDescent="0.25">
      <c r="A23" s="526"/>
      <c r="B23" s="57"/>
      <c r="C23" s="57"/>
      <c r="D23" s="56"/>
      <c r="E23" s="56"/>
    </row>
    <row r="24" spans="1:16" ht="15.75" customHeight="1" x14ac:dyDescent="0.25">
      <c r="A24" s="56"/>
      <c r="B24" s="57"/>
      <c r="C24" s="57"/>
      <c r="D24" s="56"/>
      <c r="E24" s="57"/>
      <c r="F24" s="514"/>
    </row>
    <row r="25" spans="1:16" x14ac:dyDescent="0.25">
      <c r="B25" s="57"/>
      <c r="C25" s="57"/>
      <c r="D25" s="56"/>
      <c r="E25" s="57"/>
    </row>
    <row r="26" spans="1:16" x14ac:dyDescent="0.25">
      <c r="B26" s="115"/>
      <c r="C26" s="527"/>
      <c r="D26" s="528"/>
      <c r="E26" s="115"/>
      <c r="F26" s="514"/>
    </row>
    <row r="37" spans="2:2" x14ac:dyDescent="0.25">
      <c r="B37" s="520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532" customWidth="1"/>
    <col min="2" max="2" width="60" style="532" customWidth="1"/>
    <col min="3" max="3" width="23.42578125" style="532" customWidth="1"/>
    <col min="4" max="4" width="17.7109375" style="532" customWidth="1"/>
    <col min="5" max="5" width="13.42578125" style="532" customWidth="1"/>
    <col min="6" max="6" width="22.42578125" style="532" customWidth="1"/>
    <col min="7" max="7" width="39" style="532" customWidth="1"/>
  </cols>
  <sheetData>
    <row r="1" spans="1:7" x14ac:dyDescent="0.25">
      <c r="A1" s="43"/>
      <c r="B1" s="43"/>
      <c r="C1" s="43"/>
      <c r="D1" s="43"/>
      <c r="E1" s="43"/>
      <c r="F1" s="69"/>
      <c r="G1" s="69" t="s">
        <v>133</v>
      </c>
    </row>
    <row r="2" spans="1:7" x14ac:dyDescent="0.25">
      <c r="A2" s="43"/>
      <c r="B2" s="43"/>
      <c r="C2" s="43"/>
      <c r="D2" s="43"/>
      <c r="E2" s="43"/>
      <c r="F2" s="69"/>
      <c r="G2" s="69"/>
    </row>
    <row r="3" spans="1:7" ht="17.25" customHeight="1" x14ac:dyDescent="0.25">
      <c r="A3" s="996" t="s">
        <v>3</v>
      </c>
      <c r="B3" s="996"/>
      <c r="C3" s="996"/>
      <c r="D3" s="996"/>
      <c r="E3" s="996"/>
      <c r="F3" s="996"/>
      <c r="G3" s="996"/>
    </row>
    <row r="4" spans="1:7" x14ac:dyDescent="0.25">
      <c r="A4" s="996" t="s">
        <v>425</v>
      </c>
      <c r="B4" s="996"/>
      <c r="C4" s="996"/>
      <c r="D4" s="996"/>
      <c r="E4" s="996"/>
      <c r="F4" s="996"/>
      <c r="G4" s="996"/>
    </row>
    <row r="5" spans="1:7" ht="51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ht="17.25" customHeight="1" x14ac:dyDescent="0.25">
      <c r="A6" s="997" t="s">
        <v>49</v>
      </c>
      <c r="B6" s="997"/>
      <c r="C6" s="997"/>
      <c r="D6" s="997"/>
      <c r="E6" s="997"/>
      <c r="F6" s="997"/>
      <c r="G6" s="997"/>
    </row>
    <row r="7" spans="1:7" s="451" customFormat="1" ht="17.25" customHeight="1" x14ac:dyDescent="0.25">
      <c r="A7" s="530"/>
      <c r="B7" s="1001"/>
      <c r="C7" s="1002"/>
      <c r="D7" s="1002"/>
      <c r="E7" s="530"/>
      <c r="F7" s="530"/>
      <c r="G7" s="530"/>
    </row>
    <row r="8" spans="1:7" x14ac:dyDescent="0.25">
      <c r="A8" s="1003" t="s">
        <v>903</v>
      </c>
      <c r="B8" s="1003"/>
      <c r="C8" s="1003"/>
      <c r="D8" s="1003"/>
      <c r="E8" s="9"/>
      <c r="F8" s="9"/>
      <c r="G8" s="69" t="s">
        <v>21</v>
      </c>
    </row>
    <row r="9" spans="1:7" ht="44.25" customHeight="1" x14ac:dyDescent="0.25">
      <c r="A9" s="1000" t="s">
        <v>44</v>
      </c>
      <c r="B9" s="1000" t="s">
        <v>950</v>
      </c>
      <c r="C9" s="787" t="s">
        <v>904</v>
      </c>
      <c r="D9" s="788"/>
      <c r="E9" s="1000" t="s">
        <v>308</v>
      </c>
      <c r="F9" s="886" t="str">
        <f>"Затраты планируемого периода (год "&amp;год&amp;")"</f>
        <v>Затраты планируемого периода (год 2030)</v>
      </c>
      <c r="G9" s="1000" t="s">
        <v>951</v>
      </c>
    </row>
    <row r="10" spans="1:7" ht="53.1" customHeight="1" x14ac:dyDescent="0.25">
      <c r="A10" s="887"/>
      <c r="B10" s="887"/>
      <c r="C10" s="31" t="s">
        <v>26</v>
      </c>
      <c r="D10" s="31" t="s">
        <v>902</v>
      </c>
      <c r="E10" s="887"/>
      <c r="F10" s="887"/>
      <c r="G10" s="887"/>
    </row>
    <row r="11" spans="1:7" ht="12.75" customHeight="1" x14ac:dyDescent="0.25">
      <c r="A11" s="31">
        <v>1</v>
      </c>
      <c r="B11" s="31">
        <v>2</v>
      </c>
      <c r="C11" s="395" t="s">
        <v>40</v>
      </c>
      <c r="D11" s="395" t="s">
        <v>39</v>
      </c>
      <c r="E11" s="395" t="s">
        <v>52</v>
      </c>
      <c r="F11" s="31">
        <v>5</v>
      </c>
      <c r="G11" s="31">
        <v>6</v>
      </c>
    </row>
    <row r="12" spans="1:7" x14ac:dyDescent="0.25">
      <c r="A12" s="531" t="s">
        <v>5</v>
      </c>
      <c r="B12" s="32" t="s">
        <v>472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</row>
    <row r="13" spans="1:7" ht="15.75" thickBot="1" x14ac:dyDescent="0.3">
      <c r="A13" s="994" t="s">
        <v>1</v>
      </c>
      <c r="B13" s="995"/>
      <c r="C13" s="120" t="s">
        <v>306</v>
      </c>
      <c r="D13" s="120" t="s">
        <v>306</v>
      </c>
      <c r="E13" s="120" t="s">
        <v>306</v>
      </c>
      <c r="F13" s="120" t="s">
        <v>306</v>
      </c>
      <c r="G13" s="120" t="s">
        <v>306</v>
      </c>
    </row>
    <row r="14" spans="1:7" x14ac:dyDescent="0.25">
      <c r="A14" s="998" t="s">
        <v>266</v>
      </c>
      <c r="B14" s="999"/>
      <c r="C14" s="119" t="s">
        <v>306</v>
      </c>
      <c r="D14" s="119" t="s">
        <v>306</v>
      </c>
      <c r="E14" s="226" t="s">
        <v>50</v>
      </c>
      <c r="F14" s="119" t="s">
        <v>306</v>
      </c>
      <c r="G14" s="119" t="s">
        <v>306</v>
      </c>
    </row>
    <row r="15" spans="1:7" x14ac:dyDescent="0.25">
      <c r="A15" s="992" t="s">
        <v>80</v>
      </c>
      <c r="B15" s="993"/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</row>
    <row r="16" spans="1:7" ht="14.25" customHeight="1" x14ac:dyDescent="0.25">
      <c r="A16" s="43"/>
      <c r="B16" s="43"/>
      <c r="C16" s="43"/>
      <c r="D16" s="43"/>
      <c r="E16" s="43"/>
      <c r="F16" s="43"/>
    </row>
    <row r="17" spans="1:7" s="451" customFormat="1" ht="39" customHeight="1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1005" t="s">
        <v>304</v>
      </c>
      <c r="F17" s="1006"/>
      <c r="G17" s="1006"/>
    </row>
    <row r="18" spans="1:7" s="451" customFormat="1" ht="34.5" customHeight="1" x14ac:dyDescent="0.25">
      <c r="A18" s="844" t="s">
        <v>398</v>
      </c>
      <c r="B18" s="844"/>
      <c r="C18" s="844"/>
      <c r="D18" s="844"/>
      <c r="E18" s="844" t="s">
        <v>399</v>
      </c>
      <c r="F18" s="844"/>
      <c r="G18" s="844"/>
    </row>
    <row r="19" spans="1:7" ht="14.25" customHeight="1" x14ac:dyDescent="0.25">
      <c r="A19" s="845" t="s">
        <v>518</v>
      </c>
      <c r="B19" s="845"/>
      <c r="C19" s="845"/>
      <c r="D19" s="845"/>
      <c r="E19" s="22" t="s">
        <v>516</v>
      </c>
      <c r="F19" s="845" t="s">
        <v>517</v>
      </c>
      <c r="G19" s="845"/>
    </row>
    <row r="20" spans="1:7" ht="14.25" customHeight="1" x14ac:dyDescent="0.25">
      <c r="A20" s="738" t="str">
        <f>Плановая2!A63</f>
        <v>"07" апреля  2025 г.</v>
      </c>
      <c r="B20" s="738"/>
      <c r="C20" s="738"/>
      <c r="D20" s="738"/>
      <c r="E20" s="738" t="str">
        <f>A20</f>
        <v>"07" апреля  2025 г.</v>
      </c>
      <c r="F20" s="738"/>
      <c r="G20" s="738"/>
    </row>
    <row r="21" spans="1:7" ht="15.75" customHeight="1" x14ac:dyDescent="0.25">
      <c r="A21" s="358"/>
      <c r="B21" s="358"/>
      <c r="C21" s="358"/>
      <c r="D21" s="57"/>
      <c r="E21" s="21"/>
      <c r="F21" s="358"/>
      <c r="G21" s="358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27"/>
    </row>
    <row r="25" spans="1:7" ht="15" customHeight="1" x14ac:dyDescent="0.25">
      <c r="A25" s="36"/>
      <c r="B25" s="457"/>
      <c r="C25"/>
      <c r="D25"/>
      <c r="E25"/>
    </row>
    <row r="26" spans="1:7" ht="15" customHeight="1" x14ac:dyDescent="0.25">
      <c r="A26" s="411"/>
      <c r="B26" s="411"/>
      <c r="C26"/>
      <c r="D26"/>
      <c r="E26"/>
    </row>
    <row r="27" spans="1:7" ht="7.5" customHeight="1" x14ac:dyDescent="0.25">
      <c r="A27" s="21"/>
      <c r="B27" s="21"/>
      <c r="C27" s="9"/>
      <c r="D27" s="9"/>
      <c r="E27" s="9"/>
    </row>
    <row r="28" spans="1:7" ht="36" customHeight="1" x14ac:dyDescent="0.25">
      <c r="A28" s="21"/>
      <c r="B28" s="21"/>
      <c r="C28"/>
      <c r="D28"/>
      <c r="E28"/>
      <c r="F28"/>
      <c r="G28"/>
    </row>
    <row r="29" spans="1:7" x14ac:dyDescent="0.25">
      <c r="A29" s="21"/>
      <c r="B29" s="21"/>
      <c r="C29"/>
      <c r="D29"/>
      <c r="E29"/>
      <c r="F29" s="533"/>
      <c r="G29" s="534"/>
    </row>
    <row r="30" spans="1:7" ht="15" customHeight="1" x14ac:dyDescent="0.25">
      <c r="A30" s="21"/>
      <c r="B30" s="21"/>
      <c r="C30"/>
      <c r="D30"/>
      <c r="E30"/>
      <c r="F30"/>
      <c r="G30"/>
    </row>
    <row r="31" spans="1:7" x14ac:dyDescent="0.25">
      <c r="A31" s="21"/>
      <c r="B31" s="21"/>
      <c r="C31"/>
      <c r="D31"/>
      <c r="E31"/>
      <c r="F31"/>
      <c r="G31"/>
    </row>
    <row r="32" spans="1:7" ht="9" customHeight="1" x14ac:dyDescent="0.25">
      <c r="B32" s="1004"/>
      <c r="C32" s="1004"/>
      <c r="D32" s="1004"/>
      <c r="E32" s="1004"/>
      <c r="F32" s="1004"/>
      <c r="G32" s="1004"/>
    </row>
    <row r="33" spans="2:2" ht="15" customHeight="1" x14ac:dyDescent="0.25"/>
    <row r="40" spans="2:2" x14ac:dyDescent="0.25">
      <c r="B40" s="53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5" x14ac:dyDescent="0.25"/>
  <cols>
    <col min="1" max="1" width="6.140625" style="21" customWidth="1"/>
    <col min="2" max="2" width="41.42578125" style="21" customWidth="1"/>
    <col min="3" max="3" width="23" style="21" customWidth="1"/>
    <col min="4" max="4" width="16.28515625" style="21" customWidth="1"/>
    <col min="5" max="5" width="12.85546875" style="21" customWidth="1"/>
    <col min="6" max="7" width="14.140625" style="21" customWidth="1"/>
    <col min="8" max="8" width="11" style="21" customWidth="1"/>
    <col min="9" max="9" width="8.28515625" style="21" customWidth="1"/>
    <col min="10" max="10" width="12.7109375" style="21" customWidth="1"/>
    <col min="11" max="11" width="10.7109375" style="21" customWidth="1"/>
    <col min="12" max="12" width="11.140625" style="21" customWidth="1"/>
    <col min="13" max="13" width="14" style="21" customWidth="1"/>
    <col min="14" max="14" width="13.140625" style="21" customWidth="1"/>
    <col min="15" max="15" width="1.42578125" style="21" customWidth="1"/>
    <col min="16" max="16384" width="0.7109375" style="21"/>
  </cols>
  <sheetData>
    <row r="1" spans="1:14" ht="17.25" customHeight="1" x14ac:dyDescent="0.25">
      <c r="L1" s="891" t="s">
        <v>138</v>
      </c>
      <c r="M1" s="891"/>
      <c r="N1" s="891"/>
    </row>
    <row r="2" spans="1:14" ht="17.25" customHeight="1" x14ac:dyDescent="0.25">
      <c r="M2" s="536"/>
      <c r="N2" s="536"/>
    </row>
    <row r="3" spans="1:14" ht="39.75" customHeight="1" x14ac:dyDescent="0.25">
      <c r="A3" s="864" t="s">
        <v>287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</row>
    <row r="4" spans="1:14" ht="63.9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10"/>
      <c r="C4" s="1010"/>
      <c r="D4" s="1010"/>
      <c r="E4" s="1010"/>
      <c r="F4" s="1010"/>
      <c r="G4" s="1010"/>
      <c r="H4" s="1010"/>
      <c r="I4" s="1010"/>
      <c r="J4" s="1010"/>
      <c r="K4" s="1010"/>
      <c r="L4" s="1010"/>
      <c r="M4" s="1010"/>
      <c r="N4" s="1010"/>
    </row>
    <row r="5" spans="1:14" s="359" customFormat="1" ht="28.5" customHeight="1" x14ac:dyDescent="0.25">
      <c r="A5" s="1013" t="s">
        <v>137</v>
      </c>
      <c r="B5" s="1013"/>
      <c r="C5" s="1013"/>
      <c r="D5" s="1013"/>
      <c r="E5" s="1013"/>
      <c r="F5" s="1013"/>
      <c r="G5" s="1013"/>
      <c r="H5" s="1013"/>
      <c r="I5" s="1013"/>
      <c r="J5" s="1013"/>
      <c r="K5" s="1013"/>
      <c r="L5" s="1013"/>
      <c r="M5" s="1013"/>
      <c r="N5" s="1013"/>
    </row>
    <row r="6" spans="1:14" ht="24.75" customHeight="1" x14ac:dyDescent="0.25">
      <c r="A6" s="21" t="s">
        <v>58</v>
      </c>
      <c r="B6" s="537" t="s">
        <v>473</v>
      </c>
      <c r="N6" s="536"/>
    </row>
    <row r="7" spans="1:14" ht="75" customHeight="1" x14ac:dyDescent="0.25">
      <c r="A7" s="896" t="s">
        <v>9</v>
      </c>
      <c r="B7" s="896" t="s">
        <v>53</v>
      </c>
      <c r="C7" s="896" t="s">
        <v>519</v>
      </c>
      <c r="D7" s="765" t="s">
        <v>584</v>
      </c>
      <c r="E7" s="912"/>
      <c r="F7" s="912"/>
      <c r="G7" s="912"/>
      <c r="H7" s="912"/>
      <c r="I7" s="912"/>
      <c r="J7" s="1009"/>
      <c r="K7" s="755" t="s">
        <v>101</v>
      </c>
      <c r="L7" s="755"/>
      <c r="M7" s="765" t="s">
        <v>288</v>
      </c>
      <c r="N7" s="1009"/>
    </row>
    <row r="8" spans="1:14" ht="15.75" customHeight="1" x14ac:dyDescent="0.25">
      <c r="A8" s="1012"/>
      <c r="B8" s="1012"/>
      <c r="C8" s="1012"/>
      <c r="D8" s="896" t="s">
        <v>81</v>
      </c>
      <c r="E8" s="896" t="s">
        <v>354</v>
      </c>
      <c r="F8" s="896" t="s">
        <v>263</v>
      </c>
      <c r="G8" s="896" t="s">
        <v>289</v>
      </c>
      <c r="H8" s="769" t="s">
        <v>14</v>
      </c>
      <c r="I8" s="910"/>
      <c r="J8" s="911"/>
      <c r="K8" s="755" t="s">
        <v>230</v>
      </c>
      <c r="L8" s="755" t="s">
        <v>214</v>
      </c>
      <c r="M8" s="1014" t="s">
        <v>122</v>
      </c>
      <c r="N8" s="1000" t="s">
        <v>46</v>
      </c>
    </row>
    <row r="9" spans="1:14" ht="39" customHeight="1" x14ac:dyDescent="0.25">
      <c r="A9" s="1012"/>
      <c r="B9" s="1012"/>
      <c r="C9" s="1012"/>
      <c r="D9" s="1012"/>
      <c r="E9" s="1012"/>
      <c r="F9" s="1012"/>
      <c r="G9" s="1012"/>
      <c r="H9" s="765" t="s">
        <v>918</v>
      </c>
      <c r="I9" s="1009"/>
      <c r="J9" s="1011" t="str">
        <f>"плановые затраты на "&amp;год&amp;" г."</f>
        <v>плановые затраты на 2030 г.</v>
      </c>
      <c r="K9" s="755"/>
      <c r="L9" s="755"/>
      <c r="M9" s="1015"/>
      <c r="N9" s="1018"/>
    </row>
    <row r="10" spans="1:14" ht="39" customHeight="1" x14ac:dyDescent="0.25">
      <c r="A10" s="897"/>
      <c r="B10" s="897"/>
      <c r="C10" s="897"/>
      <c r="D10" s="897"/>
      <c r="E10" s="897"/>
      <c r="F10" s="897"/>
      <c r="G10" s="897"/>
      <c r="H10" s="230" t="s">
        <v>26</v>
      </c>
      <c r="I10" s="230" t="s">
        <v>25</v>
      </c>
      <c r="J10" s="897"/>
      <c r="K10" s="755"/>
      <c r="L10" s="755"/>
      <c r="M10" s="1016"/>
      <c r="N10" s="887"/>
    </row>
    <row r="11" spans="1:14" x14ac:dyDescent="0.25">
      <c r="A11" s="29">
        <v>1</v>
      </c>
      <c r="B11" s="29">
        <v>2</v>
      </c>
      <c r="C11" s="29">
        <v>3</v>
      </c>
      <c r="D11" s="29">
        <v>4</v>
      </c>
      <c r="E11" s="29">
        <v>5</v>
      </c>
      <c r="F11" s="29">
        <v>6</v>
      </c>
      <c r="G11" s="29">
        <v>7</v>
      </c>
      <c r="H11" s="10" t="s">
        <v>196</v>
      </c>
      <c r="I11" s="10" t="s">
        <v>197</v>
      </c>
      <c r="J11" s="10" t="s">
        <v>73</v>
      </c>
      <c r="K11" s="10" t="s">
        <v>74</v>
      </c>
      <c r="L11" s="10" t="s">
        <v>75</v>
      </c>
      <c r="M11" s="234">
        <v>9</v>
      </c>
      <c r="N11" s="29">
        <v>10</v>
      </c>
    </row>
    <row r="12" spans="1:14" s="71" customFormat="1" ht="34.5" customHeight="1" x14ac:dyDescent="0.25">
      <c r="A12" s="10" t="s">
        <v>5</v>
      </c>
      <c r="B12" s="5" t="s">
        <v>107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22" t="s">
        <v>306</v>
      </c>
      <c r="N12" s="116" t="s">
        <v>306</v>
      </c>
    </row>
    <row r="13" spans="1:14" ht="14.25" customHeight="1" x14ac:dyDescent="0.25">
      <c r="A13" s="10" t="s">
        <v>34</v>
      </c>
      <c r="B13" s="17" t="s">
        <v>474</v>
      </c>
      <c r="C13" s="29"/>
      <c r="D13" s="29"/>
      <c r="E13" s="29"/>
      <c r="F13" s="29"/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22" t="s">
        <v>306</v>
      </c>
      <c r="N13" s="116" t="s">
        <v>306</v>
      </c>
    </row>
    <row r="14" spans="1:14" ht="14.25" customHeight="1" x14ac:dyDescent="0.25">
      <c r="A14" s="10" t="s">
        <v>33</v>
      </c>
      <c r="B14" s="116" t="s">
        <v>306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22" t="s">
        <v>306</v>
      </c>
      <c r="N14" s="116" t="s">
        <v>306</v>
      </c>
    </row>
    <row r="15" spans="1:14" ht="14.25" customHeight="1" x14ac:dyDescent="0.25">
      <c r="A15" s="10" t="s">
        <v>6</v>
      </c>
      <c r="B15" s="10" t="s">
        <v>6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22" t="s">
        <v>306</v>
      </c>
      <c r="N15" s="116" t="s">
        <v>306</v>
      </c>
    </row>
    <row r="16" spans="1:14" s="71" customFormat="1" ht="49.5" customHeight="1" x14ac:dyDescent="0.25">
      <c r="A16" s="10" t="s">
        <v>7</v>
      </c>
      <c r="B16" s="5" t="s">
        <v>451</v>
      </c>
      <c r="C16" s="116" t="s">
        <v>306</v>
      </c>
      <c r="D16" s="116" t="s">
        <v>306</v>
      </c>
      <c r="E16" s="116" t="s">
        <v>306</v>
      </c>
      <c r="F16" s="11" t="s">
        <v>82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" t="s">
        <v>82</v>
      </c>
      <c r="L16" s="11" t="s">
        <v>82</v>
      </c>
      <c r="M16" s="118" t="s">
        <v>82</v>
      </c>
      <c r="N16" s="11" t="s">
        <v>82</v>
      </c>
    </row>
    <row r="17" spans="1:14" ht="14.25" customHeight="1" x14ac:dyDescent="0.25">
      <c r="A17" s="10" t="s">
        <v>43</v>
      </c>
      <c r="B17" s="116" t="s">
        <v>306</v>
      </c>
      <c r="C17" s="116" t="s">
        <v>306</v>
      </c>
      <c r="D17" s="116" t="s">
        <v>306</v>
      </c>
      <c r="E17" s="116" t="s">
        <v>306</v>
      </c>
      <c r="F17" s="11" t="s">
        <v>82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" t="s">
        <v>82</v>
      </c>
      <c r="L17" s="11" t="s">
        <v>82</v>
      </c>
      <c r="M17" s="118" t="s">
        <v>82</v>
      </c>
      <c r="N17" s="11" t="s">
        <v>82</v>
      </c>
    </row>
    <row r="18" spans="1:14" ht="14.25" customHeight="1" x14ac:dyDescent="0.25">
      <c r="A18" s="10" t="s">
        <v>41</v>
      </c>
      <c r="B18" s="116" t="s">
        <v>306</v>
      </c>
      <c r="C18" s="116" t="s">
        <v>306</v>
      </c>
      <c r="D18" s="116" t="s">
        <v>306</v>
      </c>
      <c r="E18" s="116" t="s">
        <v>306</v>
      </c>
      <c r="F18" s="11" t="s">
        <v>82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" t="s">
        <v>82</v>
      </c>
      <c r="L18" s="11" t="s">
        <v>82</v>
      </c>
      <c r="M18" s="118" t="s">
        <v>82</v>
      </c>
      <c r="N18" s="11" t="s">
        <v>82</v>
      </c>
    </row>
    <row r="19" spans="1:14" ht="14.25" customHeight="1" x14ac:dyDescent="0.25">
      <c r="A19" s="10" t="s">
        <v>6</v>
      </c>
      <c r="B19" s="10" t="s">
        <v>6</v>
      </c>
      <c r="C19" s="116" t="s">
        <v>306</v>
      </c>
      <c r="D19" s="116" t="s">
        <v>306</v>
      </c>
      <c r="E19" s="116" t="s">
        <v>306</v>
      </c>
      <c r="F19" s="11" t="s">
        <v>82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" t="s">
        <v>82</v>
      </c>
      <c r="L19" s="11" t="s">
        <v>82</v>
      </c>
      <c r="M19" s="118" t="s">
        <v>82</v>
      </c>
      <c r="N19" s="11" t="s">
        <v>82</v>
      </c>
    </row>
    <row r="20" spans="1:14" s="71" customFormat="1" ht="14.25" customHeight="1" x14ac:dyDescent="0.25">
      <c r="A20" s="10"/>
      <c r="B20" s="12" t="s">
        <v>54</v>
      </c>
      <c r="C20" s="116" t="s">
        <v>306</v>
      </c>
      <c r="D20" s="116" t="s">
        <v>306</v>
      </c>
      <c r="E20" s="116" t="s">
        <v>306</v>
      </c>
      <c r="F20" s="121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" t="s">
        <v>82</v>
      </c>
      <c r="L20" s="11" t="s">
        <v>82</v>
      </c>
      <c r="M20" s="118" t="s">
        <v>82</v>
      </c>
      <c r="N20" s="11" t="s">
        <v>82</v>
      </c>
    </row>
    <row r="21" spans="1:14" ht="9.75" customHeight="1" x14ac:dyDescent="0.25">
      <c r="A21" s="72"/>
      <c r="B21" s="73"/>
      <c r="C21" s="20"/>
      <c r="D21" s="20"/>
      <c r="E21" s="20"/>
      <c r="F21" s="20"/>
      <c r="G21" s="20"/>
      <c r="H21" s="20"/>
      <c r="I21" s="20"/>
      <c r="J21" s="20"/>
      <c r="K21" s="20"/>
      <c r="L21" s="74"/>
      <c r="M21" s="74"/>
      <c r="N21" s="74"/>
    </row>
    <row r="22" spans="1:14" s="368" customFormat="1" ht="39" customHeight="1" x14ac:dyDescent="0.2">
      <c r="A22" s="771" t="str">
        <f>Плановая2!A60</f>
        <v>Первый заместитель Генерального директора ООО "Бенефит Бизнес"</v>
      </c>
      <c r="B22" s="771"/>
      <c r="C22" s="771"/>
      <c r="D22" s="771"/>
      <c r="E22" s="771"/>
      <c r="F22" s="771"/>
      <c r="G22" s="771" t="s">
        <v>304</v>
      </c>
      <c r="H22" s="771"/>
      <c r="I22" s="771"/>
      <c r="J22" s="771"/>
      <c r="K22" s="771"/>
      <c r="L22" s="771"/>
      <c r="M22" s="771"/>
      <c r="N22" s="771"/>
    </row>
    <row r="23" spans="1:14" s="368" customFormat="1" ht="39" customHeight="1" x14ac:dyDescent="0.2">
      <c r="A23" s="844" t="s">
        <v>520</v>
      </c>
      <c r="B23" s="844"/>
      <c r="C23" s="844"/>
      <c r="D23" s="844"/>
      <c r="E23" s="844"/>
      <c r="F23" s="844"/>
      <c r="G23" s="1007" t="s">
        <v>402</v>
      </c>
      <c r="H23" s="1007"/>
      <c r="I23" s="1007"/>
      <c r="J23" s="1007"/>
      <c r="K23" s="1007"/>
      <c r="L23" s="1007"/>
      <c r="M23" s="1007"/>
      <c r="N23" s="1007"/>
    </row>
    <row r="24" spans="1:14" ht="15.75" customHeight="1" x14ac:dyDescent="0.25">
      <c r="A24" s="845" t="s">
        <v>389</v>
      </c>
      <c r="B24" s="845"/>
      <c r="C24" s="845"/>
      <c r="D24" s="845"/>
      <c r="E24" s="845"/>
      <c r="F24" s="22"/>
      <c r="G24" s="1008" t="s">
        <v>395</v>
      </c>
      <c r="H24" s="1008"/>
      <c r="I24" s="1008"/>
      <c r="J24" s="1008"/>
      <c r="K24" s="1008"/>
      <c r="L24" s="1008"/>
      <c r="M24" s="1008"/>
      <c r="N24" s="1008"/>
    </row>
    <row r="25" spans="1:14" ht="18" customHeight="1" x14ac:dyDescent="0.25">
      <c r="A25" s="738" t="str">
        <f>Плановая2!A63</f>
        <v>"07" апреля  2025 г.</v>
      </c>
      <c r="B25" s="738"/>
      <c r="C25" s="738"/>
      <c r="D25" s="738"/>
      <c r="E25" s="53"/>
      <c r="G25" s="1017" t="str">
        <f>A25</f>
        <v>"07" апреля  2025 г.</v>
      </c>
      <c r="H25" s="1017"/>
      <c r="I25" s="1017"/>
      <c r="J25" s="1017"/>
      <c r="K25" s="1017"/>
      <c r="L25" s="1017"/>
    </row>
    <row r="26" spans="1:14" ht="18" customHeight="1" x14ac:dyDescent="0.25">
      <c r="A26" s="358"/>
      <c r="B26" s="358"/>
      <c r="C26" s="358"/>
      <c r="D26" s="57"/>
      <c r="E26" s="20"/>
      <c r="F26" s="20"/>
      <c r="G26" s="20"/>
      <c r="H26" s="20"/>
      <c r="I26" s="20"/>
      <c r="J26" s="20"/>
      <c r="K26" s="20"/>
      <c r="L26" s="74"/>
      <c r="M26" s="74"/>
      <c r="N26" s="74"/>
    </row>
    <row r="27" spans="1:14" ht="9.75" customHeight="1" x14ac:dyDescent="0.25">
      <c r="A27" s="78"/>
      <c r="B27" s="78"/>
      <c r="C27" s="78"/>
    </row>
    <row r="28" spans="1:14" ht="17.25" customHeight="1" x14ac:dyDescent="0.25">
      <c r="A28" s="78"/>
      <c r="B28" s="78"/>
      <c r="C28" s="78"/>
    </row>
    <row r="29" spans="1:14" ht="18.75" customHeight="1" x14ac:dyDescent="0.25">
      <c r="A29" s="78"/>
      <c r="B29" s="78"/>
      <c r="C29" s="78"/>
    </row>
    <row r="30" spans="1:14" ht="15" customHeight="1" x14ac:dyDescent="0.25">
      <c r="A30" s="78"/>
      <c r="B30" s="78"/>
      <c r="C30" s="78"/>
    </row>
    <row r="31" spans="1:14" ht="17.25" customHeight="1" x14ac:dyDescent="0.25">
      <c r="A31" s="78"/>
      <c r="B31" s="78"/>
      <c r="C31" s="78"/>
    </row>
    <row r="42" spans="2:2" x14ac:dyDescent="0.25">
      <c r="B42" s="19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7"/>
  <sheetViews>
    <sheetView view="pageBreakPreview" topLeftCell="A2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73" bestFit="1" customWidth="1"/>
    <col min="2" max="2" width="92.85546875" style="373" customWidth="1"/>
    <col min="3" max="3" width="25.7109375" style="373" customWidth="1"/>
    <col min="4" max="4" width="23.7109375" style="373" customWidth="1"/>
    <col min="5" max="5" width="19" style="373" customWidth="1"/>
    <col min="6" max="6" width="24" style="373" customWidth="1"/>
    <col min="7" max="16384" width="0.7109375" style="373"/>
  </cols>
  <sheetData>
    <row r="1" spans="1:6" x14ac:dyDescent="0.25">
      <c r="E1" s="826" t="s">
        <v>123</v>
      </c>
      <c r="F1" s="826"/>
    </row>
    <row r="3" spans="1:6" s="368" customFormat="1" ht="14.25" x14ac:dyDescent="0.2">
      <c r="A3" s="827" t="s">
        <v>3</v>
      </c>
      <c r="B3" s="827"/>
      <c r="C3" s="827"/>
      <c r="D3" s="827"/>
      <c r="E3" s="827"/>
      <c r="F3" s="827"/>
    </row>
    <row r="4" spans="1:6" s="237" customFormat="1" ht="14.25" x14ac:dyDescent="0.2">
      <c r="A4" s="1019" t="s">
        <v>244</v>
      </c>
      <c r="B4" s="1019"/>
      <c r="C4" s="1019"/>
      <c r="D4" s="1019"/>
      <c r="E4" s="1019"/>
      <c r="F4" s="1019"/>
    </row>
    <row r="5" spans="1:6" s="237" customFormat="1" ht="47.25" customHeight="1" x14ac:dyDescent="0.2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</row>
    <row r="6" spans="1:6" s="418" customFormat="1" x14ac:dyDescent="0.25">
      <c r="A6" s="828" t="s">
        <v>89</v>
      </c>
      <c r="B6" s="828"/>
      <c r="C6" s="828"/>
      <c r="D6" s="828"/>
      <c r="E6" s="828"/>
      <c r="F6" s="828"/>
    </row>
    <row r="7" spans="1:6" x14ac:dyDescent="0.25">
      <c r="B7" s="538" t="s">
        <v>475</v>
      </c>
      <c r="F7" s="425"/>
    </row>
    <row r="8" spans="1:6" s="418" customFormat="1" ht="15" customHeight="1" x14ac:dyDescent="0.25">
      <c r="A8" s="823" t="s">
        <v>44</v>
      </c>
      <c r="B8" s="823" t="s">
        <v>186</v>
      </c>
      <c r="C8" s="835" t="s">
        <v>905</v>
      </c>
      <c r="D8" s="836"/>
      <c r="E8" s="823" t="s">
        <v>308</v>
      </c>
      <c r="F8" s="816" t="str">
        <f>"Затраты планируемого периода (год "&amp;год&amp;") (руб.)"</f>
        <v>Затраты планируемого периода (год 2030) (руб.)</v>
      </c>
    </row>
    <row r="9" spans="1:6" s="418" customFormat="1" x14ac:dyDescent="0.25">
      <c r="A9" s="818"/>
      <c r="B9" s="818"/>
      <c r="C9" s="157" t="s">
        <v>26</v>
      </c>
      <c r="D9" s="157" t="s">
        <v>25</v>
      </c>
      <c r="E9" s="818"/>
      <c r="F9" s="818"/>
    </row>
    <row r="10" spans="1:6" s="418" customFormat="1" x14ac:dyDescent="0.25">
      <c r="A10" s="130">
        <v>1</v>
      </c>
      <c r="B10" s="130">
        <v>2</v>
      </c>
      <c r="C10" s="371" t="s">
        <v>40</v>
      </c>
      <c r="D10" s="371" t="s">
        <v>39</v>
      </c>
      <c r="E10" s="130">
        <v>4</v>
      </c>
      <c r="F10" s="130">
        <v>5</v>
      </c>
    </row>
    <row r="11" spans="1:6" s="542" customFormat="1" x14ac:dyDescent="0.25">
      <c r="A11" s="539"/>
      <c r="B11" s="540" t="s">
        <v>102</v>
      </c>
      <c r="C11" s="541" t="s">
        <v>306</v>
      </c>
      <c r="D11" s="541" t="s">
        <v>306</v>
      </c>
      <c r="E11" s="541" t="s">
        <v>306</v>
      </c>
      <c r="F11" s="541" t="s">
        <v>306</v>
      </c>
    </row>
    <row r="12" spans="1:6" s="542" customFormat="1" x14ac:dyDescent="0.25">
      <c r="A12" s="543"/>
      <c r="B12" s="544" t="s">
        <v>14</v>
      </c>
      <c r="C12" s="541" t="s">
        <v>306</v>
      </c>
      <c r="D12" s="541" t="s">
        <v>306</v>
      </c>
      <c r="E12" s="541" t="s">
        <v>306</v>
      </c>
      <c r="F12" s="541" t="s">
        <v>306</v>
      </c>
    </row>
    <row r="13" spans="1:6" s="418" customFormat="1" x14ac:dyDescent="0.25">
      <c r="A13" s="543" t="s">
        <v>5</v>
      </c>
      <c r="B13" s="544" t="s">
        <v>221</v>
      </c>
      <c r="C13" s="541" t="s">
        <v>306</v>
      </c>
      <c r="D13" s="541" t="s">
        <v>306</v>
      </c>
      <c r="E13" s="130" t="s">
        <v>82</v>
      </c>
      <c r="F13" s="541" t="s">
        <v>306</v>
      </c>
    </row>
    <row r="14" spans="1:6" s="418" customFormat="1" x14ac:dyDescent="0.25">
      <c r="A14" s="543" t="s">
        <v>7</v>
      </c>
      <c r="B14" s="544" t="s">
        <v>222</v>
      </c>
      <c r="C14" s="541" t="s">
        <v>306</v>
      </c>
      <c r="D14" s="541" t="s">
        <v>306</v>
      </c>
      <c r="E14" s="541" t="s">
        <v>306</v>
      </c>
      <c r="F14" s="541" t="s">
        <v>306</v>
      </c>
    </row>
    <row r="15" spans="1:6" s="418" customFormat="1" x14ac:dyDescent="0.25">
      <c r="A15" s="543" t="s">
        <v>217</v>
      </c>
      <c r="B15" s="544" t="s">
        <v>223</v>
      </c>
      <c r="C15" s="541" t="s">
        <v>306</v>
      </c>
      <c r="D15" s="541" t="s">
        <v>306</v>
      </c>
      <c r="E15" s="541" t="s">
        <v>306</v>
      </c>
      <c r="F15" s="541" t="s">
        <v>306</v>
      </c>
    </row>
    <row r="16" spans="1:6" s="418" customFormat="1" x14ac:dyDescent="0.25">
      <c r="A16" s="543"/>
      <c r="B16" s="544" t="s">
        <v>108</v>
      </c>
      <c r="C16" s="541" t="s">
        <v>306</v>
      </c>
      <c r="D16" s="541" t="s">
        <v>306</v>
      </c>
      <c r="E16" s="541" t="s">
        <v>306</v>
      </c>
      <c r="F16" s="541" t="s">
        <v>306</v>
      </c>
    </row>
    <row r="17" spans="1:6" s="418" customFormat="1" x14ac:dyDescent="0.25">
      <c r="A17" s="543"/>
      <c r="B17" s="544" t="s">
        <v>109</v>
      </c>
      <c r="C17" s="541" t="s">
        <v>306</v>
      </c>
      <c r="D17" s="541" t="s">
        <v>306</v>
      </c>
      <c r="E17" s="541" t="s">
        <v>306</v>
      </c>
      <c r="F17" s="541" t="s">
        <v>306</v>
      </c>
    </row>
    <row r="18" spans="1:6" s="418" customFormat="1" ht="18" x14ac:dyDescent="0.25">
      <c r="A18" s="543"/>
      <c r="B18" s="544" t="s">
        <v>952</v>
      </c>
      <c r="C18" s="541" t="s">
        <v>306</v>
      </c>
      <c r="D18" s="541" t="s">
        <v>306</v>
      </c>
      <c r="E18" s="130" t="s">
        <v>82</v>
      </c>
      <c r="F18" s="541" t="s">
        <v>306</v>
      </c>
    </row>
    <row r="19" spans="1:6" s="418" customFormat="1" x14ac:dyDescent="0.25">
      <c r="A19" s="543"/>
      <c r="B19" s="544" t="s">
        <v>181</v>
      </c>
      <c r="C19" s="541" t="s">
        <v>306</v>
      </c>
      <c r="D19" s="541" t="s">
        <v>306</v>
      </c>
      <c r="E19" s="130" t="s">
        <v>82</v>
      </c>
      <c r="F19" s="541" t="s">
        <v>306</v>
      </c>
    </row>
    <row r="20" spans="1:6" s="418" customFormat="1" x14ac:dyDescent="0.25">
      <c r="A20" s="543"/>
      <c r="B20" s="544" t="s">
        <v>112</v>
      </c>
      <c r="C20" s="541" t="s">
        <v>306</v>
      </c>
      <c r="D20" s="541" t="s">
        <v>306</v>
      </c>
      <c r="E20" s="541" t="s">
        <v>306</v>
      </c>
      <c r="F20" s="541" t="s">
        <v>306</v>
      </c>
    </row>
    <row r="21" spans="1:6" s="418" customFormat="1" x14ac:dyDescent="0.25">
      <c r="A21" s="543"/>
      <c r="B21" s="544" t="s">
        <v>113</v>
      </c>
      <c r="C21" s="541" t="s">
        <v>306</v>
      </c>
      <c r="D21" s="541" t="s">
        <v>306</v>
      </c>
      <c r="E21" s="541" t="s">
        <v>306</v>
      </c>
      <c r="F21" s="541" t="s">
        <v>306</v>
      </c>
    </row>
    <row r="22" spans="1:6" s="418" customFormat="1" x14ac:dyDescent="0.25">
      <c r="A22" s="543"/>
      <c r="B22" s="544" t="s">
        <v>114</v>
      </c>
      <c r="C22" s="541" t="s">
        <v>306</v>
      </c>
      <c r="D22" s="541" t="s">
        <v>306</v>
      </c>
      <c r="E22" s="130" t="s">
        <v>82</v>
      </c>
      <c r="F22" s="541" t="s">
        <v>306</v>
      </c>
    </row>
    <row r="23" spans="1:6" s="418" customFormat="1" x14ac:dyDescent="0.25">
      <c r="A23" s="543"/>
      <c r="B23" s="544" t="s">
        <v>110</v>
      </c>
      <c r="C23" s="541" t="s">
        <v>306</v>
      </c>
      <c r="D23" s="541" t="s">
        <v>306</v>
      </c>
      <c r="E23" s="130" t="s">
        <v>82</v>
      </c>
      <c r="F23" s="541" t="s">
        <v>306</v>
      </c>
    </row>
    <row r="24" spans="1:6" s="418" customFormat="1" x14ac:dyDescent="0.25">
      <c r="A24" s="543"/>
      <c r="B24" s="544" t="s">
        <v>111</v>
      </c>
      <c r="C24" s="541" t="s">
        <v>306</v>
      </c>
      <c r="D24" s="541" t="s">
        <v>306</v>
      </c>
      <c r="E24" s="130" t="s">
        <v>82</v>
      </c>
      <c r="F24" s="541" t="s">
        <v>306</v>
      </c>
    </row>
    <row r="25" spans="1:6" s="418" customFormat="1" x14ac:dyDescent="0.25">
      <c r="A25" s="543" t="s">
        <v>218</v>
      </c>
      <c r="B25" s="544" t="s">
        <v>224</v>
      </c>
      <c r="C25" s="541" t="s">
        <v>306</v>
      </c>
      <c r="D25" s="541" t="s">
        <v>306</v>
      </c>
      <c r="E25" s="541" t="s">
        <v>306</v>
      </c>
      <c r="F25" s="541" t="s">
        <v>306</v>
      </c>
    </row>
    <row r="26" spans="1:6" s="418" customFormat="1" x14ac:dyDescent="0.25">
      <c r="A26" s="543"/>
      <c r="B26" s="544" t="s">
        <v>108</v>
      </c>
      <c r="C26" s="541" t="s">
        <v>306</v>
      </c>
      <c r="D26" s="541" t="s">
        <v>306</v>
      </c>
      <c r="E26" s="541" t="s">
        <v>306</v>
      </c>
      <c r="F26" s="541" t="s">
        <v>306</v>
      </c>
    </row>
    <row r="27" spans="1:6" s="418" customFormat="1" x14ac:dyDescent="0.25">
      <c r="A27" s="543"/>
      <c r="B27" s="544" t="s">
        <v>109</v>
      </c>
      <c r="C27" s="541" t="s">
        <v>306</v>
      </c>
      <c r="D27" s="541" t="s">
        <v>306</v>
      </c>
      <c r="E27" s="541" t="s">
        <v>306</v>
      </c>
      <c r="F27" s="541" t="s">
        <v>306</v>
      </c>
    </row>
    <row r="28" spans="1:6" s="418" customFormat="1" ht="18" x14ac:dyDescent="0.25">
      <c r="A28" s="543"/>
      <c r="B28" s="544" t="s">
        <v>952</v>
      </c>
      <c r="C28" s="541" t="s">
        <v>306</v>
      </c>
      <c r="D28" s="541" t="s">
        <v>306</v>
      </c>
      <c r="E28" s="130" t="s">
        <v>82</v>
      </c>
      <c r="F28" s="541" t="s">
        <v>306</v>
      </c>
    </row>
    <row r="29" spans="1:6" s="418" customFormat="1" x14ac:dyDescent="0.25">
      <c r="A29" s="543"/>
      <c r="B29" s="544" t="s">
        <v>181</v>
      </c>
      <c r="C29" s="541" t="s">
        <v>306</v>
      </c>
      <c r="D29" s="541" t="s">
        <v>306</v>
      </c>
      <c r="E29" s="130" t="s">
        <v>82</v>
      </c>
      <c r="F29" s="541" t="s">
        <v>306</v>
      </c>
    </row>
    <row r="30" spans="1:6" s="418" customFormat="1" x14ac:dyDescent="0.25">
      <c r="A30" s="543"/>
      <c r="B30" s="544" t="s">
        <v>112</v>
      </c>
      <c r="C30" s="541" t="s">
        <v>306</v>
      </c>
      <c r="D30" s="541" t="s">
        <v>306</v>
      </c>
      <c r="E30" s="541" t="s">
        <v>306</v>
      </c>
      <c r="F30" s="541" t="s">
        <v>306</v>
      </c>
    </row>
    <row r="31" spans="1:6" s="418" customFormat="1" x14ac:dyDescent="0.25">
      <c r="A31" s="543"/>
      <c r="B31" s="544" t="s">
        <v>113</v>
      </c>
      <c r="C31" s="541" t="s">
        <v>306</v>
      </c>
      <c r="D31" s="541" t="s">
        <v>306</v>
      </c>
      <c r="E31" s="541" t="s">
        <v>306</v>
      </c>
      <c r="F31" s="541" t="s">
        <v>306</v>
      </c>
    </row>
    <row r="32" spans="1:6" s="418" customFormat="1" x14ac:dyDescent="0.25">
      <c r="A32" s="543"/>
      <c r="B32" s="544" t="s">
        <v>114</v>
      </c>
      <c r="C32" s="541" t="s">
        <v>306</v>
      </c>
      <c r="D32" s="541" t="s">
        <v>306</v>
      </c>
      <c r="E32" s="130" t="s">
        <v>82</v>
      </c>
      <c r="F32" s="541" t="s">
        <v>306</v>
      </c>
    </row>
    <row r="33" spans="1:8" s="418" customFormat="1" x14ac:dyDescent="0.25">
      <c r="A33" s="543"/>
      <c r="B33" s="544" t="s">
        <v>110</v>
      </c>
      <c r="C33" s="541" t="s">
        <v>306</v>
      </c>
      <c r="D33" s="541" t="s">
        <v>306</v>
      </c>
      <c r="E33" s="130" t="s">
        <v>82</v>
      </c>
      <c r="F33" s="541" t="s">
        <v>306</v>
      </c>
    </row>
    <row r="34" spans="1:8" s="418" customFormat="1" x14ac:dyDescent="0.25">
      <c r="A34" s="543"/>
      <c r="B34" s="544" t="s">
        <v>111</v>
      </c>
      <c r="C34" s="541" t="s">
        <v>306</v>
      </c>
      <c r="D34" s="541" t="s">
        <v>306</v>
      </c>
      <c r="E34" s="130" t="s">
        <v>82</v>
      </c>
      <c r="F34" s="541" t="s">
        <v>306</v>
      </c>
    </row>
    <row r="35" spans="1:8" s="418" customFormat="1" x14ac:dyDescent="0.25">
      <c r="A35" s="545"/>
      <c r="B35" s="85" t="s">
        <v>267</v>
      </c>
      <c r="C35" s="541" t="s">
        <v>306</v>
      </c>
      <c r="D35" s="541" t="s">
        <v>306</v>
      </c>
      <c r="E35" s="130" t="s">
        <v>50</v>
      </c>
      <c r="F35" s="541" t="s">
        <v>306</v>
      </c>
    </row>
    <row r="36" spans="1:8" s="418" customFormat="1" x14ac:dyDescent="0.25">
      <c r="A36" s="157"/>
      <c r="B36" s="546" t="s">
        <v>261</v>
      </c>
      <c r="C36" s="541" t="s">
        <v>306</v>
      </c>
      <c r="D36" s="541" t="s">
        <v>306</v>
      </c>
      <c r="E36" s="547"/>
      <c r="F36" s="541" t="s">
        <v>306</v>
      </c>
    </row>
    <row r="37" spans="1:8" s="418" customFormat="1" x14ac:dyDescent="0.25">
      <c r="A37" s="401"/>
      <c r="B37" s="548"/>
      <c r="C37" s="541" t="s">
        <v>306</v>
      </c>
      <c r="D37" s="541" t="s">
        <v>306</v>
      </c>
      <c r="E37" s="549"/>
      <c r="F37" s="549"/>
    </row>
    <row r="38" spans="1:8" s="418" customFormat="1" ht="18" x14ac:dyDescent="0.25">
      <c r="A38" s="428"/>
      <c r="B38" s="550" t="s">
        <v>953</v>
      </c>
      <c r="C38" s="541" t="s">
        <v>306</v>
      </c>
      <c r="D38" s="130"/>
      <c r="E38" s="130"/>
      <c r="F38" s="130"/>
    </row>
    <row r="39" spans="1:8" s="418" customFormat="1" x14ac:dyDescent="0.25">
      <c r="A39" s="551"/>
      <c r="B39" s="551"/>
    </row>
    <row r="40" spans="1:8" s="237" customFormat="1" ht="14.25" x14ac:dyDescent="0.2">
      <c r="A40" s="906" t="str">
        <f>Плановая2!A60</f>
        <v>Первый заместитель Генерального директора ООО "Бенефит Бизнес"</v>
      </c>
      <c r="B40" s="906"/>
      <c r="C40" s="906"/>
      <c r="D40" s="906" t="s">
        <v>304</v>
      </c>
      <c r="E40" s="906"/>
      <c r="F40" s="906"/>
    </row>
    <row r="41" spans="1:8" s="237" customFormat="1" x14ac:dyDescent="0.2">
      <c r="A41" s="746" t="s">
        <v>416</v>
      </c>
      <c r="B41" s="746"/>
      <c r="C41" s="746"/>
      <c r="D41" s="746" t="s">
        <v>403</v>
      </c>
      <c r="E41" s="746"/>
      <c r="F41" s="746"/>
      <c r="G41" s="161"/>
      <c r="H41" s="552"/>
    </row>
    <row r="42" spans="1:8" s="418" customFormat="1" x14ac:dyDescent="0.25">
      <c r="A42" s="829" t="s">
        <v>417</v>
      </c>
      <c r="B42" s="829"/>
      <c r="C42" s="429"/>
      <c r="D42" s="429" t="s">
        <v>404</v>
      </c>
      <c r="E42" s="429"/>
      <c r="F42" s="429"/>
      <c r="G42" s="355"/>
      <c r="H42" s="429"/>
    </row>
    <row r="43" spans="1:8" s="418" customFormat="1" x14ac:dyDescent="0.25">
      <c r="A43" s="1020" t="str">
        <f>Плановая2!A63</f>
        <v>"07" апреля  2025 г.</v>
      </c>
      <c r="B43" s="1020"/>
      <c r="C43" s="554"/>
      <c r="D43" s="1020" t="str">
        <f>A43</f>
        <v>"07" апреля  2025 г.</v>
      </c>
      <c r="E43" s="1020"/>
      <c r="F43" s="553"/>
    </row>
    <row r="44" spans="1:8" s="418" customFormat="1" x14ac:dyDescent="0.25">
      <c r="A44" s="551"/>
      <c r="B44" s="551"/>
    </row>
    <row r="48" spans="1:8" x14ac:dyDescent="0.25">
      <c r="C48" s="555"/>
      <c r="D48" s="555"/>
      <c r="E48" s="555"/>
      <c r="F48" s="555"/>
    </row>
    <row r="49" spans="1:6" x14ac:dyDescent="0.25">
      <c r="A49" s="551"/>
      <c r="B49" s="551"/>
      <c r="C49" s="551"/>
      <c r="D49" s="551"/>
      <c r="E49" s="551"/>
      <c r="F49" s="551"/>
    </row>
    <row r="50" spans="1:6" x14ac:dyDescent="0.25">
      <c r="A50" s="355"/>
      <c r="B50" s="355"/>
    </row>
    <row r="51" spans="1:6" x14ac:dyDescent="0.25">
      <c r="A51" s="556"/>
      <c r="B51" s="556"/>
      <c r="C51" s="557"/>
      <c r="D51" s="557"/>
      <c r="E51" s="557"/>
      <c r="F51" s="557"/>
    </row>
    <row r="52" spans="1:6" x14ac:dyDescent="0.25">
      <c r="A52" s="558"/>
      <c r="B52" s="558"/>
      <c r="C52" s="417"/>
      <c r="D52" s="417"/>
      <c r="E52" s="417"/>
      <c r="F52" s="417"/>
    </row>
    <row r="53" spans="1:6" x14ac:dyDescent="0.25">
      <c r="A53" s="243"/>
      <c r="B53" s="243"/>
    </row>
    <row r="54" spans="1:6" x14ac:dyDescent="0.25">
      <c r="A54" s="559"/>
      <c r="B54" s="559"/>
      <c r="C54" s="560"/>
      <c r="D54" s="560"/>
      <c r="E54" s="560"/>
      <c r="F54" s="560"/>
    </row>
    <row r="55" spans="1:6" x14ac:dyDescent="0.25">
      <c r="A55" s="559"/>
      <c r="B55" s="559"/>
    </row>
    <row r="56" spans="1:6" x14ac:dyDescent="0.25">
      <c r="A56" s="559"/>
      <c r="B56" s="559"/>
    </row>
    <row r="57" spans="1:6" x14ac:dyDescent="0.25">
      <c r="A57" s="559"/>
      <c r="B57" s="559"/>
    </row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55118110236220474" bottom="0.35433070866141736" header="0.31496062992125984" footer="0.31496062992125984"/>
  <pageSetup paperSize="9" scale="7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style="43" customWidth="1"/>
    <col min="2" max="2" width="32.42578125" style="43" customWidth="1"/>
    <col min="3" max="3" width="8.85546875" style="43" customWidth="1"/>
    <col min="4" max="4" width="8.42578125" style="43" customWidth="1"/>
    <col min="5" max="5" width="8.7109375" style="43" customWidth="1"/>
    <col min="6" max="6" width="17" style="43" customWidth="1"/>
    <col min="7" max="7" width="18.42578125" style="43" customWidth="1"/>
    <col min="8" max="8" width="14.7109375" style="43" customWidth="1"/>
    <col min="9" max="9" width="13.42578125" style="43" customWidth="1"/>
    <col min="10" max="10" width="10.42578125" style="43" customWidth="1"/>
    <col min="11" max="11" width="12.85546875" style="43" customWidth="1"/>
    <col min="12" max="12" width="14.42578125" style="43" customWidth="1"/>
    <col min="13" max="13" width="12.42578125" style="43" customWidth="1"/>
    <col min="14" max="14" width="12.140625" style="43" customWidth="1"/>
    <col min="15" max="15" width="13.42578125" style="43" customWidth="1"/>
    <col min="16" max="16384" width="9.140625" style="43"/>
  </cols>
  <sheetData>
    <row r="1" spans="1:15" ht="18" customHeight="1" x14ac:dyDescent="0.25">
      <c r="N1" s="1021" t="s">
        <v>210</v>
      </c>
      <c r="O1" s="1021"/>
    </row>
    <row r="2" spans="1:15" ht="28.5" customHeight="1" x14ac:dyDescent="0.25">
      <c r="A2" s="879" t="s">
        <v>3</v>
      </c>
      <c r="B2" s="879"/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</row>
    <row r="3" spans="1:15" ht="39" customHeight="1" x14ac:dyDescent="0.25">
      <c r="A3" s="1022" t="s">
        <v>954</v>
      </c>
      <c r="B3" s="1022"/>
      <c r="C3" s="1022"/>
      <c r="D3" s="1022"/>
      <c r="E3" s="1022"/>
      <c r="F3" s="1022"/>
      <c r="G3" s="1022"/>
      <c r="H3" s="1022"/>
      <c r="I3" s="1022"/>
      <c r="J3" s="1022"/>
      <c r="K3" s="1022"/>
      <c r="L3" s="1022"/>
      <c r="M3" s="1022"/>
      <c r="N3" s="1022"/>
      <c r="O3" s="1022"/>
    </row>
    <row r="4" spans="1:15" ht="59.25" customHeight="1" x14ac:dyDescent="0.25">
      <c r="A4" s="102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22"/>
      <c r="C4" s="1022"/>
      <c r="D4" s="1022"/>
      <c r="E4" s="1022"/>
      <c r="F4" s="1022"/>
      <c r="G4" s="1022"/>
      <c r="H4" s="1022"/>
      <c r="I4" s="1022"/>
      <c r="J4" s="1022"/>
      <c r="K4" s="1022"/>
      <c r="L4" s="1022"/>
      <c r="M4" s="1022"/>
      <c r="N4" s="1022"/>
      <c r="O4" s="1022"/>
    </row>
    <row r="5" spans="1:15" x14ac:dyDescent="0.25">
      <c r="A5" s="75"/>
      <c r="B5" s="561" t="s">
        <v>476</v>
      </c>
      <c r="C5" s="75"/>
      <c r="D5" s="75"/>
      <c r="E5" s="75"/>
      <c r="F5" s="75"/>
      <c r="G5" s="75"/>
      <c r="H5" s="142"/>
      <c r="I5" s="142"/>
      <c r="J5" s="142"/>
      <c r="K5" s="142"/>
      <c r="L5" s="75"/>
      <c r="M5" s="75"/>
      <c r="N5" s="75"/>
      <c r="O5" s="75"/>
    </row>
    <row r="6" spans="1:15" ht="30.75" customHeight="1" x14ac:dyDescent="0.25">
      <c r="A6" s="1000" t="s">
        <v>44</v>
      </c>
      <c r="B6" s="1000" t="s">
        <v>955</v>
      </c>
      <c r="C6" s="1000" t="s">
        <v>241</v>
      </c>
      <c r="D6" s="769" t="s">
        <v>14</v>
      </c>
      <c r="E6" s="910"/>
      <c r="F6" s="911"/>
      <c r="G6" s="1000" t="s">
        <v>85</v>
      </c>
      <c r="H6" s="1000" t="s">
        <v>268</v>
      </c>
      <c r="I6" s="1000" t="s">
        <v>36</v>
      </c>
      <c r="J6" s="787" t="s">
        <v>37</v>
      </c>
      <c r="K6" s="788"/>
      <c r="L6" s="1000" t="s">
        <v>242</v>
      </c>
      <c r="M6" s="1000" t="s">
        <v>919</v>
      </c>
      <c r="N6" s="1000" t="s">
        <v>243</v>
      </c>
      <c r="O6" s="1000" t="s">
        <v>18</v>
      </c>
    </row>
    <row r="7" spans="1:15" ht="47.25" customHeight="1" x14ac:dyDescent="0.25">
      <c r="A7" s="1018"/>
      <c r="B7" s="1018"/>
      <c r="C7" s="1018"/>
      <c r="D7" s="765" t="s">
        <v>906</v>
      </c>
      <c r="E7" s="1009"/>
      <c r="F7" s="1011" t="str">
        <f>"плановые затраты на "&amp; год&amp;" г."</f>
        <v>плановые затраты на 2030 г.</v>
      </c>
      <c r="G7" s="1018"/>
      <c r="H7" s="1018"/>
      <c r="I7" s="1018"/>
      <c r="J7" s="1000" t="s">
        <v>187</v>
      </c>
      <c r="K7" s="1000" t="s">
        <v>81</v>
      </c>
      <c r="L7" s="1018"/>
      <c r="M7" s="1018"/>
      <c r="N7" s="1018"/>
      <c r="O7" s="1018"/>
    </row>
    <row r="8" spans="1:15" ht="20.25" customHeight="1" x14ac:dyDescent="0.25">
      <c r="A8" s="887"/>
      <c r="B8" s="887"/>
      <c r="C8" s="887"/>
      <c r="D8" s="230" t="s">
        <v>26</v>
      </c>
      <c r="E8" s="230" t="s">
        <v>25</v>
      </c>
      <c r="F8" s="897"/>
      <c r="G8" s="887"/>
      <c r="H8" s="887"/>
      <c r="I8" s="887"/>
      <c r="J8" s="887"/>
      <c r="K8" s="887"/>
      <c r="L8" s="887"/>
      <c r="M8" s="887"/>
      <c r="N8" s="887"/>
      <c r="O8" s="887"/>
    </row>
    <row r="9" spans="1:15" x14ac:dyDescent="0.25">
      <c r="A9" s="76">
        <v>1</v>
      </c>
      <c r="B9" s="76">
        <v>2</v>
      </c>
      <c r="C9" s="76">
        <v>3</v>
      </c>
      <c r="D9" s="10" t="s">
        <v>198</v>
      </c>
      <c r="E9" s="10" t="s">
        <v>199</v>
      </c>
      <c r="F9" s="10" t="s">
        <v>39</v>
      </c>
      <c r="G9" s="76">
        <v>4</v>
      </c>
      <c r="H9" s="76">
        <v>5</v>
      </c>
      <c r="I9" s="76">
        <v>6</v>
      </c>
      <c r="J9" s="76">
        <v>7</v>
      </c>
      <c r="K9" s="76">
        <v>8</v>
      </c>
      <c r="L9" s="76">
        <v>9</v>
      </c>
      <c r="M9" s="76">
        <v>10</v>
      </c>
      <c r="N9" s="76">
        <v>11</v>
      </c>
      <c r="O9" s="76">
        <v>12</v>
      </c>
    </row>
    <row r="10" spans="1:15" ht="22.5" customHeight="1" x14ac:dyDescent="0.25">
      <c r="A10" s="24" t="s">
        <v>5</v>
      </c>
      <c r="B10" s="32" t="s">
        <v>179</v>
      </c>
      <c r="C10" s="116" t="s">
        <v>306</v>
      </c>
      <c r="D10" s="116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  <c r="J10" s="116" t="s">
        <v>306</v>
      </c>
      <c r="K10" s="116" t="s">
        <v>306</v>
      </c>
      <c r="L10" s="116" t="s">
        <v>306</v>
      </c>
      <c r="M10" s="116" t="s">
        <v>306</v>
      </c>
      <c r="N10" s="116" t="s">
        <v>306</v>
      </c>
      <c r="O10" s="116" t="s">
        <v>306</v>
      </c>
    </row>
    <row r="11" spans="1:15" ht="18" customHeight="1" x14ac:dyDescent="0.25">
      <c r="A11" s="24"/>
      <c r="B11" s="32" t="s">
        <v>290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  <c r="J11" s="116" t="s">
        <v>306</v>
      </c>
      <c r="K11" s="116" t="s">
        <v>306</v>
      </c>
      <c r="L11" s="116" t="s">
        <v>306</v>
      </c>
      <c r="M11" s="116" t="s">
        <v>306</v>
      </c>
      <c r="N11" s="116" t="s">
        <v>306</v>
      </c>
      <c r="O11" s="116" t="s">
        <v>306</v>
      </c>
    </row>
    <row r="12" spans="1:15" x14ac:dyDescent="0.25">
      <c r="A12" s="24" t="s">
        <v>6</v>
      </c>
      <c r="B12" s="31" t="s">
        <v>6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16" t="s">
        <v>306</v>
      </c>
      <c r="N12" s="116" t="s">
        <v>306</v>
      </c>
      <c r="O12" s="116" t="s">
        <v>306</v>
      </c>
    </row>
    <row r="13" spans="1:15" ht="48" customHeight="1" x14ac:dyDescent="0.25">
      <c r="A13" s="24" t="s">
        <v>7</v>
      </c>
      <c r="B13" s="32" t="s">
        <v>182</v>
      </c>
      <c r="C13" s="116" t="s">
        <v>306</v>
      </c>
      <c r="D13" s="116" t="s">
        <v>306</v>
      </c>
      <c r="E13" s="116" t="s">
        <v>306</v>
      </c>
      <c r="F13" s="116" t="s">
        <v>306</v>
      </c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16" t="s">
        <v>306</v>
      </c>
      <c r="N13" s="116" t="s">
        <v>306</v>
      </c>
      <c r="O13" s="116" t="s">
        <v>306</v>
      </c>
    </row>
    <row r="14" spans="1:15" ht="19.5" customHeight="1" x14ac:dyDescent="0.25">
      <c r="A14" s="24"/>
      <c r="B14" s="32" t="s">
        <v>290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16" t="s">
        <v>306</v>
      </c>
      <c r="N14" s="116" t="s">
        <v>306</v>
      </c>
      <c r="O14" s="116" t="s">
        <v>306</v>
      </c>
    </row>
    <row r="15" spans="1:15" ht="78.75" customHeight="1" x14ac:dyDescent="0.25">
      <c r="A15" s="28" t="s">
        <v>43</v>
      </c>
      <c r="B15" s="32" t="s">
        <v>180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16" t="s">
        <v>306</v>
      </c>
      <c r="N15" s="116" t="s">
        <v>306</v>
      </c>
      <c r="O15" s="116" t="s">
        <v>306</v>
      </c>
    </row>
    <row r="16" spans="1:15" x14ac:dyDescent="0.25">
      <c r="A16" s="24"/>
      <c r="B16" s="32" t="s">
        <v>290</v>
      </c>
      <c r="C16" s="116" t="s">
        <v>306</v>
      </c>
      <c r="D16" s="116" t="s">
        <v>306</v>
      </c>
      <c r="E16" s="116" t="s">
        <v>306</v>
      </c>
      <c r="F16" s="116" t="s">
        <v>306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6" t="s">
        <v>306</v>
      </c>
      <c r="L16" s="116" t="s">
        <v>306</v>
      </c>
      <c r="M16" s="116" t="s">
        <v>306</v>
      </c>
      <c r="N16" s="116" t="s">
        <v>306</v>
      </c>
      <c r="O16" s="116" t="s">
        <v>306</v>
      </c>
    </row>
    <row r="17" spans="1:18" x14ac:dyDescent="0.25">
      <c r="A17" s="24" t="s">
        <v>6</v>
      </c>
      <c r="B17" s="31" t="s">
        <v>6</v>
      </c>
      <c r="C17" s="116" t="s">
        <v>306</v>
      </c>
      <c r="D17" s="116" t="s">
        <v>306</v>
      </c>
      <c r="E17" s="116" t="s">
        <v>306</v>
      </c>
      <c r="F17" s="116" t="s">
        <v>306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6" t="s">
        <v>306</v>
      </c>
      <c r="L17" s="116" t="s">
        <v>306</v>
      </c>
      <c r="M17" s="116" t="s">
        <v>306</v>
      </c>
      <c r="N17" s="116" t="s">
        <v>306</v>
      </c>
      <c r="O17" s="116" t="s">
        <v>306</v>
      </c>
    </row>
    <row r="18" spans="1:18" ht="60" x14ac:dyDescent="0.25">
      <c r="A18" s="28" t="s">
        <v>41</v>
      </c>
      <c r="B18" s="32" t="s">
        <v>956</v>
      </c>
      <c r="C18" s="116" t="s">
        <v>306</v>
      </c>
      <c r="D18" s="116" t="s">
        <v>306</v>
      </c>
      <c r="E18" s="116" t="s">
        <v>306</v>
      </c>
      <c r="F18" s="116" t="s">
        <v>306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6" t="s">
        <v>306</v>
      </c>
      <c r="L18" s="116" t="s">
        <v>306</v>
      </c>
      <c r="M18" s="116" t="s">
        <v>306</v>
      </c>
      <c r="N18" s="116" t="s">
        <v>306</v>
      </c>
      <c r="O18" s="116" t="s">
        <v>306</v>
      </c>
    </row>
    <row r="19" spans="1:18" ht="20.25" customHeight="1" x14ac:dyDescent="0.25">
      <c r="A19" s="25"/>
      <c r="B19" s="26" t="s">
        <v>290</v>
      </c>
      <c r="C19" s="116" t="s">
        <v>306</v>
      </c>
      <c r="D19" s="116" t="s">
        <v>306</v>
      </c>
      <c r="E19" s="116" t="s">
        <v>306</v>
      </c>
      <c r="F19" s="116" t="s">
        <v>306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6" t="s">
        <v>306</v>
      </c>
      <c r="L19" s="116" t="s">
        <v>306</v>
      </c>
      <c r="M19" s="116" t="s">
        <v>306</v>
      </c>
      <c r="N19" s="116" t="s">
        <v>306</v>
      </c>
      <c r="O19" s="116" t="s">
        <v>306</v>
      </c>
    </row>
    <row r="20" spans="1:18" x14ac:dyDescent="0.25">
      <c r="A20" s="24" t="s">
        <v>6</v>
      </c>
      <c r="B20" s="31" t="s">
        <v>6</v>
      </c>
      <c r="C20" s="116" t="s">
        <v>306</v>
      </c>
      <c r="D20" s="116" t="s">
        <v>306</v>
      </c>
      <c r="E20" s="116" t="s">
        <v>306</v>
      </c>
      <c r="F20" s="116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6" t="s">
        <v>306</v>
      </c>
      <c r="L20" s="116" t="s">
        <v>306</v>
      </c>
      <c r="M20" s="116" t="s">
        <v>306</v>
      </c>
      <c r="N20" s="116" t="s">
        <v>306</v>
      </c>
      <c r="O20" s="116" t="s">
        <v>306</v>
      </c>
    </row>
    <row r="21" spans="1:18" x14ac:dyDescent="0.25">
      <c r="A21" s="1023" t="s">
        <v>259</v>
      </c>
      <c r="B21" s="1023"/>
      <c r="C21" s="25"/>
      <c r="D21" s="25"/>
      <c r="E21" s="25"/>
      <c r="F21" s="25"/>
      <c r="G21" s="76" t="s">
        <v>82</v>
      </c>
      <c r="H21" s="76" t="s">
        <v>82</v>
      </c>
      <c r="I21" s="76" t="s">
        <v>82</v>
      </c>
      <c r="J21" s="76" t="s">
        <v>82</v>
      </c>
      <c r="K21" s="76" t="s">
        <v>82</v>
      </c>
      <c r="L21" s="76" t="s">
        <v>82</v>
      </c>
      <c r="M21" s="25"/>
      <c r="N21" s="25"/>
      <c r="O21" s="25"/>
    </row>
    <row r="22" spans="1:18" ht="15" customHeight="1" x14ac:dyDescent="0.25"/>
    <row r="23" spans="1:18" s="82" customFormat="1" ht="50.25" customHeight="1" x14ac:dyDescent="0.2">
      <c r="A23" s="850" t="str">
        <f>Плановая2!A60</f>
        <v>Первый заместитель Генерального директора ООО "Бенефит Бизнес"</v>
      </c>
      <c r="B23" s="850"/>
      <c r="C23" s="850"/>
      <c r="D23" s="850"/>
      <c r="E23" s="850"/>
      <c r="F23" s="850"/>
      <c r="G23" s="850"/>
      <c r="H23" s="850"/>
      <c r="I23" s="877" t="s">
        <v>304</v>
      </c>
      <c r="J23" s="877"/>
      <c r="K23" s="877"/>
      <c r="L23" s="877"/>
      <c r="M23" s="877"/>
      <c r="N23" s="877"/>
      <c r="O23" s="877"/>
    </row>
    <row r="24" spans="1:18" s="82" customFormat="1" ht="45.75" customHeight="1" x14ac:dyDescent="0.2">
      <c r="A24" s="844" t="s">
        <v>419</v>
      </c>
      <c r="B24" s="844"/>
      <c r="C24" s="844"/>
      <c r="D24" s="844"/>
      <c r="E24" s="844"/>
      <c r="F24" s="844"/>
      <c r="G24" s="844"/>
      <c r="H24" s="844"/>
      <c r="I24" s="844" t="s">
        <v>403</v>
      </c>
      <c r="J24" s="844"/>
      <c r="K24" s="844"/>
      <c r="L24" s="844"/>
      <c r="M24" s="844"/>
      <c r="N24" s="844"/>
      <c r="O24" s="844"/>
    </row>
    <row r="25" spans="1:18" ht="14.1" customHeight="1" x14ac:dyDescent="0.25">
      <c r="A25" s="845" t="s">
        <v>418</v>
      </c>
      <c r="B25" s="845"/>
      <c r="C25" s="845"/>
      <c r="D25" s="845"/>
      <c r="E25" s="845"/>
      <c r="F25" s="845"/>
      <c r="G25" s="845"/>
      <c r="H25" s="57"/>
      <c r="I25" s="22" t="s">
        <v>405</v>
      </c>
      <c r="J25" s="22"/>
      <c r="K25" s="22"/>
      <c r="L25" s="22"/>
      <c r="M25" s="22"/>
      <c r="N25" s="22"/>
      <c r="O25" s="22"/>
    </row>
    <row r="26" spans="1:18" ht="18.75" customHeight="1" x14ac:dyDescent="0.25">
      <c r="A26" s="738" t="str">
        <f>Плановая2!A63</f>
        <v>"07" апреля  2025 г.</v>
      </c>
      <c r="B26" s="738"/>
      <c r="C26" s="738"/>
      <c r="D26" s="738"/>
      <c r="E26" s="57"/>
      <c r="F26" s="57"/>
      <c r="G26" s="21"/>
      <c r="H26" s="57"/>
      <c r="I26" s="803" t="str">
        <f>A26</f>
        <v>"07" апреля  2025 г.</v>
      </c>
      <c r="J26" s="803"/>
      <c r="K26" s="803"/>
      <c r="L26" s="803"/>
      <c r="M26" s="803"/>
      <c r="N26" s="57"/>
      <c r="O26" s="21"/>
    </row>
    <row r="27" spans="1:18" ht="14.25" customHeight="1" x14ac:dyDescent="0.25">
      <c r="A27" s="358"/>
      <c r="B27" s="358"/>
      <c r="C27" s="358"/>
      <c r="D27" s="57"/>
    </row>
    <row r="28" spans="1:18" ht="21.75" customHeight="1" x14ac:dyDescent="0.25"/>
    <row r="29" spans="1:18" ht="33.75" customHeight="1" x14ac:dyDescent="0.25">
      <c r="P29" s="21"/>
      <c r="Q29" s="21"/>
      <c r="R29" s="56"/>
    </row>
    <row r="30" spans="1:18" ht="15.75" customHeight="1" x14ac:dyDescent="0.25">
      <c r="P30" s="21"/>
      <c r="Q30" s="21"/>
      <c r="R30" s="57"/>
    </row>
    <row r="31" spans="1:18" ht="15.75" customHeight="1" x14ac:dyDescent="0.25">
      <c r="P31" s="21"/>
      <c r="Q31" s="21"/>
      <c r="R31" s="57"/>
    </row>
    <row r="32" spans="1:18" ht="15" customHeight="1" x14ac:dyDescent="0.25">
      <c r="P32" s="21"/>
      <c r="Q32" s="21"/>
      <c r="R32" s="57"/>
    </row>
    <row r="33" spans="1:18" x14ac:dyDescent="0.25">
      <c r="B33" s="13"/>
      <c r="H33" s="57"/>
      <c r="I33" s="57"/>
      <c r="J33" s="57"/>
      <c r="K33" s="57"/>
      <c r="L33" s="227"/>
      <c r="M33" s="227"/>
      <c r="N33" s="57"/>
      <c r="O33" s="57"/>
      <c r="P33" s="57"/>
      <c r="Q33" s="57"/>
      <c r="R33" s="21"/>
    </row>
    <row r="34" spans="1:18" ht="32.25" customHeight="1" x14ac:dyDescent="0.25">
      <c r="B34" s="876"/>
      <c r="C34" s="876"/>
      <c r="D34" s="77"/>
      <c r="E34" s="77"/>
      <c r="F34" s="77"/>
      <c r="H34" s="57"/>
      <c r="I34" s="78"/>
      <c r="J34" s="78"/>
      <c r="K34" s="78"/>
      <c r="P34" s="19"/>
      <c r="Q34" s="19"/>
      <c r="R34" s="19"/>
    </row>
    <row r="35" spans="1:18" ht="15" customHeight="1" x14ac:dyDescent="0.25">
      <c r="B35" s="21"/>
      <c r="H35" s="57"/>
      <c r="I35" s="53"/>
      <c r="J35" s="53"/>
      <c r="K35" s="53"/>
      <c r="P35" s="21"/>
      <c r="Q35" s="21"/>
      <c r="R35" s="21"/>
    </row>
    <row r="36" spans="1:18" ht="14.25" customHeight="1" x14ac:dyDescent="0.25">
      <c r="B36" s="36"/>
      <c r="H36" s="57"/>
      <c r="I36" s="53"/>
      <c r="J36" s="53"/>
      <c r="K36" s="53"/>
      <c r="P36" s="21"/>
      <c r="Q36" s="21"/>
      <c r="R36" s="21"/>
    </row>
    <row r="37" spans="1:18" ht="20.25" customHeight="1" x14ac:dyDescent="0.25">
      <c r="B37" s="54"/>
      <c r="H37" s="57"/>
      <c r="I37" s="53"/>
      <c r="J37" s="53"/>
      <c r="K37" s="53"/>
      <c r="P37" s="21"/>
      <c r="Q37" s="21"/>
      <c r="R37" s="57"/>
    </row>
    <row r="38" spans="1:18" x14ac:dyDescent="0.25">
      <c r="B38" s="532"/>
      <c r="G38" s="9"/>
      <c r="I38" s="56"/>
      <c r="J38" s="57"/>
      <c r="K38" s="57"/>
      <c r="L38" s="57"/>
      <c r="M38" s="57"/>
      <c r="N38" s="57"/>
      <c r="O38" s="57"/>
      <c r="P38" s="57"/>
      <c r="Q38" s="57"/>
      <c r="R38" s="57"/>
    </row>
    <row r="39" spans="1:18" ht="15" customHeight="1" x14ac:dyDescent="0.25">
      <c r="B39" s="21"/>
      <c r="C39" s="57"/>
      <c r="D39" s="57"/>
      <c r="E39" s="57"/>
      <c r="F39" s="57"/>
      <c r="I39" s="55"/>
      <c r="J39" s="55"/>
      <c r="K39" s="55"/>
      <c r="L39" s="55"/>
      <c r="M39" s="55"/>
      <c r="N39" s="55"/>
      <c r="O39" s="56"/>
      <c r="P39" s="56"/>
      <c r="Q39" s="56"/>
      <c r="R39" s="56"/>
    </row>
    <row r="40" spans="1:18" ht="21.75" customHeight="1" x14ac:dyDescent="0.25">
      <c r="B40" s="22"/>
      <c r="C40" s="57"/>
      <c r="D40" s="57"/>
      <c r="E40" s="57"/>
      <c r="F40" s="57"/>
      <c r="H40" s="69"/>
      <c r="I40" s="55"/>
      <c r="J40" s="55"/>
      <c r="K40" s="55"/>
      <c r="L40" s="55"/>
      <c r="M40" s="55"/>
      <c r="N40" s="55"/>
      <c r="O40" s="56"/>
      <c r="P40" s="56"/>
      <c r="Q40" s="56"/>
      <c r="R40" s="56"/>
    </row>
    <row r="41" spans="1:18" x14ac:dyDescent="0.25">
      <c r="B41" s="22"/>
      <c r="C41" s="57"/>
      <c r="D41" s="57"/>
      <c r="E41" s="57"/>
      <c r="F41" s="57"/>
      <c r="I41" s="55"/>
      <c r="J41" s="55"/>
      <c r="K41" s="79"/>
      <c r="L41" s="79"/>
      <c r="M41" s="79"/>
      <c r="N41" s="79"/>
      <c r="O41" s="56"/>
      <c r="P41" s="57"/>
      <c r="Q41" s="57"/>
      <c r="R41" s="57"/>
    </row>
    <row r="42" spans="1:18" ht="15" customHeight="1" x14ac:dyDescent="0.25">
      <c r="B42" s="21"/>
      <c r="C42" s="57"/>
      <c r="D42" s="57"/>
      <c r="E42" s="57"/>
      <c r="F42" s="57"/>
      <c r="I42" s="55"/>
      <c r="J42" s="55"/>
      <c r="K42" s="55"/>
      <c r="L42" s="79"/>
      <c r="M42" s="79"/>
      <c r="N42" s="79"/>
      <c r="O42" s="56"/>
      <c r="P42" s="57"/>
      <c r="Q42" s="57"/>
      <c r="R42" s="57"/>
    </row>
    <row r="43" spans="1:18" ht="18" customHeight="1" x14ac:dyDescent="0.25">
      <c r="I43" s="57"/>
      <c r="J43" s="57"/>
      <c r="K43" s="57"/>
      <c r="L43" s="57"/>
      <c r="M43" s="57"/>
      <c r="N43" s="57"/>
    </row>
    <row r="44" spans="1:18" x14ac:dyDescent="0.25">
      <c r="G44" s="9"/>
    </row>
    <row r="46" spans="1:18" ht="30.75" customHeight="1" x14ac:dyDescent="0.25">
      <c r="A46" s="80"/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45" zoomScale="110" zoomScaleNormal="130" zoomScaleSheetLayoutView="110" workbookViewId="0">
      <selection activeCell="G50" sqref="G50"/>
    </sheetView>
  </sheetViews>
  <sheetFormatPr defaultColWidth="0.7109375" defaultRowHeight="15" x14ac:dyDescent="0.25"/>
  <cols>
    <col min="1" max="1" width="6.42578125" style="13" customWidth="1"/>
    <col min="2" max="2" width="49.42578125" style="40" customWidth="1"/>
    <col min="3" max="3" width="7.42578125" style="40" customWidth="1"/>
    <col min="4" max="4" width="10.85546875" style="13" customWidth="1"/>
    <col min="5" max="6" width="19.7109375" style="13" customWidth="1"/>
    <col min="7" max="7" width="15.42578125" style="13" customWidth="1"/>
    <col min="8" max="8" width="7.42578125" style="13" customWidth="1"/>
    <col min="9" max="16384" width="0.7109375" style="13"/>
  </cols>
  <sheetData>
    <row r="1" spans="1:8" x14ac:dyDescent="0.25">
      <c r="G1" s="749" t="s">
        <v>93</v>
      </c>
      <c r="H1" s="749"/>
    </row>
    <row r="2" spans="1:8" x14ac:dyDescent="0.25">
      <c r="A2" s="750" t="s">
        <v>384</v>
      </c>
      <c r="B2" s="750"/>
      <c r="C2" s="750"/>
      <c r="D2" s="750"/>
      <c r="E2" s="750"/>
      <c r="F2" s="750"/>
      <c r="G2" s="750"/>
      <c r="H2" s="750"/>
    </row>
    <row r="3" spans="1:8" x14ac:dyDescent="0.25">
      <c r="A3" s="751" t="str">
        <f>"на "&amp;год&amp;"г."</f>
        <v>на 2030г.</v>
      </c>
      <c r="B3" s="751"/>
      <c r="C3" s="751"/>
      <c r="D3" s="751"/>
      <c r="E3" s="751"/>
      <c r="F3" s="751"/>
      <c r="G3" s="751"/>
      <c r="H3" s="751"/>
    </row>
    <row r="4" spans="1:8" s="21" customFormat="1" ht="81" customHeight="1" x14ac:dyDescent="0.25">
      <c r="B4" s="21" t="s">
        <v>86</v>
      </c>
      <c r="C4" s="741" t="s">
        <v>989</v>
      </c>
      <c r="D4" s="741"/>
      <c r="E4" s="741"/>
      <c r="F4" s="741"/>
      <c r="G4" s="741"/>
      <c r="H4" s="742"/>
    </row>
    <row r="5" spans="1:8" s="355" customFormat="1" ht="9.9499999999999993" customHeight="1" x14ac:dyDescent="0.25">
      <c r="B5" s="356" t="s">
        <v>97</v>
      </c>
      <c r="C5" s="743" t="s">
        <v>537</v>
      </c>
      <c r="D5" s="743"/>
      <c r="E5" s="743"/>
      <c r="F5" s="743"/>
      <c r="G5" s="743"/>
      <c r="H5" s="740"/>
    </row>
    <row r="6" spans="1:8" s="355" customFormat="1" ht="9.9499999999999993" customHeight="1" x14ac:dyDescent="0.25">
      <c r="B6" s="356" t="s">
        <v>127</v>
      </c>
      <c r="C6" s="743"/>
      <c r="D6" s="743"/>
      <c r="E6" s="743"/>
      <c r="F6" s="743"/>
      <c r="G6" s="743"/>
      <c r="H6" s="740"/>
    </row>
    <row r="7" spans="1:8" s="355" customFormat="1" ht="9.9499999999999993" customHeight="1" x14ac:dyDescent="0.25">
      <c r="B7" s="356" t="s">
        <v>128</v>
      </c>
      <c r="C7" s="743"/>
      <c r="D7" s="743"/>
      <c r="E7" s="743"/>
      <c r="F7" s="743"/>
      <c r="G7" s="743"/>
      <c r="H7" s="740"/>
    </row>
    <row r="8" spans="1:8" s="355" customFormat="1" ht="12" customHeight="1" x14ac:dyDescent="0.25">
      <c r="B8" s="356" t="s">
        <v>20</v>
      </c>
      <c r="C8" s="741" t="s">
        <v>990</v>
      </c>
      <c r="D8" s="741"/>
      <c r="E8" s="741"/>
      <c r="F8" s="741"/>
      <c r="G8" s="741"/>
      <c r="H8" s="742"/>
    </row>
    <row r="9" spans="1:8" ht="9" customHeight="1" x14ac:dyDescent="0.25">
      <c r="A9" s="357"/>
      <c r="B9" s="19"/>
      <c r="C9" s="739" t="s">
        <v>200</v>
      </c>
      <c r="D9" s="739"/>
      <c r="E9" s="739"/>
      <c r="F9" s="739"/>
      <c r="G9" s="739"/>
      <c r="H9" s="740"/>
    </row>
    <row r="10" spans="1:8" ht="29.1" customHeight="1" x14ac:dyDescent="0.25">
      <c r="B10" s="358" t="s">
        <v>228</v>
      </c>
      <c r="C10" s="739" t="s">
        <v>888</v>
      </c>
      <c r="D10" s="739"/>
      <c r="E10" s="739"/>
      <c r="F10" s="739"/>
      <c r="G10" s="739"/>
      <c r="H10" s="740"/>
    </row>
    <row r="11" spans="1:8" ht="15" customHeight="1" x14ac:dyDescent="0.25">
      <c r="C11" s="762" t="s">
        <v>96</v>
      </c>
      <c r="D11" s="762"/>
      <c r="E11" s="762"/>
      <c r="F11" s="762"/>
      <c r="G11" s="762"/>
      <c r="H11" s="767" t="s">
        <v>21</v>
      </c>
    </row>
    <row r="12" spans="1:8" ht="6.95" customHeight="1" x14ac:dyDescent="0.25">
      <c r="H12" s="768"/>
    </row>
    <row r="13" spans="1:8" ht="26.25" customHeight="1" thickBot="1" x14ac:dyDescent="0.3">
      <c r="A13" s="752" t="s">
        <v>132</v>
      </c>
      <c r="B13" s="755" t="s">
        <v>19</v>
      </c>
      <c r="C13" s="756" t="s">
        <v>602</v>
      </c>
      <c r="D13" s="757"/>
      <c r="E13" s="772" t="s">
        <v>201</v>
      </c>
      <c r="F13" s="773"/>
      <c r="G13" s="755" t="s">
        <v>328</v>
      </c>
      <c r="H13" s="755" t="s">
        <v>18</v>
      </c>
    </row>
    <row r="14" spans="1:8" x14ac:dyDescent="0.25">
      <c r="A14" s="753"/>
      <c r="B14" s="755"/>
      <c r="C14" s="758"/>
      <c r="D14" s="759"/>
      <c r="E14" s="763" t="s">
        <v>28</v>
      </c>
      <c r="F14" s="360" t="s">
        <v>14</v>
      </c>
      <c r="G14" s="755"/>
      <c r="H14" s="755"/>
    </row>
    <row r="15" spans="1:8" ht="48.75" customHeight="1" x14ac:dyDescent="0.25">
      <c r="A15" s="754"/>
      <c r="B15" s="755"/>
      <c r="C15" s="760"/>
      <c r="D15" s="761"/>
      <c r="E15" s="764"/>
      <c r="F15" s="643" t="str">
        <f>"плановые затраты (на 1 запуск: " &amp; год &amp; " г.)"</f>
        <v>плановые затраты (на 1 запуск: 2030 г.)</v>
      </c>
      <c r="G15" s="755"/>
      <c r="H15" s="755"/>
    </row>
    <row r="16" spans="1:8" s="20" customFormat="1" x14ac:dyDescent="0.25">
      <c r="A16" s="230">
        <v>1</v>
      </c>
      <c r="B16" s="230">
        <v>2</v>
      </c>
      <c r="C16" s="765">
        <v>3</v>
      </c>
      <c r="D16" s="766"/>
      <c r="E16" s="361">
        <v>4</v>
      </c>
      <c r="F16" s="362" t="s">
        <v>47</v>
      </c>
      <c r="G16" s="230">
        <v>5</v>
      </c>
      <c r="H16" s="230">
        <v>6</v>
      </c>
    </row>
    <row r="17" spans="1:8" s="368" customFormat="1" x14ac:dyDescent="0.2">
      <c r="A17" s="363" t="s">
        <v>141</v>
      </c>
      <c r="B17" s="85" t="s">
        <v>126</v>
      </c>
      <c r="C17" s="744" t="s">
        <v>306</v>
      </c>
      <c r="D17" s="745"/>
      <c r="E17" s="364">
        <f>F17</f>
        <v>51497.893920000002</v>
      </c>
      <c r="F17" s="365">
        <f>F19</f>
        <v>51497.893920000002</v>
      </c>
      <c r="G17" s="366"/>
      <c r="H17" s="367" t="s">
        <v>306</v>
      </c>
    </row>
    <row r="18" spans="1:8" x14ac:dyDescent="0.25">
      <c r="A18" s="10"/>
      <c r="B18" s="369" t="s">
        <v>88</v>
      </c>
      <c r="C18" s="744" t="s">
        <v>306</v>
      </c>
      <c r="D18" s="745"/>
      <c r="E18" s="364" t="str">
        <f t="shared" ref="E18:E58" si="0">F18</f>
        <v>-</v>
      </c>
      <c r="F18" s="365" t="s">
        <v>306</v>
      </c>
      <c r="G18" s="143"/>
      <c r="H18" s="367" t="s">
        <v>306</v>
      </c>
    </row>
    <row r="19" spans="1:8" ht="30" x14ac:dyDescent="0.25">
      <c r="A19" s="10" t="s">
        <v>142</v>
      </c>
      <c r="B19" s="370" t="s">
        <v>484</v>
      </c>
      <c r="C19" s="744" t="s">
        <v>306</v>
      </c>
      <c r="D19" s="745"/>
      <c r="E19" s="364">
        <f t="shared" si="0"/>
        <v>51497.893920000002</v>
      </c>
      <c r="F19" s="365">
        <f>'4 матер'!T11</f>
        <v>51497.893920000002</v>
      </c>
      <c r="G19" s="366"/>
      <c r="H19" s="367" t="s">
        <v>306</v>
      </c>
    </row>
    <row r="20" spans="1:8" x14ac:dyDescent="0.25">
      <c r="A20" s="10" t="s">
        <v>146</v>
      </c>
      <c r="B20" s="369" t="s">
        <v>143</v>
      </c>
      <c r="C20" s="744" t="s">
        <v>306</v>
      </c>
      <c r="D20" s="745"/>
      <c r="E20" s="364" t="str">
        <f t="shared" si="0"/>
        <v>-</v>
      </c>
      <c r="F20" s="365" t="s">
        <v>306</v>
      </c>
      <c r="G20" s="143"/>
      <c r="H20" s="367" t="s">
        <v>306</v>
      </c>
    </row>
    <row r="21" spans="1:8" x14ac:dyDescent="0.25">
      <c r="A21" s="10" t="s">
        <v>147</v>
      </c>
      <c r="B21" s="369" t="s">
        <v>144</v>
      </c>
      <c r="C21" s="744" t="s">
        <v>306</v>
      </c>
      <c r="D21" s="745"/>
      <c r="E21" s="364" t="str">
        <f t="shared" si="0"/>
        <v>-</v>
      </c>
      <c r="F21" s="365" t="s">
        <v>306</v>
      </c>
      <c r="G21" s="143"/>
      <c r="H21" s="367" t="s">
        <v>306</v>
      </c>
    </row>
    <row r="22" spans="1:8" x14ac:dyDescent="0.25">
      <c r="A22" s="10" t="s">
        <v>148</v>
      </c>
      <c r="B22" s="369" t="s">
        <v>145</v>
      </c>
      <c r="C22" s="744" t="s">
        <v>306</v>
      </c>
      <c r="D22" s="745"/>
      <c r="E22" s="364" t="str">
        <f t="shared" si="0"/>
        <v>-</v>
      </c>
      <c r="F22" s="365" t="s">
        <v>306</v>
      </c>
      <c r="G22" s="143"/>
      <c r="H22" s="367" t="s">
        <v>306</v>
      </c>
    </row>
    <row r="23" spans="1:8" ht="30" x14ac:dyDescent="0.25">
      <c r="A23" s="10" t="s">
        <v>149</v>
      </c>
      <c r="B23" s="369" t="s">
        <v>385</v>
      </c>
      <c r="C23" s="744" t="s">
        <v>306</v>
      </c>
      <c r="D23" s="745"/>
      <c r="E23" s="364" t="str">
        <f t="shared" si="0"/>
        <v>-</v>
      </c>
      <c r="F23" s="365" t="s">
        <v>306</v>
      </c>
      <c r="G23" s="143"/>
      <c r="H23" s="367" t="s">
        <v>306</v>
      </c>
    </row>
    <row r="24" spans="1:8" x14ac:dyDescent="0.25">
      <c r="A24" s="10" t="s">
        <v>150</v>
      </c>
      <c r="B24" s="369" t="s">
        <v>258</v>
      </c>
      <c r="C24" s="744" t="s">
        <v>306</v>
      </c>
      <c r="D24" s="745"/>
      <c r="E24" s="364" t="str">
        <f t="shared" si="0"/>
        <v>-</v>
      </c>
      <c r="F24" s="365" t="s">
        <v>306</v>
      </c>
      <c r="G24" s="133"/>
      <c r="H24" s="367" t="s">
        <v>306</v>
      </c>
    </row>
    <row r="25" spans="1:8" x14ac:dyDescent="0.25">
      <c r="A25" s="10" t="s">
        <v>151</v>
      </c>
      <c r="B25" s="369" t="s">
        <v>465</v>
      </c>
      <c r="C25" s="744" t="s">
        <v>306</v>
      </c>
      <c r="D25" s="745"/>
      <c r="E25" s="364" t="str">
        <f t="shared" si="0"/>
        <v>-</v>
      </c>
      <c r="F25" s="365" t="s">
        <v>306</v>
      </c>
      <c r="G25" s="133"/>
      <c r="H25" s="367" t="s">
        <v>306</v>
      </c>
    </row>
    <row r="26" spans="1:8" x14ac:dyDescent="0.25">
      <c r="A26" s="10" t="s">
        <v>152</v>
      </c>
      <c r="B26" s="369" t="s">
        <v>466</v>
      </c>
      <c r="C26" s="744" t="s">
        <v>306</v>
      </c>
      <c r="D26" s="745"/>
      <c r="E26" s="364" t="str">
        <f t="shared" si="0"/>
        <v>-</v>
      </c>
      <c r="F26" s="365" t="s">
        <v>306</v>
      </c>
      <c r="G26" s="133"/>
      <c r="H26" s="367" t="s">
        <v>306</v>
      </c>
    </row>
    <row r="27" spans="1:8" x14ac:dyDescent="0.25">
      <c r="A27" s="10" t="s">
        <v>153</v>
      </c>
      <c r="B27" s="369" t="s">
        <v>211</v>
      </c>
      <c r="C27" s="744" t="s">
        <v>306</v>
      </c>
      <c r="D27" s="745"/>
      <c r="E27" s="364" t="str">
        <f t="shared" si="0"/>
        <v>-</v>
      </c>
      <c r="F27" s="365" t="s">
        <v>306</v>
      </c>
      <c r="G27" s="133"/>
      <c r="H27" s="367" t="s">
        <v>306</v>
      </c>
    </row>
    <row r="28" spans="1:8" x14ac:dyDescent="0.25">
      <c r="A28" s="10" t="s">
        <v>154</v>
      </c>
      <c r="B28" s="369" t="s">
        <v>229</v>
      </c>
      <c r="C28" s="744" t="s">
        <v>306</v>
      </c>
      <c r="D28" s="745"/>
      <c r="E28" s="364" t="str">
        <f t="shared" si="0"/>
        <v>-</v>
      </c>
      <c r="F28" s="365" t="s">
        <v>306</v>
      </c>
      <c r="G28" s="133"/>
      <c r="H28" s="367" t="s">
        <v>306</v>
      </c>
    </row>
    <row r="29" spans="1:8" s="373" customFormat="1" x14ac:dyDescent="0.25">
      <c r="A29" s="371" t="s">
        <v>155</v>
      </c>
      <c r="B29" s="369" t="s">
        <v>158</v>
      </c>
      <c r="C29" s="744" t="s">
        <v>306</v>
      </c>
      <c r="D29" s="745"/>
      <c r="E29" s="364">
        <f t="shared" si="0"/>
        <v>444103.27147139329</v>
      </c>
      <c r="F29" s="372">
        <f>F31+F32</f>
        <v>444103.27147139329</v>
      </c>
      <c r="G29" s="366"/>
      <c r="H29" s="367" t="s">
        <v>306</v>
      </c>
    </row>
    <row r="30" spans="1:8" x14ac:dyDescent="0.25">
      <c r="A30" s="10"/>
      <c r="B30" s="369" t="s">
        <v>88</v>
      </c>
      <c r="C30" s="744" t="s">
        <v>306</v>
      </c>
      <c r="D30" s="745"/>
      <c r="E30" s="364" t="str">
        <f t="shared" si="0"/>
        <v>-</v>
      </c>
      <c r="F30" s="365" t="s">
        <v>306</v>
      </c>
      <c r="G30" s="133"/>
      <c r="H30" s="367" t="s">
        <v>306</v>
      </c>
    </row>
    <row r="31" spans="1:8" x14ac:dyDescent="0.25">
      <c r="A31" s="10" t="s">
        <v>156</v>
      </c>
      <c r="B31" s="369" t="s">
        <v>87</v>
      </c>
      <c r="C31" s="744" t="s">
        <v>306</v>
      </c>
      <c r="D31" s="745"/>
      <c r="E31" s="364">
        <f t="shared" si="0"/>
        <v>420503.12421888404</v>
      </c>
      <c r="F31" s="365">
        <f>'9 ОЗП'!L14</f>
        <v>420503.12421888404</v>
      </c>
      <c r="G31" s="366"/>
      <c r="H31" s="367" t="s">
        <v>306</v>
      </c>
    </row>
    <row r="32" spans="1:8" x14ac:dyDescent="0.25">
      <c r="A32" s="10" t="s">
        <v>157</v>
      </c>
      <c r="B32" s="369" t="s">
        <v>432</v>
      </c>
      <c r="C32" s="744" t="s">
        <v>306</v>
      </c>
      <c r="D32" s="745"/>
      <c r="E32" s="364">
        <f t="shared" si="0"/>
        <v>23600.147252509279</v>
      </c>
      <c r="F32" s="365">
        <f>'10 (10д) ДЗП'!F22</f>
        <v>23600.147252509279</v>
      </c>
      <c r="G32" s="366"/>
      <c r="H32" s="367" t="s">
        <v>306</v>
      </c>
    </row>
    <row r="33" spans="1:8" ht="30" x14ac:dyDescent="0.25">
      <c r="A33" s="10" t="s">
        <v>159</v>
      </c>
      <c r="B33" s="369" t="s">
        <v>51</v>
      </c>
      <c r="C33" s="744" t="s">
        <v>306</v>
      </c>
      <c r="D33" s="745"/>
      <c r="E33" s="364">
        <f t="shared" si="0"/>
        <v>82159.105222207756</v>
      </c>
      <c r="F33" s="365">
        <f>(F32+F31)*18.5/100</f>
        <v>82159.105222207756</v>
      </c>
      <c r="G33" s="366"/>
      <c r="H33" s="367" t="s">
        <v>306</v>
      </c>
    </row>
    <row r="34" spans="1:8" ht="30" customHeight="1" x14ac:dyDescent="0.25">
      <c r="A34" s="10" t="s">
        <v>160</v>
      </c>
      <c r="B34" s="369" t="s">
        <v>15</v>
      </c>
      <c r="C34" s="744" t="s">
        <v>306</v>
      </c>
      <c r="D34" s="745"/>
      <c r="E34" s="364" t="str">
        <f t="shared" si="0"/>
        <v>-</v>
      </c>
      <c r="F34" s="365" t="s">
        <v>306</v>
      </c>
      <c r="G34" s="133"/>
      <c r="H34" s="367" t="s">
        <v>306</v>
      </c>
    </row>
    <row r="35" spans="1:8" ht="12.95" customHeight="1" x14ac:dyDescent="0.25">
      <c r="A35" s="10"/>
      <c r="B35" s="374" t="s">
        <v>88</v>
      </c>
      <c r="C35" s="769" t="s">
        <v>306</v>
      </c>
      <c r="D35" s="770"/>
      <c r="E35" s="364" t="str">
        <f t="shared" si="0"/>
        <v>-</v>
      </c>
      <c r="F35" s="365" t="s">
        <v>306</v>
      </c>
      <c r="G35" s="133"/>
      <c r="H35" s="367" t="s">
        <v>306</v>
      </c>
    </row>
    <row r="36" spans="1:8" x14ac:dyDescent="0.25">
      <c r="A36" s="10" t="s">
        <v>161</v>
      </c>
      <c r="B36" s="369" t="s">
        <v>283</v>
      </c>
      <c r="C36" s="769" t="s">
        <v>306</v>
      </c>
      <c r="D36" s="770"/>
      <c r="E36" s="364" t="str">
        <f t="shared" si="0"/>
        <v>-</v>
      </c>
      <c r="F36" s="365" t="s">
        <v>306</v>
      </c>
      <c r="G36" s="133"/>
      <c r="H36" s="367" t="s">
        <v>306</v>
      </c>
    </row>
    <row r="37" spans="1:8" ht="30" x14ac:dyDescent="0.25">
      <c r="A37" s="10" t="s">
        <v>162</v>
      </c>
      <c r="B37" s="369" t="s">
        <v>163</v>
      </c>
      <c r="C37" s="769" t="s">
        <v>306</v>
      </c>
      <c r="D37" s="770"/>
      <c r="E37" s="364" t="str">
        <f t="shared" si="0"/>
        <v>-</v>
      </c>
      <c r="F37" s="365" t="s">
        <v>306</v>
      </c>
      <c r="G37" s="133"/>
      <c r="H37" s="367" t="s">
        <v>306</v>
      </c>
    </row>
    <row r="38" spans="1:8" x14ac:dyDescent="0.25">
      <c r="A38" s="10" t="s">
        <v>164</v>
      </c>
      <c r="B38" s="369" t="s">
        <v>13</v>
      </c>
      <c r="C38" s="769" t="s">
        <v>306</v>
      </c>
      <c r="D38" s="770"/>
      <c r="E38" s="364" t="str">
        <f t="shared" si="0"/>
        <v>-</v>
      </c>
      <c r="F38" s="365" t="s">
        <v>306</v>
      </c>
      <c r="G38" s="133"/>
      <c r="H38" s="367" t="s">
        <v>306</v>
      </c>
    </row>
    <row r="39" spans="1:8" ht="30" x14ac:dyDescent="0.25">
      <c r="A39" s="10" t="s">
        <v>165</v>
      </c>
      <c r="B39" s="369" t="s">
        <v>336</v>
      </c>
      <c r="C39" s="769" t="s">
        <v>306</v>
      </c>
      <c r="D39" s="770"/>
      <c r="E39" s="364" t="str">
        <f t="shared" si="0"/>
        <v>-</v>
      </c>
      <c r="F39" s="365" t="s">
        <v>306</v>
      </c>
      <c r="G39" s="133"/>
      <c r="H39" s="367" t="s">
        <v>306</v>
      </c>
    </row>
    <row r="40" spans="1:8" x14ac:dyDescent="0.25">
      <c r="A40" s="10" t="s">
        <v>166</v>
      </c>
      <c r="B40" s="369" t="s">
        <v>12</v>
      </c>
      <c r="C40" s="769" t="s">
        <v>306</v>
      </c>
      <c r="D40" s="770"/>
      <c r="E40" s="364" t="str">
        <f t="shared" si="0"/>
        <v>-</v>
      </c>
      <c r="F40" s="365" t="s">
        <v>306</v>
      </c>
      <c r="G40" s="133"/>
      <c r="H40" s="367" t="s">
        <v>306</v>
      </c>
    </row>
    <row r="41" spans="1:8" x14ac:dyDescent="0.25">
      <c r="A41" s="10" t="s">
        <v>167</v>
      </c>
      <c r="B41" s="369" t="s">
        <v>11</v>
      </c>
      <c r="C41" s="769" t="s">
        <v>306</v>
      </c>
      <c r="D41" s="770"/>
      <c r="E41" s="364" t="str">
        <f t="shared" si="0"/>
        <v>-</v>
      </c>
      <c r="F41" s="365" t="s">
        <v>306</v>
      </c>
      <c r="G41" s="133"/>
      <c r="H41" s="367" t="s">
        <v>306</v>
      </c>
    </row>
    <row r="42" spans="1:8" x14ac:dyDescent="0.25">
      <c r="A42" s="10" t="s">
        <v>168</v>
      </c>
      <c r="B42" s="369" t="s">
        <v>115</v>
      </c>
      <c r="C42" s="744" t="s">
        <v>306</v>
      </c>
      <c r="D42" s="745"/>
      <c r="E42" s="364">
        <f t="shared" si="0"/>
        <v>1784447.0400319998</v>
      </c>
      <c r="F42" s="365">
        <f>ROUND(F31,2)*(424.36/100)</f>
        <v>1784447.0400319998</v>
      </c>
      <c r="G42" s="366"/>
      <c r="H42" s="367" t="s">
        <v>306</v>
      </c>
    </row>
    <row r="43" spans="1:8" s="373" customFormat="1" x14ac:dyDescent="0.25">
      <c r="A43" s="371" t="s">
        <v>169</v>
      </c>
      <c r="B43" s="369" t="s">
        <v>170</v>
      </c>
      <c r="C43" s="744" t="s">
        <v>306</v>
      </c>
      <c r="D43" s="745"/>
      <c r="E43" s="364">
        <f t="shared" si="0"/>
        <v>323875.35948269459</v>
      </c>
      <c r="F43" s="365">
        <f>'19 (19д) Командировки '!F16</f>
        <v>323875.35948269459</v>
      </c>
      <c r="G43" s="366"/>
      <c r="H43" s="367" t="s">
        <v>306</v>
      </c>
    </row>
    <row r="44" spans="1:8" x14ac:dyDescent="0.25">
      <c r="A44" s="10" t="s">
        <v>171</v>
      </c>
      <c r="B44" s="369" t="s">
        <v>387</v>
      </c>
      <c r="C44" s="744" t="s">
        <v>306</v>
      </c>
      <c r="D44" s="745"/>
      <c r="E44" s="364">
        <f t="shared" si="0"/>
        <v>1420854.0523307866</v>
      </c>
      <c r="F44" s="365">
        <f>'18 (18д) проч з'!F14</f>
        <v>1420854.0523307866</v>
      </c>
      <c r="G44" s="366"/>
      <c r="H44" s="367" t="s">
        <v>306</v>
      </c>
    </row>
    <row r="45" spans="1:8" s="373" customFormat="1" ht="30" x14ac:dyDescent="0.25">
      <c r="A45" s="371" t="s">
        <v>172</v>
      </c>
      <c r="B45" s="369" t="s">
        <v>386</v>
      </c>
      <c r="C45" s="744" t="s">
        <v>306</v>
      </c>
      <c r="D45" s="745"/>
      <c r="E45" s="364">
        <f t="shared" si="0"/>
        <v>4558384.295353109</v>
      </c>
      <c r="F45" s="365">
        <f>'7д НИР ОКР'!I15</f>
        <v>4558384.295353109</v>
      </c>
      <c r="G45" s="375"/>
      <c r="H45" s="367" t="s">
        <v>306</v>
      </c>
    </row>
    <row r="46" spans="1:8" ht="30" x14ac:dyDescent="0.25">
      <c r="A46" s="10" t="s">
        <v>174</v>
      </c>
      <c r="B46" s="369" t="s">
        <v>173</v>
      </c>
      <c r="C46" s="744" t="s">
        <v>306</v>
      </c>
      <c r="D46" s="745"/>
      <c r="E46" s="364">
        <f t="shared" si="0"/>
        <v>8665321.0178121906</v>
      </c>
      <c r="F46" s="365">
        <f>F45+F44+F43+F42+F33+F32+F31+F17</f>
        <v>8665321.0178121906</v>
      </c>
      <c r="G46" s="375"/>
      <c r="H46" s="367" t="s">
        <v>306</v>
      </c>
    </row>
    <row r="47" spans="1:8" x14ac:dyDescent="0.25">
      <c r="A47" s="10" t="s">
        <v>175</v>
      </c>
      <c r="B47" s="369" t="s">
        <v>192</v>
      </c>
      <c r="C47" s="744" t="s">
        <v>306</v>
      </c>
      <c r="D47" s="745"/>
      <c r="E47" s="364" t="str">
        <f t="shared" si="0"/>
        <v>-</v>
      </c>
      <c r="F47" s="365" t="s">
        <v>306</v>
      </c>
      <c r="G47" s="366"/>
      <c r="H47" s="367" t="s">
        <v>306</v>
      </c>
    </row>
    <row r="48" spans="1:8" x14ac:dyDescent="0.25">
      <c r="A48" s="10" t="s">
        <v>176</v>
      </c>
      <c r="B48" s="369" t="s">
        <v>337</v>
      </c>
      <c r="C48" s="744" t="s">
        <v>306</v>
      </c>
      <c r="D48" s="745"/>
      <c r="E48" s="364" t="str">
        <f t="shared" si="0"/>
        <v>-</v>
      </c>
      <c r="F48" s="365" t="s">
        <v>306</v>
      </c>
      <c r="G48" s="366"/>
      <c r="H48" s="367" t="s">
        <v>306</v>
      </c>
    </row>
    <row r="49" spans="1:8" x14ac:dyDescent="0.25">
      <c r="A49" s="10" t="s">
        <v>177</v>
      </c>
      <c r="B49" s="369" t="s">
        <v>338</v>
      </c>
      <c r="C49" s="744" t="s">
        <v>306</v>
      </c>
      <c r="D49" s="745"/>
      <c r="E49" s="364" t="str">
        <f t="shared" si="0"/>
        <v>-</v>
      </c>
      <c r="F49" s="365" t="s">
        <v>306</v>
      </c>
      <c r="G49" s="366"/>
      <c r="H49" s="367" t="s">
        <v>306</v>
      </c>
    </row>
    <row r="50" spans="1:8" s="21" customFormat="1" ht="30" x14ac:dyDescent="0.25">
      <c r="A50" s="10" t="s">
        <v>178</v>
      </c>
      <c r="B50" s="369" t="s">
        <v>341</v>
      </c>
      <c r="C50" s="744" t="s">
        <v>306</v>
      </c>
      <c r="D50" s="745"/>
      <c r="E50" s="364">
        <f t="shared" si="0"/>
        <v>8665321.0178121906</v>
      </c>
      <c r="F50" s="365">
        <f>F46</f>
        <v>8665321.0178121906</v>
      </c>
      <c r="G50" s="711" t="s">
        <v>994</v>
      </c>
      <c r="H50" s="367" t="s">
        <v>306</v>
      </c>
    </row>
    <row r="51" spans="1:8" s="21" customFormat="1" x14ac:dyDescent="0.25">
      <c r="A51" s="10"/>
      <c r="B51" s="369" t="s">
        <v>14</v>
      </c>
      <c r="C51" s="744" t="s">
        <v>306</v>
      </c>
      <c r="D51" s="745"/>
      <c r="E51" s="364" t="str">
        <f t="shared" si="0"/>
        <v>-</v>
      </c>
      <c r="F51" s="365" t="s">
        <v>306</v>
      </c>
      <c r="G51" s="367"/>
      <c r="H51" s="367" t="s">
        <v>306</v>
      </c>
    </row>
    <row r="52" spans="1:8" s="21" customFormat="1" x14ac:dyDescent="0.25">
      <c r="A52" s="10"/>
      <c r="B52" s="369" t="s">
        <v>540</v>
      </c>
      <c r="C52" s="744" t="s">
        <v>306</v>
      </c>
      <c r="D52" s="745"/>
      <c r="E52" s="364">
        <f t="shared" si="0"/>
        <v>6030736.2416038951</v>
      </c>
      <c r="F52" s="365">
        <f>F45+F44+F17</f>
        <v>6030736.2416038951</v>
      </c>
      <c r="G52" s="367"/>
      <c r="H52" s="367" t="s">
        <v>306</v>
      </c>
    </row>
    <row r="53" spans="1:8" s="21" customFormat="1" x14ac:dyDescent="0.25">
      <c r="A53" s="10"/>
      <c r="B53" s="369" t="s">
        <v>541</v>
      </c>
      <c r="C53" s="744" t="s">
        <v>306</v>
      </c>
      <c r="D53" s="745"/>
      <c r="E53" s="364">
        <f t="shared" si="0"/>
        <v>2634584.7762082955</v>
      </c>
      <c r="F53" s="365">
        <f>F43+F42+F33+F29</f>
        <v>2634584.7762082955</v>
      </c>
      <c r="G53" s="367"/>
      <c r="H53" s="367" t="s">
        <v>306</v>
      </c>
    </row>
    <row r="54" spans="1:8" x14ac:dyDescent="0.25">
      <c r="A54" s="10" t="s">
        <v>193</v>
      </c>
      <c r="B54" s="369" t="s">
        <v>10</v>
      </c>
      <c r="C54" s="744" t="s">
        <v>306</v>
      </c>
      <c r="D54" s="745"/>
      <c r="E54" s="364">
        <f t="shared" si="0"/>
        <v>455495.07999999996</v>
      </c>
      <c r="F54" s="365">
        <f>'20_приб'!G42</f>
        <v>455495.07999999996</v>
      </c>
      <c r="G54" s="133"/>
      <c r="H54" s="367" t="s">
        <v>306</v>
      </c>
    </row>
    <row r="55" spans="1:8" s="368" customFormat="1" ht="29.25" x14ac:dyDescent="0.2">
      <c r="A55" s="363" t="s">
        <v>194</v>
      </c>
      <c r="B55" s="85" t="s">
        <v>927</v>
      </c>
      <c r="C55" s="744" t="s">
        <v>306</v>
      </c>
      <c r="D55" s="745"/>
      <c r="E55" s="376">
        <f t="shared" si="0"/>
        <v>9120816.0978121907</v>
      </c>
      <c r="F55" s="377">
        <f>F54+F50</f>
        <v>9120816.0978121907</v>
      </c>
      <c r="G55" s="133"/>
      <c r="H55" s="367" t="s">
        <v>306</v>
      </c>
    </row>
    <row r="56" spans="1:8" x14ac:dyDescent="0.25">
      <c r="A56" s="10"/>
      <c r="B56" s="369" t="s">
        <v>565</v>
      </c>
      <c r="C56" s="744" t="s">
        <v>306</v>
      </c>
      <c r="D56" s="745"/>
      <c r="E56" s="364">
        <f t="shared" si="0"/>
        <v>0</v>
      </c>
      <c r="F56" s="365">
        <v>0</v>
      </c>
      <c r="G56" s="133"/>
      <c r="H56" s="367" t="s">
        <v>306</v>
      </c>
    </row>
    <row r="57" spans="1:8" s="380" customFormat="1" x14ac:dyDescent="0.2">
      <c r="A57" s="378"/>
      <c r="B57" s="16" t="s">
        <v>994</v>
      </c>
      <c r="C57" s="744" t="s">
        <v>306</v>
      </c>
      <c r="D57" s="745"/>
      <c r="E57" s="379">
        <f t="shared" si="0"/>
        <v>9120816.0978121907</v>
      </c>
      <c r="F57" s="377">
        <f>F55+F56</f>
        <v>9120816.0978121907</v>
      </c>
      <c r="G57" s="367"/>
      <c r="H57" s="367" t="s">
        <v>306</v>
      </c>
    </row>
    <row r="58" spans="1:8" ht="15.75" thickBot="1" x14ac:dyDescent="0.3">
      <c r="A58" s="10"/>
      <c r="B58" s="369" t="s">
        <v>464</v>
      </c>
      <c r="C58" s="744" t="s">
        <v>306</v>
      </c>
      <c r="D58" s="745"/>
      <c r="E58" s="381">
        <f t="shared" si="0"/>
        <v>600</v>
      </c>
      <c r="F58" s="382">
        <f>'9 ОЗП'!E14</f>
        <v>600</v>
      </c>
      <c r="G58" s="367"/>
      <c r="H58" s="367" t="s">
        <v>306</v>
      </c>
    </row>
    <row r="59" spans="1:8" x14ac:dyDescent="0.25">
      <c r="A59" s="383"/>
      <c r="B59" s="384"/>
      <c r="C59" s="385"/>
      <c r="D59" s="385"/>
      <c r="E59" s="386"/>
      <c r="F59" s="386"/>
      <c r="G59" s="387"/>
      <c r="H59" s="387"/>
    </row>
    <row r="60" spans="1:8" s="368" customFormat="1" ht="14.25" x14ac:dyDescent="0.2">
      <c r="A60" s="746" t="s">
        <v>383</v>
      </c>
      <c r="B60" s="746"/>
      <c r="C60" s="746"/>
      <c r="D60" s="746"/>
      <c r="E60" s="746"/>
      <c r="F60" s="771" t="s">
        <v>304</v>
      </c>
      <c r="G60" s="771"/>
      <c r="H60" s="771"/>
    </row>
    <row r="61" spans="1:8" s="368" customFormat="1" ht="41.1" customHeight="1" x14ac:dyDescent="0.2">
      <c r="A61" s="746" t="s">
        <v>490</v>
      </c>
      <c r="B61" s="746"/>
      <c r="C61" s="746"/>
      <c r="D61" s="746"/>
      <c r="E61" s="746"/>
      <c r="F61" s="746" t="s">
        <v>611</v>
      </c>
      <c r="G61" s="746"/>
      <c r="H61" s="746"/>
    </row>
    <row r="62" spans="1:8" ht="15" customHeight="1" x14ac:dyDescent="0.25">
      <c r="A62" s="747" t="s">
        <v>388</v>
      </c>
      <c r="B62" s="747"/>
      <c r="C62" s="747" t="s">
        <v>0</v>
      </c>
      <c r="D62" s="747"/>
      <c r="F62" s="388" t="s">
        <v>388</v>
      </c>
      <c r="G62" s="747" t="s">
        <v>0</v>
      </c>
      <c r="H62" s="747"/>
    </row>
    <row r="63" spans="1:8" ht="18.95" customHeight="1" x14ac:dyDescent="0.25">
      <c r="A63" s="738" t="s">
        <v>883</v>
      </c>
      <c r="B63" s="738"/>
      <c r="C63" s="13"/>
      <c r="F63" s="748" t="s">
        <v>884</v>
      </c>
      <c r="G63" s="748"/>
      <c r="H63" s="748"/>
    </row>
    <row r="64" spans="1:8" ht="14.1" customHeight="1" x14ac:dyDescent="0.25">
      <c r="B64" s="41"/>
      <c r="C64" s="41"/>
      <c r="D64" s="42"/>
      <c r="E64" s="42"/>
      <c r="F64" s="42"/>
      <c r="G64" s="42"/>
      <c r="H64" s="42"/>
    </row>
    <row r="65" spans="1:6" ht="10.5" customHeight="1" x14ac:dyDescent="0.25"/>
    <row r="66" spans="1:6" x14ac:dyDescent="0.25">
      <c r="A66" s="746" t="s">
        <v>301</v>
      </c>
      <c r="B66" s="746"/>
      <c r="C66" s="746"/>
      <c r="D66" s="746"/>
      <c r="E66" s="746"/>
      <c r="F66" s="390"/>
    </row>
    <row r="67" spans="1:6" x14ac:dyDescent="0.25">
      <c r="A67" s="746" t="s">
        <v>606</v>
      </c>
      <c r="B67" s="746"/>
      <c r="C67" s="746"/>
      <c r="D67" s="746"/>
      <c r="E67" s="746"/>
      <c r="F67" s="390"/>
    </row>
    <row r="68" spans="1:6" x14ac:dyDescent="0.25">
      <c r="A68" s="747" t="s">
        <v>388</v>
      </c>
      <c r="B68" s="747"/>
      <c r="C68" s="747" t="s">
        <v>0</v>
      </c>
      <c r="D68" s="747"/>
    </row>
    <row r="69" spans="1:6" x14ac:dyDescent="0.25">
      <c r="A69" s="738" t="s">
        <v>885</v>
      </c>
      <c r="B69" s="738"/>
      <c r="C69" s="13"/>
      <c r="F69" s="13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51181102362204722" right="0.51181102362204722" top="0.74803149606299213" bottom="0.15748031496062992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EB5D-79DE-9C4C-8BA6-97F8A956F9B8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489" customWidth="1"/>
    <col min="2" max="2" width="47.42578125" style="489" customWidth="1"/>
    <col min="3" max="3" width="13.7109375" style="489" customWidth="1"/>
    <col min="4" max="4" width="18.140625" style="489" customWidth="1"/>
    <col min="5" max="5" width="14.42578125" style="489" customWidth="1"/>
    <col min="6" max="6" width="18.42578125" style="489" customWidth="1"/>
    <col min="7" max="7" width="15.7109375" style="489" customWidth="1"/>
    <col min="8" max="8" width="14.42578125" style="489" customWidth="1"/>
    <col min="9" max="9" width="22" style="489" customWidth="1"/>
    <col min="10" max="10" width="8.7109375" style="489" customWidth="1"/>
    <col min="11" max="11" width="7.28515625" style="489" customWidth="1"/>
    <col min="12" max="12" width="8.7109375" style="489" customWidth="1"/>
    <col min="13" max="16384" width="9.140625" style="42"/>
  </cols>
  <sheetData>
    <row r="1" spans="1:12" x14ac:dyDescent="0.25">
      <c r="I1" s="563" t="s">
        <v>531</v>
      </c>
      <c r="K1" s="1026"/>
      <c r="L1" s="1026"/>
    </row>
    <row r="2" spans="1:12" ht="18" customHeight="1" x14ac:dyDescent="0.25">
      <c r="A2" s="1027" t="s">
        <v>195</v>
      </c>
      <c r="B2" s="1027"/>
      <c r="C2" s="1027"/>
      <c r="D2" s="1027"/>
      <c r="E2" s="1027"/>
      <c r="F2" s="1027"/>
      <c r="G2" s="1027"/>
      <c r="H2" s="1027"/>
      <c r="I2" s="1027"/>
    </row>
    <row r="3" spans="1:12" ht="52.5" customHeight="1" x14ac:dyDescent="0.25">
      <c r="A3" s="1028" t="s">
        <v>957</v>
      </c>
      <c r="B3" s="1028"/>
      <c r="C3" s="1028"/>
      <c r="D3" s="1028"/>
      <c r="E3" s="1028"/>
      <c r="F3" s="1028"/>
      <c r="G3" s="1028"/>
      <c r="H3" s="1028"/>
      <c r="I3" s="1028"/>
      <c r="J3" s="115"/>
    </row>
    <row r="4" spans="1:12" ht="15" customHeight="1" x14ac:dyDescent="0.25">
      <c r="A4" s="565"/>
      <c r="B4" s="565"/>
      <c r="C4" s="565"/>
      <c r="D4" s="565"/>
      <c r="E4" s="565"/>
      <c r="F4" s="565"/>
      <c r="G4" s="565"/>
      <c r="H4" s="565"/>
      <c r="I4" s="566" t="s">
        <v>312</v>
      </c>
    </row>
    <row r="5" spans="1:12" ht="27" customHeight="1" x14ac:dyDescent="0.25">
      <c r="A5" s="1029" t="s">
        <v>44</v>
      </c>
      <c r="B5" s="1029" t="s">
        <v>35</v>
      </c>
      <c r="C5" s="1029" t="s">
        <v>879</v>
      </c>
      <c r="D5" s="1029"/>
      <c r="E5" s="1029"/>
      <c r="F5" s="1029"/>
      <c r="G5" s="1029" t="s">
        <v>433</v>
      </c>
      <c r="H5" s="1029" t="s">
        <v>910</v>
      </c>
      <c r="I5" s="1029"/>
      <c r="J5" s="567"/>
      <c r="K5" s="567"/>
      <c r="L5" s="567"/>
    </row>
    <row r="6" spans="1:12" ht="27.75" customHeight="1" x14ac:dyDescent="0.25">
      <c r="A6" s="1029"/>
      <c r="B6" s="1029"/>
      <c r="C6" s="1030" t="s">
        <v>26</v>
      </c>
      <c r="D6" s="1030"/>
      <c r="E6" s="1030" t="s">
        <v>25</v>
      </c>
      <c r="F6" s="1030"/>
      <c r="G6" s="1029"/>
      <c r="H6" s="1031" t="s">
        <v>909</v>
      </c>
      <c r="I6" s="1032"/>
      <c r="J6" s="568"/>
      <c r="K6" s="569"/>
      <c r="L6" s="569"/>
    </row>
    <row r="7" spans="1:12" ht="70.5" customHeight="1" x14ac:dyDescent="0.25">
      <c r="A7" s="1029"/>
      <c r="B7" s="1029"/>
      <c r="C7" s="235" t="s">
        <v>435</v>
      </c>
      <c r="D7" s="235" t="s">
        <v>907</v>
      </c>
      <c r="E7" s="235" t="s">
        <v>435</v>
      </c>
      <c r="F7" s="235" t="s">
        <v>908</v>
      </c>
      <c r="G7" s="1029"/>
      <c r="H7" s="235" t="s">
        <v>434</v>
      </c>
      <c r="I7" s="235" t="s">
        <v>539</v>
      </c>
      <c r="J7" s="570"/>
      <c r="K7" s="502"/>
      <c r="L7" s="570"/>
    </row>
    <row r="8" spans="1:12" ht="15" customHeight="1" x14ac:dyDescent="0.25">
      <c r="A8" s="192">
        <v>1</v>
      </c>
      <c r="B8" s="192">
        <v>2</v>
      </c>
      <c r="C8" s="192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564"/>
      <c r="K8" s="564"/>
      <c r="L8" s="564"/>
    </row>
    <row r="9" spans="1:12" ht="15.75" customHeight="1" x14ac:dyDescent="0.25">
      <c r="A9" s="192">
        <v>1</v>
      </c>
      <c r="B9" s="210" t="s">
        <v>311</v>
      </c>
      <c r="C9" s="201">
        <v>30778.99</v>
      </c>
      <c r="D9" s="201">
        <v>30778.99</v>
      </c>
      <c r="E9" s="203">
        <v>39814.5</v>
      </c>
      <c r="F9" s="201">
        <v>39814.5</v>
      </c>
      <c r="G9" s="207">
        <v>1.0680000000000001</v>
      </c>
      <c r="H9" s="201">
        <v>42521.88</v>
      </c>
      <c r="I9" s="201">
        <f t="shared" ref="I9:I26" si="0">H9</f>
        <v>42521.88</v>
      </c>
      <c r="J9" s="571"/>
      <c r="K9" s="571"/>
      <c r="L9" s="571"/>
    </row>
    <row r="10" spans="1:12" x14ac:dyDescent="0.25">
      <c r="A10" s="192"/>
      <c r="B10" s="204" t="s">
        <v>436</v>
      </c>
      <c r="C10" s="201">
        <v>31</v>
      </c>
      <c r="D10" s="201">
        <v>31</v>
      </c>
      <c r="E10" s="203">
        <v>25</v>
      </c>
      <c r="F10" s="201">
        <v>25</v>
      </c>
      <c r="G10" s="202"/>
      <c r="H10" s="201">
        <v>25</v>
      </c>
      <c r="I10" s="201">
        <f t="shared" si="0"/>
        <v>25</v>
      </c>
      <c r="J10" s="571"/>
      <c r="K10" s="571"/>
      <c r="L10" s="571"/>
    </row>
    <row r="11" spans="1:12" x14ac:dyDescent="0.25">
      <c r="A11" s="192">
        <v>2</v>
      </c>
      <c r="B11" s="213" t="s">
        <v>437</v>
      </c>
      <c r="C11" s="201">
        <v>1884.93</v>
      </c>
      <c r="D11" s="201">
        <v>1884.93</v>
      </c>
      <c r="E11" s="203">
        <v>2226.5300000000002</v>
      </c>
      <c r="F11" s="201">
        <v>2226.5300000000002</v>
      </c>
      <c r="G11" s="202" t="s">
        <v>306</v>
      </c>
      <c r="H11" s="201">
        <v>2226.5300000000002</v>
      </c>
      <c r="I11" s="201">
        <f t="shared" si="0"/>
        <v>2226.5300000000002</v>
      </c>
      <c r="J11" s="571"/>
      <c r="K11" s="571"/>
      <c r="L11" s="571"/>
    </row>
    <row r="12" spans="1:12" x14ac:dyDescent="0.25">
      <c r="A12" s="192">
        <v>3</v>
      </c>
      <c r="B12" s="210" t="s">
        <v>313</v>
      </c>
      <c r="C12" s="201">
        <v>6042.83</v>
      </c>
      <c r="D12" s="201">
        <v>6042.83</v>
      </c>
      <c r="E12" s="203">
        <v>6470.61</v>
      </c>
      <c r="F12" s="201">
        <v>6470.61</v>
      </c>
      <c r="G12" s="212" t="s">
        <v>306</v>
      </c>
      <c r="H12" s="201">
        <v>6470.61</v>
      </c>
      <c r="I12" s="201">
        <f t="shared" si="0"/>
        <v>6470.61</v>
      </c>
      <c r="J12" s="571"/>
      <c r="K12" s="571"/>
      <c r="L12" s="571"/>
    </row>
    <row r="13" spans="1:12" x14ac:dyDescent="0.25">
      <c r="A13" s="192">
        <v>4</v>
      </c>
      <c r="B13" s="210" t="s">
        <v>314</v>
      </c>
      <c r="C13" s="201">
        <v>25287.3</v>
      </c>
      <c r="D13" s="201">
        <v>25287.3</v>
      </c>
      <c r="E13" s="203">
        <v>11952.42</v>
      </c>
      <c r="F13" s="201">
        <v>11952.42</v>
      </c>
      <c r="G13" s="207">
        <v>1.0389999999999999</v>
      </c>
      <c r="H13" s="201">
        <v>12418.56</v>
      </c>
      <c r="I13" s="201">
        <f t="shared" si="0"/>
        <v>12418.56</v>
      </c>
      <c r="J13" s="571"/>
      <c r="K13" s="571"/>
      <c r="L13" s="571"/>
    </row>
    <row r="14" spans="1:12" x14ac:dyDescent="0.25">
      <c r="A14" s="192">
        <v>5</v>
      </c>
      <c r="B14" s="210" t="s">
        <v>315</v>
      </c>
      <c r="C14" s="201">
        <v>1012.26</v>
      </c>
      <c r="D14" s="201">
        <v>1012.26</v>
      </c>
      <c r="E14" s="203">
        <v>253.02</v>
      </c>
      <c r="F14" s="201">
        <v>253.02</v>
      </c>
      <c r="G14" s="207">
        <v>1.0389999999999999</v>
      </c>
      <c r="H14" s="201">
        <v>262.88</v>
      </c>
      <c r="I14" s="201">
        <f t="shared" si="0"/>
        <v>262.88</v>
      </c>
      <c r="J14" s="571"/>
      <c r="K14" s="571"/>
      <c r="L14" s="571"/>
    </row>
    <row r="15" spans="1:12" x14ac:dyDescent="0.25">
      <c r="A15" s="192">
        <v>6</v>
      </c>
      <c r="B15" s="210" t="s">
        <v>316</v>
      </c>
      <c r="C15" s="201">
        <v>3494.02</v>
      </c>
      <c r="D15" s="201">
        <v>3494.02</v>
      </c>
      <c r="E15" s="203">
        <v>3021.73</v>
      </c>
      <c r="F15" s="201">
        <v>3021.73</v>
      </c>
      <c r="G15" s="207">
        <v>1.0389999999999999</v>
      </c>
      <c r="H15" s="201">
        <v>3139.57</v>
      </c>
      <c r="I15" s="201">
        <f t="shared" si="0"/>
        <v>3139.57</v>
      </c>
      <c r="J15" s="571"/>
      <c r="K15" s="571"/>
      <c r="L15" s="571"/>
    </row>
    <row r="16" spans="1:12" x14ac:dyDescent="0.25">
      <c r="A16" s="192">
        <v>7</v>
      </c>
      <c r="B16" s="211" t="s">
        <v>317</v>
      </c>
      <c r="C16" s="201">
        <v>10802.93</v>
      </c>
      <c r="D16" s="201">
        <v>10802.93</v>
      </c>
      <c r="E16" s="203">
        <v>8913.19</v>
      </c>
      <c r="F16" s="201">
        <v>8913.19</v>
      </c>
      <c r="G16" s="207">
        <v>1.0389999999999999</v>
      </c>
      <c r="H16" s="201">
        <v>9260.7999999999993</v>
      </c>
      <c r="I16" s="201">
        <f t="shared" si="0"/>
        <v>9260.7999999999993</v>
      </c>
      <c r="J16" s="571"/>
      <c r="K16" s="571"/>
      <c r="L16" s="571"/>
    </row>
    <row r="17" spans="1:12" x14ac:dyDescent="0.25">
      <c r="A17" s="192">
        <v>8</v>
      </c>
      <c r="B17" s="210" t="s">
        <v>318</v>
      </c>
      <c r="C17" s="201">
        <v>130.13</v>
      </c>
      <c r="D17" s="201">
        <v>130.13</v>
      </c>
      <c r="E17" s="203">
        <v>841.5</v>
      </c>
      <c r="F17" s="201">
        <v>841.5</v>
      </c>
      <c r="G17" s="207">
        <v>1.0389999999999999</v>
      </c>
      <c r="H17" s="201">
        <v>874.31</v>
      </c>
      <c r="I17" s="201">
        <f t="shared" si="0"/>
        <v>874.31</v>
      </c>
      <c r="J17" s="571"/>
      <c r="K17" s="571"/>
      <c r="L17" s="571"/>
    </row>
    <row r="18" spans="1:12" x14ac:dyDescent="0.25">
      <c r="A18" s="192">
        <v>9</v>
      </c>
      <c r="B18" s="210" t="s">
        <v>319</v>
      </c>
      <c r="C18" s="201">
        <v>4207.43</v>
      </c>
      <c r="D18" s="201">
        <v>4207.43</v>
      </c>
      <c r="E18" s="203">
        <v>2660.92</v>
      </c>
      <c r="F18" s="201">
        <v>2660.92</v>
      </c>
      <c r="G18" s="207">
        <v>1.0389999999999999</v>
      </c>
      <c r="H18" s="201">
        <v>2764.69</v>
      </c>
      <c r="I18" s="201">
        <f t="shared" si="0"/>
        <v>2764.69</v>
      </c>
      <c r="J18" s="571"/>
      <c r="K18" s="571"/>
      <c r="L18" s="571"/>
    </row>
    <row r="19" spans="1:12" x14ac:dyDescent="0.25">
      <c r="A19" s="192">
        <v>10</v>
      </c>
      <c r="B19" s="210" t="s">
        <v>320</v>
      </c>
      <c r="C19" s="201">
        <v>1887.59</v>
      </c>
      <c r="D19" s="201">
        <v>1887.59</v>
      </c>
      <c r="E19" s="203">
        <v>1894.15</v>
      </c>
      <c r="F19" s="201">
        <v>1894.15</v>
      </c>
      <c r="G19" s="207">
        <v>1.0389999999999999</v>
      </c>
      <c r="H19" s="201">
        <v>1968.02</v>
      </c>
      <c r="I19" s="201">
        <f t="shared" si="0"/>
        <v>1968.02</v>
      </c>
      <c r="J19" s="571"/>
      <c r="K19" s="571"/>
      <c r="L19" s="571"/>
    </row>
    <row r="20" spans="1:12" x14ac:dyDescent="0.25">
      <c r="A20" s="192">
        <v>11</v>
      </c>
      <c r="B20" s="210" t="s">
        <v>438</v>
      </c>
      <c r="C20" s="201">
        <v>20515.34</v>
      </c>
      <c r="D20" s="201">
        <v>20515.34</v>
      </c>
      <c r="E20" s="203">
        <v>8641.15</v>
      </c>
      <c r="F20" s="203">
        <v>8641.15</v>
      </c>
      <c r="G20" s="207">
        <v>1.0389999999999999</v>
      </c>
      <c r="H20" s="201">
        <f>F20*G20</f>
        <v>8978.154849999999</v>
      </c>
      <c r="I20" s="201">
        <f t="shared" si="0"/>
        <v>8978.154849999999</v>
      </c>
      <c r="J20" s="571"/>
      <c r="K20" s="571"/>
      <c r="L20" s="571"/>
    </row>
    <row r="21" spans="1:12" x14ac:dyDescent="0.25">
      <c r="A21" s="192">
        <v>12</v>
      </c>
      <c r="B21" s="210" t="s">
        <v>321</v>
      </c>
      <c r="C21" s="201">
        <v>124.54</v>
      </c>
      <c r="D21" s="201">
        <v>124.54</v>
      </c>
      <c r="E21" s="203">
        <v>116</v>
      </c>
      <c r="F21" s="201">
        <v>116</v>
      </c>
      <c r="G21" s="207">
        <v>1.0389999999999999</v>
      </c>
      <c r="H21" s="201">
        <f>F21*G21</f>
        <v>120.52399999999999</v>
      </c>
      <c r="I21" s="201">
        <f t="shared" si="0"/>
        <v>120.52399999999999</v>
      </c>
      <c r="J21" s="571"/>
      <c r="K21" s="571"/>
      <c r="L21" s="571"/>
    </row>
    <row r="22" spans="1:12" x14ac:dyDescent="0.25">
      <c r="A22" s="192">
        <v>13</v>
      </c>
      <c r="B22" s="210" t="s">
        <v>322</v>
      </c>
      <c r="C22" s="201">
        <v>7.11</v>
      </c>
      <c r="D22" s="201">
        <v>7.11</v>
      </c>
      <c r="E22" s="203">
        <v>13.36</v>
      </c>
      <c r="F22" s="201">
        <v>13.36</v>
      </c>
      <c r="G22" s="207">
        <v>1.0389999999999999</v>
      </c>
      <c r="H22" s="201">
        <f>F22*G22</f>
        <v>13.881039999999999</v>
      </c>
      <c r="I22" s="201">
        <f t="shared" si="0"/>
        <v>13.881039999999999</v>
      </c>
      <c r="J22" s="571"/>
      <c r="K22" s="571"/>
      <c r="L22" s="571"/>
    </row>
    <row r="23" spans="1:12" x14ac:dyDescent="0.25">
      <c r="A23" s="192">
        <v>14</v>
      </c>
      <c r="B23" s="210" t="s">
        <v>439</v>
      </c>
      <c r="C23" s="201">
        <v>3606.24</v>
      </c>
      <c r="D23" s="201">
        <v>3606.24</v>
      </c>
      <c r="E23" s="201">
        <v>3812.63</v>
      </c>
      <c r="F23" s="201">
        <v>3812.63</v>
      </c>
      <c r="G23" s="207">
        <v>1.0389999999999999</v>
      </c>
      <c r="H23" s="201">
        <f>F23*G23</f>
        <v>3961.3225699999998</v>
      </c>
      <c r="I23" s="201">
        <f t="shared" si="0"/>
        <v>3961.3225699999998</v>
      </c>
      <c r="J23" s="571"/>
      <c r="K23" s="571"/>
      <c r="L23" s="571"/>
    </row>
    <row r="24" spans="1:12" x14ac:dyDescent="0.25">
      <c r="A24" s="192"/>
      <c r="B24" s="204" t="s">
        <v>323</v>
      </c>
      <c r="C24" s="201">
        <v>1278.96</v>
      </c>
      <c r="D24" s="201">
        <v>1278.96</v>
      </c>
      <c r="E24" s="201">
        <v>660.37</v>
      </c>
      <c r="F24" s="201">
        <v>660.37</v>
      </c>
      <c r="G24" s="202"/>
      <c r="H24" s="201">
        <f>F24*G23</f>
        <v>686.12442999999996</v>
      </c>
      <c r="I24" s="201">
        <f t="shared" si="0"/>
        <v>686.12442999999996</v>
      </c>
      <c r="J24" s="572"/>
      <c r="K24" s="572"/>
      <c r="L24" s="572"/>
    </row>
    <row r="25" spans="1:12" x14ac:dyDescent="0.25">
      <c r="A25" s="192"/>
      <c r="B25" s="204" t="s">
        <v>324</v>
      </c>
      <c r="C25" s="201">
        <v>2327.2800000000002</v>
      </c>
      <c r="D25" s="201">
        <v>2327.2800000000002</v>
      </c>
      <c r="E25" s="201">
        <v>3152.26</v>
      </c>
      <c r="F25" s="201">
        <v>3152.26</v>
      </c>
      <c r="G25" s="202"/>
      <c r="H25" s="201">
        <f>F25*G23</f>
        <v>3275.19814</v>
      </c>
      <c r="I25" s="201">
        <f t="shared" si="0"/>
        <v>3275.19814</v>
      </c>
      <c r="J25" s="572"/>
      <c r="K25" s="572"/>
      <c r="L25" s="572"/>
    </row>
    <row r="26" spans="1:12" x14ac:dyDescent="0.25">
      <c r="A26" s="192"/>
      <c r="B26" s="209" t="s">
        <v>1</v>
      </c>
      <c r="C26" s="208">
        <f>C25+C24+C22+C21+C20+C19+C18+C17+C16+C15+C14+C13+C12+C11+C9</f>
        <v>109781.64</v>
      </c>
      <c r="D26" s="208">
        <v>109781.64</v>
      </c>
      <c r="E26" s="208">
        <f>E25+E24+E22+E21+E20+E19+E18+E17+E16+E15+E14+E13+E12+E11+E9</f>
        <v>90631.709999999992</v>
      </c>
      <c r="F26" s="208">
        <v>90631.71</v>
      </c>
      <c r="G26" s="202"/>
      <c r="H26" s="208">
        <f>H25+H24+H22+H21+H20+H19+H18+H17+H16+H15+H14+H13+H12+H11+H9</f>
        <v>94981.732459999999</v>
      </c>
      <c r="I26" s="208">
        <f t="shared" si="0"/>
        <v>94981.732459999999</v>
      </c>
      <c r="J26" s="503"/>
      <c r="K26" s="503"/>
      <c r="L26" s="503"/>
    </row>
    <row r="27" spans="1:12" ht="17.25" customHeight="1" x14ac:dyDescent="0.25">
      <c r="A27" s="192"/>
      <c r="B27" s="209" t="s">
        <v>878</v>
      </c>
      <c r="C27" s="208">
        <v>2238.5100000000002</v>
      </c>
      <c r="D27" s="208">
        <v>2238.5100000000002</v>
      </c>
      <c r="E27" s="208">
        <v>2862.3</v>
      </c>
      <c r="F27" s="208">
        <v>2862.3</v>
      </c>
      <c r="G27" s="202"/>
      <c r="H27" s="208">
        <v>2862.3</v>
      </c>
      <c r="I27" s="208">
        <v>2862.3</v>
      </c>
      <c r="J27" s="573"/>
      <c r="K27" s="573"/>
      <c r="L27" s="573"/>
    </row>
    <row r="28" spans="1:12" s="451" customFormat="1" ht="28.5" x14ac:dyDescent="0.25">
      <c r="A28" s="192"/>
      <c r="B28" s="200" t="s">
        <v>440</v>
      </c>
      <c r="C28" s="201">
        <v>25837.09</v>
      </c>
      <c r="D28" s="201">
        <v>25837.09</v>
      </c>
      <c r="E28" s="203">
        <v>20634.349999999999</v>
      </c>
      <c r="F28" s="201">
        <v>20634.349999999999</v>
      </c>
      <c r="G28" s="207">
        <v>1.0680000000000001</v>
      </c>
      <c r="H28" s="201">
        <v>22037.49</v>
      </c>
      <c r="I28" s="201">
        <v>22037.49</v>
      </c>
      <c r="J28" s="574"/>
      <c r="K28" s="574"/>
      <c r="L28" s="574"/>
    </row>
    <row r="29" spans="1:12" s="451" customFormat="1" x14ac:dyDescent="0.25">
      <c r="A29" s="192"/>
      <c r="B29" s="204" t="s">
        <v>436</v>
      </c>
      <c r="C29" s="205">
        <v>32</v>
      </c>
      <c r="D29" s="201">
        <v>32</v>
      </c>
      <c r="E29" s="206">
        <v>21</v>
      </c>
      <c r="F29" s="201">
        <v>21</v>
      </c>
      <c r="G29" s="202"/>
      <c r="H29" s="205">
        <v>21</v>
      </c>
      <c r="I29" s="201">
        <v>21</v>
      </c>
      <c r="J29" s="574"/>
      <c r="K29" s="574"/>
      <c r="L29" s="574"/>
    </row>
    <row r="30" spans="1:12" ht="16.5" customHeight="1" x14ac:dyDescent="0.25">
      <c r="A30" s="192"/>
      <c r="B30" s="204" t="s">
        <v>441</v>
      </c>
      <c r="C30" s="201">
        <v>89.71</v>
      </c>
      <c r="D30" s="201">
        <v>89.71</v>
      </c>
      <c r="E30" s="203">
        <v>81.88</v>
      </c>
      <c r="F30" s="201">
        <v>81.88</v>
      </c>
      <c r="G30" s="202"/>
      <c r="H30" s="201">
        <v>87.45</v>
      </c>
      <c r="I30" s="201">
        <v>87.45</v>
      </c>
      <c r="J30" s="573"/>
      <c r="K30" s="573"/>
      <c r="L30" s="573"/>
    </row>
    <row r="31" spans="1:12" x14ac:dyDescent="0.25">
      <c r="A31" s="192"/>
      <c r="B31" s="204" t="s">
        <v>911</v>
      </c>
      <c r="C31" s="201">
        <v>5.97</v>
      </c>
      <c r="D31" s="201">
        <v>5.97</v>
      </c>
      <c r="E31" s="203">
        <v>7.42</v>
      </c>
      <c r="F31" s="201">
        <v>7.42</v>
      </c>
      <c r="G31" s="202"/>
      <c r="H31" s="201">
        <v>7.92</v>
      </c>
      <c r="I31" s="201">
        <v>7.92</v>
      </c>
      <c r="J31" s="573"/>
      <c r="K31" s="573"/>
      <c r="L31" s="573"/>
    </row>
    <row r="32" spans="1:12" ht="36" customHeight="1" x14ac:dyDescent="0.25">
      <c r="A32" s="192"/>
      <c r="B32" s="200" t="s">
        <v>442</v>
      </c>
      <c r="C32" s="199">
        <v>4.2489999999999997</v>
      </c>
      <c r="D32" s="199">
        <v>4.2489999999999997</v>
      </c>
      <c r="E32" s="199">
        <v>4.3921999999999999</v>
      </c>
      <c r="F32" s="199">
        <v>4.3921999999999999</v>
      </c>
      <c r="G32" s="199"/>
      <c r="H32" s="199">
        <v>4.3099999999999996</v>
      </c>
      <c r="I32" s="199">
        <v>4.3099999999999996</v>
      </c>
      <c r="J32" s="573"/>
      <c r="K32" s="573"/>
      <c r="L32" s="573"/>
    </row>
    <row r="33" spans="1:12" ht="132" customHeight="1" x14ac:dyDescent="0.25">
      <c r="A33" s="1024" t="s">
        <v>920</v>
      </c>
      <c r="B33" s="1025"/>
      <c r="C33" s="1025"/>
      <c r="D33" s="1025"/>
      <c r="E33" s="1025"/>
      <c r="F33" s="1025"/>
      <c r="G33" s="1025"/>
      <c r="H33" s="1025"/>
      <c r="I33" s="1025"/>
      <c r="J33" s="573"/>
      <c r="K33" s="573"/>
      <c r="L33" s="573"/>
    </row>
    <row r="34" spans="1:12" ht="36.75" customHeight="1" x14ac:dyDescent="0.25">
      <c r="A34" s="1033" t="s">
        <v>618</v>
      </c>
      <c r="B34" s="1033"/>
      <c r="C34" s="1033"/>
      <c r="D34" s="1033"/>
      <c r="E34" s="575"/>
      <c r="F34" s="1033" t="s">
        <v>304</v>
      </c>
      <c r="G34" s="1033"/>
      <c r="H34" s="1033"/>
      <c r="I34" s="1033"/>
    </row>
    <row r="35" spans="1:12" x14ac:dyDescent="0.25">
      <c r="A35" s="576" t="s">
        <v>877</v>
      </c>
      <c r="B35" s="577"/>
      <c r="C35" s="577"/>
      <c r="D35" s="578"/>
      <c r="E35" s="576"/>
      <c r="F35" s="1034" t="s">
        <v>876</v>
      </c>
      <c r="G35" s="1034"/>
      <c r="H35" s="1034"/>
      <c r="I35" s="578"/>
    </row>
    <row r="36" spans="1:12" x14ac:dyDescent="0.25">
      <c r="A36" s="579" t="s">
        <v>615</v>
      </c>
      <c r="B36" s="580"/>
      <c r="C36" s="580"/>
      <c r="D36" s="579"/>
      <c r="E36" s="581"/>
      <c r="F36" s="579" t="s">
        <v>875</v>
      </c>
      <c r="G36" s="580"/>
      <c r="H36" s="579"/>
      <c r="I36" s="579"/>
    </row>
    <row r="37" spans="1:12" x14ac:dyDescent="0.25">
      <c r="A37" s="738"/>
      <c r="B37" s="738"/>
      <c r="C37" s="738"/>
      <c r="D37" s="738"/>
      <c r="E37" s="21"/>
      <c r="F37" s="748"/>
      <c r="G37" s="748"/>
      <c r="H37" s="748"/>
      <c r="I37" s="748"/>
    </row>
    <row r="38" spans="1:12" x14ac:dyDescent="0.25">
      <c r="A38" s="573"/>
      <c r="B38" s="573"/>
      <c r="C38" s="573"/>
      <c r="D38" s="573"/>
      <c r="E38" s="573"/>
      <c r="F38" s="573"/>
      <c r="G38" s="573"/>
      <c r="H38" s="573"/>
      <c r="I38" s="573"/>
    </row>
    <row r="39" spans="1:12" x14ac:dyDescent="0.25">
      <c r="A39" s="21"/>
      <c r="B39" s="457"/>
      <c r="C39" s="457"/>
      <c r="D39" s="21"/>
      <c r="E39" s="21"/>
    </row>
    <row r="40" spans="1:12" x14ac:dyDescent="0.25">
      <c r="A40" s="21"/>
      <c r="B40" s="411"/>
      <c r="C40" s="411"/>
      <c r="D40" s="21"/>
      <c r="E40" s="21"/>
    </row>
    <row r="41" spans="1:12" x14ac:dyDescent="0.25">
      <c r="A41" s="21"/>
      <c r="D41" s="21"/>
      <c r="E41" s="21"/>
    </row>
    <row r="42" spans="1:12" x14ac:dyDescent="0.25">
      <c r="A42" s="56"/>
      <c r="D42" s="358"/>
      <c r="E42" s="21"/>
    </row>
    <row r="43" spans="1:12" x14ac:dyDescent="0.25">
      <c r="A43" s="57"/>
      <c r="D43" s="55"/>
      <c r="E43" s="227"/>
    </row>
    <row r="44" spans="1:12" x14ac:dyDescent="0.25">
      <c r="A44" s="526"/>
      <c r="D44" s="55"/>
      <c r="E44" s="56"/>
    </row>
    <row r="45" spans="1:12" x14ac:dyDescent="0.25">
      <c r="A45" s="56"/>
      <c r="D45" s="55"/>
      <c r="E45" s="57"/>
      <c r="F45" s="514"/>
    </row>
    <row r="46" spans="1:12" x14ac:dyDescent="0.25">
      <c r="B46" s="19"/>
      <c r="C46" s="117"/>
      <c r="D46" s="55"/>
      <c r="E46" s="57"/>
    </row>
    <row r="53" spans="2:2" x14ac:dyDescent="0.25">
      <c r="B53" s="520"/>
    </row>
  </sheetData>
  <mergeCells count="17">
    <mergeCell ref="A34:D34"/>
    <mergeCell ref="F34:I34"/>
    <mergeCell ref="A37:D37"/>
    <mergeCell ref="F37:I37"/>
    <mergeCell ref="F35:H35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9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18B4-D273-754B-A09C-31C2051A8CC4}">
  <sheetPr>
    <tabColor theme="1" tint="0.34998626667073579"/>
  </sheetPr>
  <dimension ref="A1:Z89"/>
  <sheetViews>
    <sheetView view="pageBreakPreview" zoomScale="120" zoomScaleNormal="100" zoomScaleSheetLayoutView="120" workbookViewId="0">
      <selection activeCell="L5" sqref="L5:O5"/>
    </sheetView>
  </sheetViews>
  <sheetFormatPr defaultColWidth="0.7109375" defaultRowHeight="15" x14ac:dyDescent="0.25"/>
  <cols>
    <col min="1" max="1" width="5" style="13" customWidth="1"/>
    <col min="2" max="2" width="44.140625" style="21" customWidth="1"/>
    <col min="3" max="3" width="11.140625" style="21" customWidth="1"/>
    <col min="4" max="4" width="9.42578125" style="13" customWidth="1"/>
    <col min="5" max="5" width="7.7109375" style="13" customWidth="1"/>
    <col min="6" max="6" width="9.140625" style="13" customWidth="1"/>
    <col min="7" max="7" width="8.140625" style="13" customWidth="1"/>
    <col min="8" max="8" width="8.28515625" style="13" customWidth="1"/>
    <col min="9" max="9" width="7.42578125" style="13" customWidth="1"/>
    <col min="10" max="10" width="9" style="13" customWidth="1"/>
    <col min="11" max="11" width="7.7109375" style="13" customWidth="1"/>
    <col min="12" max="12" width="9.42578125" style="13" customWidth="1"/>
    <col min="13" max="13" width="8.28515625" style="13" customWidth="1"/>
    <col min="14" max="14" width="12.140625" style="13" customWidth="1"/>
    <col min="15" max="15" width="12.42578125" style="13" customWidth="1"/>
    <col min="16" max="16384" width="0.7109375" style="13"/>
  </cols>
  <sheetData>
    <row r="1" spans="1:15" ht="15.75" customHeight="1" x14ac:dyDescent="0.25">
      <c r="N1" s="749" t="s">
        <v>529</v>
      </c>
      <c r="O1" s="749"/>
    </row>
    <row r="2" spans="1:15" ht="22.5" customHeight="1" x14ac:dyDescent="0.25">
      <c r="A2" s="1073" t="s">
        <v>530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  <c r="O2" s="1073"/>
    </row>
    <row r="3" spans="1:15" ht="21.75" customHeight="1" x14ac:dyDescent="0.25">
      <c r="A3" s="368"/>
      <c r="B3" s="161"/>
      <c r="C3" s="1074" t="s">
        <v>355</v>
      </c>
      <c r="D3" s="1074"/>
      <c r="E3" s="1074"/>
      <c r="F3" s="1074"/>
      <c r="G3" s="1074"/>
      <c r="H3" s="1074"/>
      <c r="I3" s="1074"/>
      <c r="J3" s="1074"/>
      <c r="K3" s="1074"/>
      <c r="L3" s="368"/>
      <c r="M3" s="368"/>
      <c r="N3" s="368"/>
      <c r="O3" s="368"/>
    </row>
    <row r="4" spans="1:15" x14ac:dyDescent="0.25">
      <c r="C4" s="1075" t="s">
        <v>103</v>
      </c>
      <c r="D4" s="1075"/>
      <c r="E4" s="1075"/>
      <c r="F4" s="1075"/>
      <c r="G4" s="1075"/>
      <c r="H4" s="1075"/>
      <c r="I4" s="1075"/>
      <c r="J4" s="1075"/>
      <c r="K4" s="1075"/>
    </row>
    <row r="5" spans="1:15" ht="18.75" customHeight="1" x14ac:dyDescent="0.25">
      <c r="A5" s="1076" t="s">
        <v>59</v>
      </c>
      <c r="B5" s="1068" t="s">
        <v>4</v>
      </c>
      <c r="C5" s="1078" t="s">
        <v>8</v>
      </c>
      <c r="D5" s="1066" t="s">
        <v>874</v>
      </c>
      <c r="E5" s="770"/>
      <c r="F5" s="770"/>
      <c r="G5" s="770"/>
      <c r="H5" s="770"/>
      <c r="I5" s="770"/>
      <c r="J5" s="770"/>
      <c r="K5" s="1080"/>
      <c r="L5" s="1072" t="str">
        <f>"Предусмотрено бизнес-планом на " &amp; год &amp; " г."</f>
        <v>Предусмотрено бизнес-планом на 2030 г.</v>
      </c>
      <c r="M5" s="1072"/>
      <c r="N5" s="1072"/>
      <c r="O5" s="1072"/>
    </row>
    <row r="6" spans="1:15" ht="41.25" customHeight="1" x14ac:dyDescent="0.25">
      <c r="A6" s="1077"/>
      <c r="B6" s="1068"/>
      <c r="C6" s="1079"/>
      <c r="D6" s="1044" t="s">
        <v>60</v>
      </c>
      <c r="E6" s="1081"/>
      <c r="F6" s="1081"/>
      <c r="G6" s="1081"/>
      <c r="H6" s="772" t="s">
        <v>291</v>
      </c>
      <c r="I6" s="773"/>
      <c r="J6" s="773"/>
      <c r="K6" s="773"/>
      <c r="L6" s="1072" t="s">
        <v>60</v>
      </c>
      <c r="M6" s="1072"/>
      <c r="N6" s="1072" t="s">
        <v>270</v>
      </c>
      <c r="O6" s="1072"/>
    </row>
    <row r="7" spans="1:15" ht="44.1" customHeight="1" x14ac:dyDescent="0.25">
      <c r="A7" s="1077"/>
      <c r="B7" s="1068"/>
      <c r="C7" s="1079"/>
      <c r="D7" s="628" t="s">
        <v>26</v>
      </c>
      <c r="E7" s="629" t="s">
        <v>271</v>
      </c>
      <c r="F7" s="628" t="s">
        <v>25</v>
      </c>
      <c r="G7" s="629" t="s">
        <v>271</v>
      </c>
      <c r="H7" s="628" t="s">
        <v>26</v>
      </c>
      <c r="I7" s="629" t="s">
        <v>271</v>
      </c>
      <c r="J7" s="628" t="s">
        <v>25</v>
      </c>
      <c r="K7" s="629" t="s">
        <v>271</v>
      </c>
      <c r="L7" s="630" t="s">
        <v>26</v>
      </c>
      <c r="M7" s="631" t="s">
        <v>271</v>
      </c>
      <c r="N7" s="630" t="s">
        <v>26</v>
      </c>
      <c r="O7" s="631" t="s">
        <v>271</v>
      </c>
    </row>
    <row r="8" spans="1:15" s="21" customFormat="1" ht="12" customHeight="1" x14ac:dyDescent="0.25">
      <c r="A8" s="236">
        <v>1</v>
      </c>
      <c r="B8" s="236">
        <v>2</v>
      </c>
      <c r="C8" s="236">
        <v>3</v>
      </c>
      <c r="D8" s="236">
        <v>4</v>
      </c>
      <c r="E8" s="236">
        <v>5</v>
      </c>
      <c r="F8" s="236">
        <v>6</v>
      </c>
      <c r="G8" s="236">
        <v>7</v>
      </c>
      <c r="H8" s="236">
        <v>8</v>
      </c>
      <c r="I8" s="236">
        <v>9</v>
      </c>
      <c r="J8" s="236">
        <v>10</v>
      </c>
      <c r="K8" s="236">
        <v>11</v>
      </c>
      <c r="L8" s="582">
        <v>12</v>
      </c>
      <c r="M8" s="582">
        <v>13</v>
      </c>
      <c r="N8" s="582">
        <v>14</v>
      </c>
      <c r="O8" s="582">
        <v>15</v>
      </c>
    </row>
    <row r="9" spans="1:15" s="21" customFormat="1" ht="15.75" customHeight="1" x14ac:dyDescent="0.25">
      <c r="A9" s="584" t="s">
        <v>5</v>
      </c>
      <c r="B9" s="585" t="s">
        <v>275</v>
      </c>
      <c r="C9" s="583" t="s">
        <v>57</v>
      </c>
      <c r="D9" s="582">
        <v>331947</v>
      </c>
      <c r="E9" s="583" t="s">
        <v>50</v>
      </c>
      <c r="F9" s="586">
        <v>126676</v>
      </c>
      <c r="G9" s="586" t="s">
        <v>50</v>
      </c>
      <c r="H9" s="587">
        <v>331947</v>
      </c>
      <c r="I9" s="586" t="s">
        <v>50</v>
      </c>
      <c r="J9" s="586">
        <v>126676</v>
      </c>
      <c r="K9" s="583" t="s">
        <v>50</v>
      </c>
      <c r="L9" s="582">
        <v>152640</v>
      </c>
      <c r="M9" s="582" t="s">
        <v>50</v>
      </c>
      <c r="N9" s="582">
        <v>152640</v>
      </c>
      <c r="O9" s="582" t="s">
        <v>50</v>
      </c>
    </row>
    <row r="10" spans="1:15" s="21" customFormat="1" ht="30" x14ac:dyDescent="0.25">
      <c r="A10" s="584" t="s">
        <v>7</v>
      </c>
      <c r="B10" s="588" t="s">
        <v>276</v>
      </c>
      <c r="C10" s="583" t="s">
        <v>57</v>
      </c>
      <c r="D10" s="582">
        <v>14</v>
      </c>
      <c r="E10" s="583" t="s">
        <v>50</v>
      </c>
      <c r="F10" s="586">
        <v>-34873</v>
      </c>
      <c r="G10" s="586" t="s">
        <v>50</v>
      </c>
      <c r="H10" s="587">
        <v>14</v>
      </c>
      <c r="I10" s="589" t="s">
        <v>50</v>
      </c>
      <c r="J10" s="586">
        <v>-34873</v>
      </c>
      <c r="K10" s="590" t="s">
        <v>50</v>
      </c>
      <c r="L10" s="582">
        <v>1007</v>
      </c>
      <c r="M10" s="582" t="s">
        <v>50</v>
      </c>
      <c r="N10" s="582">
        <v>1007</v>
      </c>
      <c r="O10" s="590" t="s">
        <v>82</v>
      </c>
    </row>
    <row r="11" spans="1:15" s="21" customFormat="1" x14ac:dyDescent="0.25">
      <c r="A11" s="591" t="s">
        <v>43</v>
      </c>
      <c r="B11" s="592" t="s">
        <v>61</v>
      </c>
      <c r="C11" s="236" t="s">
        <v>57</v>
      </c>
      <c r="D11" s="192" t="s">
        <v>306</v>
      </c>
      <c r="E11" s="236" t="s">
        <v>50</v>
      </c>
      <c r="F11" s="193" t="s">
        <v>306</v>
      </c>
      <c r="G11" s="587" t="s">
        <v>50</v>
      </c>
      <c r="H11" s="193" t="s">
        <v>306</v>
      </c>
      <c r="I11" s="587" t="s">
        <v>50</v>
      </c>
      <c r="J11" s="193" t="s">
        <v>306</v>
      </c>
      <c r="K11" s="582" t="s">
        <v>50</v>
      </c>
      <c r="L11" s="192" t="s">
        <v>306</v>
      </c>
      <c r="M11" s="582" t="s">
        <v>50</v>
      </c>
      <c r="N11" s="192" t="s">
        <v>306</v>
      </c>
      <c r="O11" s="582" t="s">
        <v>82</v>
      </c>
    </row>
    <row r="12" spans="1:15" s="21" customFormat="1" x14ac:dyDescent="0.25">
      <c r="A12" s="591" t="s">
        <v>41</v>
      </c>
      <c r="B12" s="592" t="s">
        <v>62</v>
      </c>
      <c r="C12" s="236" t="s">
        <v>57</v>
      </c>
      <c r="D12" s="192" t="s">
        <v>306</v>
      </c>
      <c r="E12" s="236" t="s">
        <v>50</v>
      </c>
      <c r="F12" s="193" t="s">
        <v>306</v>
      </c>
      <c r="G12" s="587" t="s">
        <v>50</v>
      </c>
      <c r="H12" s="193" t="s">
        <v>306</v>
      </c>
      <c r="I12" s="587" t="s">
        <v>50</v>
      </c>
      <c r="J12" s="193" t="s">
        <v>306</v>
      </c>
      <c r="K12" s="582" t="s">
        <v>50</v>
      </c>
      <c r="L12" s="192" t="s">
        <v>306</v>
      </c>
      <c r="M12" s="582" t="s">
        <v>50</v>
      </c>
      <c r="N12" s="192" t="s">
        <v>306</v>
      </c>
      <c r="O12" s="582" t="s">
        <v>82</v>
      </c>
    </row>
    <row r="13" spans="1:15" s="21" customFormat="1" x14ac:dyDescent="0.25">
      <c r="A13" s="591" t="s">
        <v>63</v>
      </c>
      <c r="B13" s="593" t="s">
        <v>64</v>
      </c>
      <c r="C13" s="236" t="s">
        <v>57</v>
      </c>
      <c r="D13" s="192" t="s">
        <v>306</v>
      </c>
      <c r="E13" s="236" t="s">
        <v>50</v>
      </c>
      <c r="F13" s="193" t="s">
        <v>306</v>
      </c>
      <c r="G13" s="587" t="s">
        <v>50</v>
      </c>
      <c r="H13" s="193" t="s">
        <v>306</v>
      </c>
      <c r="I13" s="587" t="s">
        <v>50</v>
      </c>
      <c r="J13" s="193" t="s">
        <v>306</v>
      </c>
      <c r="K13" s="582" t="s">
        <v>50</v>
      </c>
      <c r="L13" s="192" t="s">
        <v>306</v>
      </c>
      <c r="M13" s="582" t="s">
        <v>50</v>
      </c>
      <c r="N13" s="192" t="s">
        <v>306</v>
      </c>
      <c r="O13" s="582" t="s">
        <v>82</v>
      </c>
    </row>
    <row r="14" spans="1:15" s="21" customFormat="1" x14ac:dyDescent="0.25">
      <c r="A14" s="591" t="s">
        <v>65</v>
      </c>
      <c r="B14" s="592" t="s">
        <v>66</v>
      </c>
      <c r="C14" s="236" t="s">
        <v>57</v>
      </c>
      <c r="D14" s="192" t="s">
        <v>306</v>
      </c>
      <c r="E14" s="236" t="s">
        <v>50</v>
      </c>
      <c r="F14" s="193" t="s">
        <v>306</v>
      </c>
      <c r="G14" s="594" t="s">
        <v>50</v>
      </c>
      <c r="H14" s="193" t="s">
        <v>306</v>
      </c>
      <c r="I14" s="587" t="s">
        <v>50</v>
      </c>
      <c r="J14" s="193" t="s">
        <v>306</v>
      </c>
      <c r="K14" s="582" t="s">
        <v>50</v>
      </c>
      <c r="L14" s="192" t="s">
        <v>306</v>
      </c>
      <c r="M14" s="582" t="s">
        <v>50</v>
      </c>
      <c r="N14" s="192" t="s">
        <v>306</v>
      </c>
      <c r="O14" s="582" t="s">
        <v>82</v>
      </c>
    </row>
    <row r="15" spans="1:15" s="21" customFormat="1" x14ac:dyDescent="0.25">
      <c r="A15" s="591" t="s">
        <v>217</v>
      </c>
      <c r="B15" s="595" t="s">
        <v>32</v>
      </c>
      <c r="C15" s="192" t="s">
        <v>306</v>
      </c>
      <c r="D15" s="582">
        <v>1.01</v>
      </c>
      <c r="E15" s="236" t="s">
        <v>50</v>
      </c>
      <c r="F15" s="594">
        <v>0.78</v>
      </c>
      <c r="G15" s="594" t="s">
        <v>50</v>
      </c>
      <c r="H15" s="587">
        <v>1.01</v>
      </c>
      <c r="I15" s="587" t="s">
        <v>50</v>
      </c>
      <c r="J15" s="594">
        <v>0.78</v>
      </c>
      <c r="K15" s="582" t="s">
        <v>50</v>
      </c>
      <c r="L15" s="582">
        <v>1.04</v>
      </c>
      <c r="M15" s="582" t="s">
        <v>50</v>
      </c>
      <c r="N15" s="582">
        <v>1.04</v>
      </c>
      <c r="O15" s="582" t="s">
        <v>82</v>
      </c>
    </row>
    <row r="16" spans="1:15" s="21" customFormat="1" ht="12" customHeight="1" x14ac:dyDescent="0.25">
      <c r="A16" s="591" t="s">
        <v>40</v>
      </c>
      <c r="B16" s="592" t="s">
        <v>67</v>
      </c>
      <c r="C16" s="236" t="s">
        <v>29</v>
      </c>
      <c r="D16" s="192" t="s">
        <v>306</v>
      </c>
      <c r="E16" s="236" t="s">
        <v>50</v>
      </c>
      <c r="F16" s="193" t="s">
        <v>306</v>
      </c>
      <c r="G16" s="596" t="s">
        <v>50</v>
      </c>
      <c r="H16" s="193" t="s">
        <v>306</v>
      </c>
      <c r="I16" s="587" t="s">
        <v>50</v>
      </c>
      <c r="J16" s="193" t="s">
        <v>306</v>
      </c>
      <c r="K16" s="582" t="s">
        <v>50</v>
      </c>
      <c r="L16" s="192" t="s">
        <v>306</v>
      </c>
      <c r="M16" s="582" t="s">
        <v>50</v>
      </c>
      <c r="N16" s="192" t="s">
        <v>306</v>
      </c>
      <c r="O16" s="582" t="s">
        <v>82</v>
      </c>
    </row>
    <row r="17" spans="1:15" s="21" customFormat="1" ht="12" customHeight="1" x14ac:dyDescent="0.25">
      <c r="A17" s="591" t="s">
        <v>39</v>
      </c>
      <c r="B17" s="592" t="s">
        <v>68</v>
      </c>
      <c r="C17" s="236" t="s">
        <v>29</v>
      </c>
      <c r="D17" s="192" t="s">
        <v>306</v>
      </c>
      <c r="E17" s="236" t="s">
        <v>50</v>
      </c>
      <c r="F17" s="193" t="s">
        <v>306</v>
      </c>
      <c r="G17" s="594" t="s">
        <v>50</v>
      </c>
      <c r="H17" s="193" t="s">
        <v>306</v>
      </c>
      <c r="I17" s="587" t="s">
        <v>50</v>
      </c>
      <c r="J17" s="193" t="s">
        <v>306</v>
      </c>
      <c r="K17" s="582" t="s">
        <v>50</v>
      </c>
      <c r="L17" s="192" t="s">
        <v>306</v>
      </c>
      <c r="M17" s="582" t="s">
        <v>50</v>
      </c>
      <c r="N17" s="192" t="s">
        <v>306</v>
      </c>
      <c r="O17" s="582" t="s">
        <v>82</v>
      </c>
    </row>
    <row r="18" spans="1:15" s="21" customFormat="1" ht="12" customHeight="1" x14ac:dyDescent="0.25">
      <c r="A18" s="591" t="s">
        <v>69</v>
      </c>
      <c r="B18" s="592" t="s">
        <v>70</v>
      </c>
      <c r="C18" s="236" t="s">
        <v>29</v>
      </c>
      <c r="D18" s="192" t="s">
        <v>306</v>
      </c>
      <c r="E18" s="236" t="s">
        <v>50</v>
      </c>
      <c r="F18" s="193" t="s">
        <v>306</v>
      </c>
      <c r="G18" s="594" t="s">
        <v>50</v>
      </c>
      <c r="H18" s="193" t="s">
        <v>306</v>
      </c>
      <c r="I18" s="587" t="s">
        <v>50</v>
      </c>
      <c r="J18" s="193" t="s">
        <v>306</v>
      </c>
      <c r="K18" s="582" t="s">
        <v>50</v>
      </c>
      <c r="L18" s="192" t="s">
        <v>306</v>
      </c>
      <c r="M18" s="582" t="s">
        <v>50</v>
      </c>
      <c r="N18" s="192" t="s">
        <v>306</v>
      </c>
      <c r="O18" s="582" t="s">
        <v>82</v>
      </c>
    </row>
    <row r="19" spans="1:15" s="21" customFormat="1" ht="12" customHeight="1" x14ac:dyDescent="0.25">
      <c r="A19" s="591" t="s">
        <v>71</v>
      </c>
      <c r="B19" s="592" t="s">
        <v>72</v>
      </c>
      <c r="C19" s="236" t="s">
        <v>29</v>
      </c>
      <c r="D19" s="192" t="s">
        <v>306</v>
      </c>
      <c r="E19" s="236" t="s">
        <v>50</v>
      </c>
      <c r="F19" s="193" t="s">
        <v>306</v>
      </c>
      <c r="G19" s="594" t="s">
        <v>50</v>
      </c>
      <c r="H19" s="193" t="s">
        <v>306</v>
      </c>
      <c r="I19" s="587" t="s">
        <v>50</v>
      </c>
      <c r="J19" s="193" t="s">
        <v>306</v>
      </c>
      <c r="K19" s="582" t="s">
        <v>50</v>
      </c>
      <c r="L19" s="192" t="s">
        <v>306</v>
      </c>
      <c r="M19" s="582" t="s">
        <v>50</v>
      </c>
      <c r="N19" s="192" t="s">
        <v>306</v>
      </c>
      <c r="O19" s="582" t="s">
        <v>82</v>
      </c>
    </row>
    <row r="20" spans="1:15" s="21" customFormat="1" ht="16.5" customHeight="1" x14ac:dyDescent="0.25">
      <c r="A20" s="584" t="s">
        <v>218</v>
      </c>
      <c r="B20" s="585" t="s">
        <v>213</v>
      </c>
      <c r="C20" s="583" t="s">
        <v>57</v>
      </c>
      <c r="D20" s="597">
        <v>330162</v>
      </c>
      <c r="E20" s="582"/>
      <c r="F20" s="587">
        <v>162536</v>
      </c>
      <c r="G20" s="587"/>
      <c r="H20" s="598">
        <v>330162</v>
      </c>
      <c r="I20" s="587"/>
      <c r="J20" s="587">
        <v>162536</v>
      </c>
      <c r="K20" s="582"/>
      <c r="L20" s="597">
        <v>146760</v>
      </c>
      <c r="M20" s="597"/>
      <c r="N20" s="597">
        <v>146760</v>
      </c>
      <c r="O20" s="597"/>
    </row>
    <row r="21" spans="1:15" s="21" customFormat="1" ht="15.75" customHeight="1" x14ac:dyDescent="0.25">
      <c r="A21" s="584" t="s">
        <v>219</v>
      </c>
      <c r="B21" s="585" t="s">
        <v>225</v>
      </c>
      <c r="C21" s="583" t="s">
        <v>57</v>
      </c>
      <c r="D21" s="192" t="s">
        <v>306</v>
      </c>
      <c r="E21" s="192" t="s">
        <v>306</v>
      </c>
      <c r="F21" s="193" t="s">
        <v>306</v>
      </c>
      <c r="G21" s="193" t="s">
        <v>306</v>
      </c>
      <c r="H21" s="193" t="s">
        <v>306</v>
      </c>
      <c r="I21" s="193" t="s">
        <v>306</v>
      </c>
      <c r="J21" s="193" t="s">
        <v>306</v>
      </c>
      <c r="K21" s="192" t="s">
        <v>306</v>
      </c>
      <c r="L21" s="192" t="s">
        <v>306</v>
      </c>
      <c r="M21" s="192" t="s">
        <v>306</v>
      </c>
      <c r="N21" s="192" t="s">
        <v>306</v>
      </c>
      <c r="O21" s="192" t="s">
        <v>306</v>
      </c>
    </row>
    <row r="22" spans="1:15" s="21" customFormat="1" ht="36" customHeight="1" x14ac:dyDescent="0.25">
      <c r="A22" s="599" t="s">
        <v>220</v>
      </c>
      <c r="B22" s="588" t="s">
        <v>281</v>
      </c>
      <c r="C22" s="583" t="s">
        <v>31</v>
      </c>
      <c r="D22" s="597">
        <v>63</v>
      </c>
      <c r="E22" s="192" t="s">
        <v>306</v>
      </c>
      <c r="F22" s="600">
        <v>46</v>
      </c>
      <c r="G22" s="193" t="s">
        <v>306</v>
      </c>
      <c r="H22" s="598">
        <v>63</v>
      </c>
      <c r="I22" s="193" t="s">
        <v>306</v>
      </c>
      <c r="J22" s="600">
        <v>46</v>
      </c>
      <c r="K22" s="192" t="s">
        <v>306</v>
      </c>
      <c r="L22" s="597">
        <v>46</v>
      </c>
      <c r="M22" s="192" t="s">
        <v>306</v>
      </c>
      <c r="N22" s="597">
        <v>46</v>
      </c>
      <c r="O22" s="192" t="s">
        <v>306</v>
      </c>
    </row>
    <row r="23" spans="1:15" s="21" customFormat="1" ht="15" customHeight="1" x14ac:dyDescent="0.25">
      <c r="A23" s="601"/>
      <c r="B23" s="595" t="s">
        <v>14</v>
      </c>
      <c r="C23" s="192" t="s">
        <v>306</v>
      </c>
      <c r="D23" s="192" t="s">
        <v>306</v>
      </c>
      <c r="E23" s="192" t="s">
        <v>306</v>
      </c>
      <c r="F23" s="193" t="s">
        <v>306</v>
      </c>
      <c r="G23" s="193" t="s">
        <v>306</v>
      </c>
      <c r="H23" s="193" t="s">
        <v>306</v>
      </c>
      <c r="I23" s="193" t="s">
        <v>306</v>
      </c>
      <c r="J23" s="193" t="s">
        <v>306</v>
      </c>
      <c r="K23" s="192" t="s">
        <v>306</v>
      </c>
      <c r="L23" s="192" t="s">
        <v>306</v>
      </c>
      <c r="M23" s="192" t="s">
        <v>306</v>
      </c>
      <c r="N23" s="192" t="s">
        <v>306</v>
      </c>
      <c r="O23" s="192" t="s">
        <v>306</v>
      </c>
    </row>
    <row r="24" spans="1:15" s="21" customFormat="1" ht="24.75" customHeight="1" x14ac:dyDescent="0.25">
      <c r="A24" s="1067" t="s">
        <v>252</v>
      </c>
      <c r="B24" s="588" t="s">
        <v>958</v>
      </c>
      <c r="C24" s="1068" t="s">
        <v>31</v>
      </c>
      <c r="D24" s="1052">
        <v>32</v>
      </c>
      <c r="E24" s="1052" t="s">
        <v>306</v>
      </c>
      <c r="F24" s="1056">
        <v>21</v>
      </c>
      <c r="G24" s="1056" t="s">
        <v>306</v>
      </c>
      <c r="H24" s="1056">
        <v>32</v>
      </c>
      <c r="I24" s="1056" t="s">
        <v>306</v>
      </c>
      <c r="J24" s="1056">
        <v>21</v>
      </c>
      <c r="K24" s="1052" t="s">
        <v>306</v>
      </c>
      <c r="L24" s="1052">
        <v>21</v>
      </c>
      <c r="M24" s="1052" t="s">
        <v>306</v>
      </c>
      <c r="N24" s="1052">
        <v>21</v>
      </c>
      <c r="O24" s="1060" t="s">
        <v>306</v>
      </c>
    </row>
    <row r="25" spans="1:15" s="21" customFormat="1" ht="12.75" customHeight="1" x14ac:dyDescent="0.25">
      <c r="A25" s="1064"/>
      <c r="B25" s="602" t="s">
        <v>277</v>
      </c>
      <c r="C25" s="1068"/>
      <c r="D25" s="1054"/>
      <c r="E25" s="1053"/>
      <c r="F25" s="1057"/>
      <c r="G25" s="1059"/>
      <c r="H25" s="1057"/>
      <c r="I25" s="1059"/>
      <c r="J25" s="1057"/>
      <c r="K25" s="1053"/>
      <c r="L25" s="1054"/>
      <c r="M25" s="1053"/>
      <c r="N25" s="1054"/>
      <c r="O25" s="1061"/>
    </row>
    <row r="26" spans="1:15" s="21" customFormat="1" ht="12.75" customHeight="1" x14ac:dyDescent="0.25">
      <c r="A26" s="1064"/>
      <c r="B26" s="602" t="s">
        <v>278</v>
      </c>
      <c r="C26" s="1068"/>
      <c r="D26" s="1054"/>
      <c r="E26" s="1053"/>
      <c r="F26" s="1057"/>
      <c r="G26" s="1059"/>
      <c r="H26" s="1057"/>
      <c r="I26" s="1059"/>
      <c r="J26" s="1057"/>
      <c r="K26" s="1053"/>
      <c r="L26" s="1054"/>
      <c r="M26" s="1053"/>
      <c r="N26" s="1054"/>
      <c r="O26" s="1061"/>
    </row>
    <row r="27" spans="1:15" s="21" customFormat="1" ht="22.5" customHeight="1" x14ac:dyDescent="0.25">
      <c r="A27" s="1064"/>
      <c r="B27" s="602" t="s">
        <v>205</v>
      </c>
      <c r="C27" s="1068"/>
      <c r="D27" s="1054"/>
      <c r="E27" s="1053"/>
      <c r="F27" s="1057"/>
      <c r="G27" s="1059"/>
      <c r="H27" s="1057"/>
      <c r="I27" s="1059"/>
      <c r="J27" s="1057"/>
      <c r="K27" s="1053"/>
      <c r="L27" s="1054"/>
      <c r="M27" s="1053"/>
      <c r="N27" s="1054"/>
      <c r="O27" s="1062"/>
    </row>
    <row r="28" spans="1:15" s="21" customFormat="1" ht="45" x14ac:dyDescent="0.25">
      <c r="A28" s="1063" t="s">
        <v>959</v>
      </c>
      <c r="B28" s="588" t="s">
        <v>282</v>
      </c>
      <c r="C28" s="1066" t="s">
        <v>31</v>
      </c>
      <c r="D28" s="197" t="s">
        <v>306</v>
      </c>
      <c r="E28" s="197" t="s">
        <v>306</v>
      </c>
      <c r="F28" s="198" t="s">
        <v>306</v>
      </c>
      <c r="G28" s="198" t="s">
        <v>306</v>
      </c>
      <c r="H28" s="198" t="s">
        <v>306</v>
      </c>
      <c r="I28" s="198" t="s">
        <v>306</v>
      </c>
      <c r="J28" s="198" t="s">
        <v>306</v>
      </c>
      <c r="K28" s="197" t="s">
        <v>306</v>
      </c>
      <c r="L28" s="197" t="s">
        <v>306</v>
      </c>
      <c r="M28" s="197" t="s">
        <v>306</v>
      </c>
      <c r="N28" s="197" t="s">
        <v>306</v>
      </c>
      <c r="O28" s="197" t="s">
        <v>306</v>
      </c>
    </row>
    <row r="29" spans="1:15" s="21" customFormat="1" ht="12.75" customHeight="1" x14ac:dyDescent="0.25">
      <c r="A29" s="1064"/>
      <c r="B29" s="602" t="s">
        <v>279</v>
      </c>
      <c r="C29" s="1066"/>
      <c r="D29" s="194" t="s">
        <v>306</v>
      </c>
      <c r="E29" s="194" t="s">
        <v>306</v>
      </c>
      <c r="F29" s="195" t="s">
        <v>306</v>
      </c>
      <c r="G29" s="195" t="s">
        <v>306</v>
      </c>
      <c r="H29" s="195" t="s">
        <v>306</v>
      </c>
      <c r="I29" s="195" t="s">
        <v>306</v>
      </c>
      <c r="J29" s="195" t="s">
        <v>306</v>
      </c>
      <c r="K29" s="194" t="s">
        <v>306</v>
      </c>
      <c r="L29" s="194" t="s">
        <v>306</v>
      </c>
      <c r="M29" s="194" t="s">
        <v>306</v>
      </c>
      <c r="N29" s="194" t="s">
        <v>306</v>
      </c>
      <c r="O29" s="194" t="s">
        <v>306</v>
      </c>
    </row>
    <row r="30" spans="1:15" s="21" customFormat="1" ht="17.25" customHeight="1" x14ac:dyDescent="0.25">
      <c r="A30" s="1065"/>
      <c r="B30" s="603" t="s">
        <v>30</v>
      </c>
      <c r="C30" s="1066"/>
      <c r="D30" s="226" t="s">
        <v>306</v>
      </c>
      <c r="E30" s="226" t="s">
        <v>306</v>
      </c>
      <c r="F30" s="196" t="s">
        <v>306</v>
      </c>
      <c r="G30" s="196" t="s">
        <v>306</v>
      </c>
      <c r="H30" s="196" t="s">
        <v>306</v>
      </c>
      <c r="I30" s="196" t="s">
        <v>306</v>
      </c>
      <c r="J30" s="196" t="s">
        <v>306</v>
      </c>
      <c r="K30" s="226" t="s">
        <v>306</v>
      </c>
      <c r="L30" s="226" t="s">
        <v>306</v>
      </c>
      <c r="M30" s="226" t="s">
        <v>306</v>
      </c>
      <c r="N30" s="226" t="s">
        <v>306</v>
      </c>
      <c r="O30" s="226" t="s">
        <v>306</v>
      </c>
    </row>
    <row r="31" spans="1:15" s="21" customFormat="1" ht="44.25" customHeight="1" x14ac:dyDescent="0.25">
      <c r="A31" s="1063" t="s">
        <v>960</v>
      </c>
      <c r="B31" s="588" t="s">
        <v>292</v>
      </c>
      <c r="C31" s="1068" t="s">
        <v>31</v>
      </c>
      <c r="D31" s="1053">
        <v>31</v>
      </c>
      <c r="E31" s="1060" t="s">
        <v>306</v>
      </c>
      <c r="F31" s="1059">
        <v>25</v>
      </c>
      <c r="G31" s="1069" t="s">
        <v>306</v>
      </c>
      <c r="H31" s="1059">
        <v>31</v>
      </c>
      <c r="I31" s="1069" t="s">
        <v>306</v>
      </c>
      <c r="J31" s="1059">
        <v>25</v>
      </c>
      <c r="K31" s="1060" t="s">
        <v>306</v>
      </c>
      <c r="L31" s="1053">
        <v>25</v>
      </c>
      <c r="M31" s="1060" t="s">
        <v>306</v>
      </c>
      <c r="N31" s="1053">
        <v>25</v>
      </c>
      <c r="O31" s="1060" t="s">
        <v>306</v>
      </c>
    </row>
    <row r="32" spans="1:15" s="21" customFormat="1" ht="13.5" customHeight="1" x14ac:dyDescent="0.25">
      <c r="A32" s="1064"/>
      <c r="B32" s="602" t="s">
        <v>279</v>
      </c>
      <c r="C32" s="1068"/>
      <c r="D32" s="1054"/>
      <c r="E32" s="1061"/>
      <c r="F32" s="1057"/>
      <c r="G32" s="1070"/>
      <c r="H32" s="1057"/>
      <c r="I32" s="1070"/>
      <c r="J32" s="1057"/>
      <c r="K32" s="1061"/>
      <c r="L32" s="1054"/>
      <c r="M32" s="1061"/>
      <c r="N32" s="1054"/>
      <c r="O32" s="1061"/>
    </row>
    <row r="33" spans="1:15" s="21" customFormat="1" ht="13.5" customHeight="1" x14ac:dyDescent="0.25">
      <c r="A33" s="1065"/>
      <c r="B33" s="603" t="s">
        <v>30</v>
      </c>
      <c r="C33" s="1068"/>
      <c r="D33" s="1055"/>
      <c r="E33" s="1062"/>
      <c r="F33" s="1058"/>
      <c r="G33" s="1071"/>
      <c r="H33" s="1058"/>
      <c r="I33" s="1071"/>
      <c r="J33" s="1058"/>
      <c r="K33" s="1062"/>
      <c r="L33" s="1055"/>
      <c r="M33" s="1062"/>
      <c r="N33" s="1055"/>
      <c r="O33" s="1062"/>
    </row>
    <row r="34" spans="1:15" s="21" customFormat="1" ht="27" customHeight="1" x14ac:dyDescent="0.25">
      <c r="A34" s="584" t="s">
        <v>443</v>
      </c>
      <c r="B34" s="588" t="s">
        <v>280</v>
      </c>
      <c r="C34" s="582" t="s">
        <v>57</v>
      </c>
      <c r="D34" s="582">
        <v>56616.08</v>
      </c>
      <c r="E34" s="583"/>
      <c r="F34" s="586">
        <v>60448.85</v>
      </c>
      <c r="G34" s="586"/>
      <c r="H34" s="587">
        <v>56616.08</v>
      </c>
      <c r="I34" s="586"/>
      <c r="J34" s="586">
        <v>60448.85</v>
      </c>
      <c r="K34" s="583"/>
      <c r="L34" s="582">
        <v>64559.37</v>
      </c>
      <c r="M34" s="582"/>
      <c r="N34" s="582">
        <v>64559.37</v>
      </c>
      <c r="O34" s="582"/>
    </row>
    <row r="35" spans="1:15" s="21" customFormat="1" ht="13.5" customHeight="1" x14ac:dyDescent="0.25">
      <c r="A35" s="601"/>
      <c r="B35" s="595" t="s">
        <v>14</v>
      </c>
      <c r="C35" s="192" t="s">
        <v>306</v>
      </c>
      <c r="D35" s="192" t="s">
        <v>306</v>
      </c>
      <c r="E35" s="192" t="s">
        <v>306</v>
      </c>
      <c r="F35" s="193" t="s">
        <v>306</v>
      </c>
      <c r="G35" s="193" t="s">
        <v>306</v>
      </c>
      <c r="H35" s="193" t="s">
        <v>306</v>
      </c>
      <c r="I35" s="193" t="s">
        <v>306</v>
      </c>
      <c r="J35" s="193" t="s">
        <v>306</v>
      </c>
      <c r="K35" s="192" t="s">
        <v>306</v>
      </c>
      <c r="L35" s="192" t="s">
        <v>306</v>
      </c>
      <c r="M35" s="192" t="s">
        <v>306</v>
      </c>
      <c r="N35" s="192" t="s">
        <v>306</v>
      </c>
      <c r="O35" s="192" t="s">
        <v>306</v>
      </c>
    </row>
    <row r="36" spans="1:15" s="21" customFormat="1" ht="15.75" customHeight="1" x14ac:dyDescent="0.25">
      <c r="A36" s="1041" t="s">
        <v>961</v>
      </c>
      <c r="B36" s="588" t="s">
        <v>962</v>
      </c>
      <c r="C36" s="1044" t="s">
        <v>57</v>
      </c>
      <c r="D36" s="1052">
        <v>25837.09</v>
      </c>
      <c r="E36" s="1052" t="s">
        <v>306</v>
      </c>
      <c r="F36" s="1056">
        <v>20634.349999999999</v>
      </c>
      <c r="G36" s="1056" t="s">
        <v>306</v>
      </c>
      <c r="H36" s="1056">
        <v>25837.09</v>
      </c>
      <c r="I36" s="1056" t="s">
        <v>306</v>
      </c>
      <c r="J36" s="1056">
        <v>20634.349999999999</v>
      </c>
      <c r="K36" s="1052" t="s">
        <v>306</v>
      </c>
      <c r="L36" s="1052">
        <v>22037.49</v>
      </c>
      <c r="M36" s="1052" t="s">
        <v>306</v>
      </c>
      <c r="N36" s="1052">
        <v>22037.49</v>
      </c>
      <c r="O36" s="1052" t="s">
        <v>306</v>
      </c>
    </row>
    <row r="37" spans="1:15" ht="12.75" customHeight="1" x14ac:dyDescent="0.25">
      <c r="A37" s="1042"/>
      <c r="B37" s="602" t="s">
        <v>277</v>
      </c>
      <c r="C37" s="908"/>
      <c r="D37" s="1054"/>
      <c r="E37" s="1053"/>
      <c r="F37" s="1057"/>
      <c r="G37" s="1059"/>
      <c r="H37" s="1057"/>
      <c r="I37" s="1059"/>
      <c r="J37" s="1057"/>
      <c r="K37" s="1053"/>
      <c r="L37" s="1054"/>
      <c r="M37" s="1053"/>
      <c r="N37" s="1054"/>
      <c r="O37" s="1053"/>
    </row>
    <row r="38" spans="1:15" ht="12.75" customHeight="1" x14ac:dyDescent="0.25">
      <c r="A38" s="1042"/>
      <c r="B38" s="602" t="s">
        <v>278</v>
      </c>
      <c r="C38" s="908"/>
      <c r="D38" s="1054"/>
      <c r="E38" s="1053"/>
      <c r="F38" s="1057"/>
      <c r="G38" s="1059"/>
      <c r="H38" s="1057"/>
      <c r="I38" s="1059"/>
      <c r="J38" s="1057"/>
      <c r="K38" s="1053"/>
      <c r="L38" s="1054"/>
      <c r="M38" s="1053"/>
      <c r="N38" s="1054"/>
      <c r="O38" s="1053"/>
    </row>
    <row r="39" spans="1:15" ht="12.75" customHeight="1" x14ac:dyDescent="0.25">
      <c r="A39" s="1042"/>
      <c r="B39" s="602" t="s">
        <v>205</v>
      </c>
      <c r="C39" s="908"/>
      <c r="D39" s="1055"/>
      <c r="E39" s="1053"/>
      <c r="F39" s="1058"/>
      <c r="G39" s="1059"/>
      <c r="H39" s="1058"/>
      <c r="I39" s="1059"/>
      <c r="J39" s="1058"/>
      <c r="K39" s="1053"/>
      <c r="L39" s="1055"/>
      <c r="M39" s="1053"/>
      <c r="N39" s="1055"/>
      <c r="O39" s="1053"/>
    </row>
    <row r="40" spans="1:15" ht="30" x14ac:dyDescent="0.25">
      <c r="A40" s="1041" t="s">
        <v>963</v>
      </c>
      <c r="B40" s="588" t="s">
        <v>293</v>
      </c>
      <c r="C40" s="1044" t="s">
        <v>57</v>
      </c>
      <c r="D40" s="197" t="s">
        <v>306</v>
      </c>
      <c r="E40" s="197" t="s">
        <v>306</v>
      </c>
      <c r="F40" s="198" t="s">
        <v>306</v>
      </c>
      <c r="G40" s="198" t="s">
        <v>306</v>
      </c>
      <c r="H40" s="198" t="s">
        <v>306</v>
      </c>
      <c r="I40" s="198" t="s">
        <v>306</v>
      </c>
      <c r="J40" s="198" t="s">
        <v>306</v>
      </c>
      <c r="K40" s="197" t="s">
        <v>306</v>
      </c>
      <c r="L40" s="197" t="s">
        <v>306</v>
      </c>
      <c r="M40" s="197" t="s">
        <v>306</v>
      </c>
      <c r="N40" s="197" t="s">
        <v>306</v>
      </c>
      <c r="O40" s="197" t="s">
        <v>306</v>
      </c>
    </row>
    <row r="41" spans="1:15" ht="13.5" customHeight="1" x14ac:dyDescent="0.25">
      <c r="A41" s="1042"/>
      <c r="B41" s="602" t="s">
        <v>279</v>
      </c>
      <c r="C41" s="908"/>
      <c r="D41" s="194" t="s">
        <v>306</v>
      </c>
      <c r="E41" s="194" t="s">
        <v>306</v>
      </c>
      <c r="F41" s="195" t="s">
        <v>306</v>
      </c>
      <c r="G41" s="195" t="s">
        <v>306</v>
      </c>
      <c r="H41" s="195" t="s">
        <v>306</v>
      </c>
      <c r="I41" s="195" t="s">
        <v>306</v>
      </c>
      <c r="J41" s="195" t="s">
        <v>306</v>
      </c>
      <c r="K41" s="194" t="s">
        <v>306</v>
      </c>
      <c r="L41" s="194" t="s">
        <v>306</v>
      </c>
      <c r="M41" s="194" t="s">
        <v>306</v>
      </c>
      <c r="N41" s="194" t="s">
        <v>306</v>
      </c>
      <c r="O41" s="194" t="s">
        <v>306</v>
      </c>
    </row>
    <row r="42" spans="1:15" ht="24" customHeight="1" x14ac:dyDescent="0.25">
      <c r="A42" s="1043"/>
      <c r="B42" s="603" t="s">
        <v>30</v>
      </c>
      <c r="C42" s="909"/>
      <c r="D42" s="226" t="s">
        <v>306</v>
      </c>
      <c r="E42" s="226" t="s">
        <v>306</v>
      </c>
      <c r="F42" s="196" t="s">
        <v>306</v>
      </c>
      <c r="G42" s="196" t="s">
        <v>306</v>
      </c>
      <c r="H42" s="196" t="s">
        <v>306</v>
      </c>
      <c r="I42" s="196" t="s">
        <v>306</v>
      </c>
      <c r="J42" s="196" t="s">
        <v>306</v>
      </c>
      <c r="K42" s="226" t="s">
        <v>306</v>
      </c>
      <c r="L42" s="226" t="s">
        <v>306</v>
      </c>
      <c r="M42" s="226" t="s">
        <v>306</v>
      </c>
      <c r="N42" s="226" t="s">
        <v>306</v>
      </c>
      <c r="O42" s="226" t="s">
        <v>306</v>
      </c>
    </row>
    <row r="43" spans="1:15" ht="14.25" customHeight="1" x14ac:dyDescent="0.25">
      <c r="A43" s="1041" t="s">
        <v>964</v>
      </c>
      <c r="B43" s="585" t="s">
        <v>76</v>
      </c>
      <c r="C43" s="1044" t="s">
        <v>57</v>
      </c>
      <c r="D43" s="1052">
        <v>30778.99</v>
      </c>
      <c r="E43" s="1052" t="s">
        <v>306</v>
      </c>
      <c r="F43" s="1056">
        <v>39814.5</v>
      </c>
      <c r="G43" s="195" t="s">
        <v>306</v>
      </c>
      <c r="H43" s="1056">
        <v>30778.99</v>
      </c>
      <c r="I43" s="195" t="s">
        <v>306</v>
      </c>
      <c r="J43" s="1056">
        <v>39814.5</v>
      </c>
      <c r="K43" s="194" t="s">
        <v>306</v>
      </c>
      <c r="L43" s="1052">
        <v>42521.88</v>
      </c>
      <c r="M43" s="194" t="s">
        <v>306</v>
      </c>
      <c r="N43" s="1052">
        <v>42521.88</v>
      </c>
      <c r="O43" s="194" t="s">
        <v>306</v>
      </c>
    </row>
    <row r="44" spans="1:15" ht="27" customHeight="1" x14ac:dyDescent="0.25">
      <c r="A44" s="1042"/>
      <c r="B44" s="605" t="s">
        <v>294</v>
      </c>
      <c r="C44" s="908"/>
      <c r="D44" s="1053"/>
      <c r="E44" s="1053"/>
      <c r="F44" s="1059"/>
      <c r="G44" s="195" t="s">
        <v>306</v>
      </c>
      <c r="H44" s="1059"/>
      <c r="I44" s="195" t="s">
        <v>306</v>
      </c>
      <c r="J44" s="1059"/>
      <c r="K44" s="194" t="s">
        <v>306</v>
      </c>
      <c r="L44" s="1053"/>
      <c r="M44" s="194" t="s">
        <v>306</v>
      </c>
      <c r="N44" s="1053"/>
      <c r="O44" s="194" t="s">
        <v>306</v>
      </c>
    </row>
    <row r="45" spans="1:15" ht="12.75" customHeight="1" x14ac:dyDescent="0.25">
      <c r="A45" s="1042"/>
      <c r="B45" s="602" t="s">
        <v>279</v>
      </c>
      <c r="C45" s="908"/>
      <c r="D45" s="1054"/>
      <c r="E45" s="1054"/>
      <c r="F45" s="1057"/>
      <c r="G45" s="195" t="s">
        <v>306</v>
      </c>
      <c r="H45" s="1057"/>
      <c r="I45" s="195" t="s">
        <v>306</v>
      </c>
      <c r="J45" s="1057"/>
      <c r="K45" s="194" t="s">
        <v>306</v>
      </c>
      <c r="L45" s="1054"/>
      <c r="M45" s="194" t="s">
        <v>306</v>
      </c>
      <c r="N45" s="1054"/>
      <c r="O45" s="194" t="s">
        <v>306</v>
      </c>
    </row>
    <row r="46" spans="1:15" ht="12.75" customHeight="1" x14ac:dyDescent="0.25">
      <c r="A46" s="1043"/>
      <c r="B46" s="603" t="s">
        <v>30</v>
      </c>
      <c r="C46" s="909"/>
      <c r="D46" s="1054"/>
      <c r="E46" s="1054"/>
      <c r="F46" s="1057"/>
      <c r="G46" s="195" t="s">
        <v>306</v>
      </c>
      <c r="H46" s="1057"/>
      <c r="I46" s="195" t="s">
        <v>306</v>
      </c>
      <c r="J46" s="1057"/>
      <c r="K46" s="194" t="s">
        <v>306</v>
      </c>
      <c r="L46" s="1054"/>
      <c r="M46" s="194" t="s">
        <v>306</v>
      </c>
      <c r="N46" s="1054"/>
      <c r="O46" s="194" t="s">
        <v>306</v>
      </c>
    </row>
    <row r="47" spans="1:15" ht="33" x14ac:dyDescent="0.25">
      <c r="A47" s="1041" t="s">
        <v>965</v>
      </c>
      <c r="B47" s="588" t="s">
        <v>966</v>
      </c>
      <c r="C47" s="772" t="s">
        <v>327</v>
      </c>
      <c r="D47" s="1052">
        <v>89712</v>
      </c>
      <c r="E47" s="197" t="s">
        <v>306</v>
      </c>
      <c r="F47" s="1056">
        <v>81882.36</v>
      </c>
      <c r="G47" s="198" t="s">
        <v>306</v>
      </c>
      <c r="H47" s="1056">
        <v>89712</v>
      </c>
      <c r="I47" s="198" t="s">
        <v>306</v>
      </c>
      <c r="J47" s="1056">
        <v>81882.36</v>
      </c>
      <c r="K47" s="197" t="s">
        <v>306</v>
      </c>
      <c r="L47" s="1052">
        <v>87450.36</v>
      </c>
      <c r="M47" s="197" t="s">
        <v>306</v>
      </c>
      <c r="N47" s="1052">
        <v>87450.36</v>
      </c>
      <c r="O47" s="197" t="s">
        <v>306</v>
      </c>
    </row>
    <row r="48" spans="1:15" ht="12.75" customHeight="1" x14ac:dyDescent="0.25">
      <c r="A48" s="1042"/>
      <c r="B48" s="602" t="s">
        <v>277</v>
      </c>
      <c r="C48" s="753"/>
      <c r="D48" s="1054"/>
      <c r="E48" s="194" t="s">
        <v>306</v>
      </c>
      <c r="F48" s="1057"/>
      <c r="G48" s="195" t="s">
        <v>306</v>
      </c>
      <c r="H48" s="1057"/>
      <c r="I48" s="195" t="s">
        <v>306</v>
      </c>
      <c r="J48" s="1057"/>
      <c r="K48" s="194" t="s">
        <v>306</v>
      </c>
      <c r="L48" s="1054"/>
      <c r="M48" s="194" t="s">
        <v>306</v>
      </c>
      <c r="N48" s="1054"/>
      <c r="O48" s="194" t="s">
        <v>306</v>
      </c>
    </row>
    <row r="49" spans="1:15" ht="12.75" customHeight="1" x14ac:dyDescent="0.25">
      <c r="A49" s="1042"/>
      <c r="B49" s="602" t="s">
        <v>278</v>
      </c>
      <c r="C49" s="753"/>
      <c r="D49" s="1054"/>
      <c r="E49" s="194" t="s">
        <v>306</v>
      </c>
      <c r="F49" s="1057"/>
      <c r="G49" s="195" t="s">
        <v>306</v>
      </c>
      <c r="H49" s="1057"/>
      <c r="I49" s="195" t="s">
        <v>306</v>
      </c>
      <c r="J49" s="1057"/>
      <c r="K49" s="194" t="s">
        <v>306</v>
      </c>
      <c r="L49" s="1054"/>
      <c r="M49" s="194" t="s">
        <v>306</v>
      </c>
      <c r="N49" s="1054"/>
      <c r="O49" s="194" t="s">
        <v>306</v>
      </c>
    </row>
    <row r="50" spans="1:15" ht="15" customHeight="1" x14ac:dyDescent="0.25">
      <c r="A50" s="1042"/>
      <c r="B50" s="602" t="s">
        <v>205</v>
      </c>
      <c r="C50" s="753"/>
      <c r="D50" s="1055"/>
      <c r="E50" s="226" t="s">
        <v>306</v>
      </c>
      <c r="F50" s="1058"/>
      <c r="G50" s="196" t="s">
        <v>306</v>
      </c>
      <c r="H50" s="1058"/>
      <c r="I50" s="196" t="s">
        <v>306</v>
      </c>
      <c r="J50" s="1058"/>
      <c r="K50" s="226" t="s">
        <v>306</v>
      </c>
      <c r="L50" s="1055"/>
      <c r="M50" s="226" t="s">
        <v>306</v>
      </c>
      <c r="N50" s="1055"/>
      <c r="O50" s="226" t="s">
        <v>306</v>
      </c>
    </row>
    <row r="51" spans="1:15" ht="13.5" customHeight="1" x14ac:dyDescent="0.25">
      <c r="A51" s="1049" t="s">
        <v>444</v>
      </c>
      <c r="B51" s="585" t="s">
        <v>77</v>
      </c>
      <c r="C51" s="1044" t="s">
        <v>29</v>
      </c>
      <c r="D51" s="1040">
        <v>12.78</v>
      </c>
      <c r="E51" s="1037"/>
      <c r="F51" s="1050">
        <v>14.65</v>
      </c>
      <c r="G51" s="1048"/>
      <c r="H51" s="1051">
        <v>12.78</v>
      </c>
      <c r="I51" s="1048"/>
      <c r="J51" s="1050">
        <v>14.65</v>
      </c>
      <c r="K51" s="103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43"/>
      <c r="B52" s="609" t="s">
        <v>78</v>
      </c>
      <c r="C52" s="908"/>
      <c r="D52" s="1038"/>
      <c r="E52" s="1037"/>
      <c r="F52" s="1050"/>
      <c r="G52" s="1048"/>
      <c r="H52" s="1045"/>
      <c r="I52" s="1048"/>
      <c r="J52" s="1050"/>
      <c r="K52" s="1037"/>
      <c r="L52" s="1038"/>
      <c r="M52" s="1038"/>
      <c r="N52" s="1038"/>
      <c r="O52" s="1038"/>
    </row>
    <row r="53" spans="1:15" ht="11.25" customHeight="1" x14ac:dyDescent="0.25">
      <c r="A53" s="610"/>
      <c r="B53" s="595" t="s">
        <v>14</v>
      </c>
      <c r="C53" s="192" t="s">
        <v>306</v>
      </c>
      <c r="D53" s="192" t="s">
        <v>306</v>
      </c>
      <c r="E53" s="192" t="s">
        <v>306</v>
      </c>
      <c r="F53" s="193" t="s">
        <v>306</v>
      </c>
      <c r="G53" s="193" t="s">
        <v>306</v>
      </c>
      <c r="H53" s="193" t="s">
        <v>306</v>
      </c>
      <c r="I53" s="193" t="s">
        <v>306</v>
      </c>
      <c r="J53" s="193" t="s">
        <v>306</v>
      </c>
      <c r="K53" s="192" t="s">
        <v>306</v>
      </c>
      <c r="L53" s="192" t="s">
        <v>306</v>
      </c>
      <c r="M53" s="192" t="s">
        <v>306</v>
      </c>
      <c r="N53" s="192" t="s">
        <v>306</v>
      </c>
      <c r="O53" s="192" t="s">
        <v>306</v>
      </c>
    </row>
    <row r="54" spans="1:15" ht="16.5" customHeight="1" x14ac:dyDescent="0.25">
      <c r="A54" s="1041" t="s">
        <v>967</v>
      </c>
      <c r="B54" s="588" t="s">
        <v>962</v>
      </c>
      <c r="C54" s="908" t="s">
        <v>29</v>
      </c>
      <c r="D54" s="611">
        <v>6.66</v>
      </c>
      <c r="E54" s="194" t="s">
        <v>306</v>
      </c>
      <c r="F54" s="612">
        <v>9.06</v>
      </c>
      <c r="G54" s="195" t="s">
        <v>306</v>
      </c>
      <c r="H54" s="612">
        <v>6.66</v>
      </c>
      <c r="I54" s="195" t="s">
        <v>306</v>
      </c>
      <c r="J54" s="612">
        <v>9.06</v>
      </c>
      <c r="K54" s="194" t="s">
        <v>306</v>
      </c>
      <c r="L54" s="611">
        <v>8.99</v>
      </c>
      <c r="M54" s="194" t="s">
        <v>306</v>
      </c>
      <c r="N54" s="611">
        <v>8.99</v>
      </c>
      <c r="O54" s="194" t="s">
        <v>306</v>
      </c>
    </row>
    <row r="55" spans="1:15" ht="12.75" customHeight="1" x14ac:dyDescent="0.25">
      <c r="A55" s="1042"/>
      <c r="B55" s="602" t="s">
        <v>277</v>
      </c>
      <c r="C55" s="908"/>
      <c r="D55" s="611"/>
      <c r="E55" s="194" t="s">
        <v>306</v>
      </c>
      <c r="F55" s="612"/>
      <c r="G55" s="195" t="s">
        <v>306</v>
      </c>
      <c r="H55" s="612"/>
      <c r="I55" s="195" t="s">
        <v>306</v>
      </c>
      <c r="J55" s="612"/>
      <c r="K55" s="194" t="s">
        <v>306</v>
      </c>
      <c r="L55" s="611"/>
      <c r="M55" s="194" t="s">
        <v>306</v>
      </c>
      <c r="N55" s="611"/>
      <c r="O55" s="194" t="s">
        <v>306</v>
      </c>
    </row>
    <row r="56" spans="1:15" ht="12.75" customHeight="1" x14ac:dyDescent="0.25">
      <c r="A56" s="1042"/>
      <c r="B56" s="602" t="s">
        <v>278</v>
      </c>
      <c r="C56" s="908"/>
      <c r="D56" s="611"/>
      <c r="E56" s="194" t="s">
        <v>306</v>
      </c>
      <c r="F56" s="612"/>
      <c r="G56" s="195" t="s">
        <v>306</v>
      </c>
      <c r="H56" s="612"/>
      <c r="I56" s="195" t="s">
        <v>306</v>
      </c>
      <c r="J56" s="612"/>
      <c r="K56" s="194" t="s">
        <v>306</v>
      </c>
      <c r="L56" s="611"/>
      <c r="M56" s="194" t="s">
        <v>306</v>
      </c>
      <c r="N56" s="611"/>
      <c r="O56" s="194" t="s">
        <v>306</v>
      </c>
    </row>
    <row r="57" spans="1:15" ht="15.75" customHeight="1" x14ac:dyDescent="0.25">
      <c r="A57" s="1042"/>
      <c r="B57" s="602" t="s">
        <v>205</v>
      </c>
      <c r="C57" s="908"/>
      <c r="D57" s="607"/>
      <c r="E57" s="194" t="s">
        <v>306</v>
      </c>
      <c r="F57" s="608"/>
      <c r="G57" s="195" t="s">
        <v>306</v>
      </c>
      <c r="H57" s="608"/>
      <c r="I57" s="195" t="s">
        <v>306</v>
      </c>
      <c r="J57" s="608"/>
      <c r="K57" s="194" t="s">
        <v>306</v>
      </c>
      <c r="L57" s="607"/>
      <c r="M57" s="194" t="s">
        <v>306</v>
      </c>
      <c r="N57" s="607"/>
      <c r="O57" s="194" t="s">
        <v>306</v>
      </c>
    </row>
    <row r="58" spans="1:15" ht="12.75" customHeight="1" x14ac:dyDescent="0.25">
      <c r="A58" s="1041" t="s">
        <v>968</v>
      </c>
      <c r="B58" s="585" t="s">
        <v>76</v>
      </c>
      <c r="C58" s="1044" t="s">
        <v>29</v>
      </c>
      <c r="D58" s="197" t="s">
        <v>306</v>
      </c>
      <c r="E58" s="197" t="s">
        <v>306</v>
      </c>
      <c r="F58" s="198" t="s">
        <v>306</v>
      </c>
      <c r="G58" s="198" t="s">
        <v>306</v>
      </c>
      <c r="H58" s="198" t="s">
        <v>306</v>
      </c>
      <c r="I58" s="198" t="s">
        <v>306</v>
      </c>
      <c r="J58" s="198" t="s">
        <v>306</v>
      </c>
      <c r="K58" s="197" t="s">
        <v>306</v>
      </c>
      <c r="L58" s="197" t="s">
        <v>306</v>
      </c>
      <c r="M58" s="197" t="s">
        <v>306</v>
      </c>
      <c r="N58" s="197" t="s">
        <v>306</v>
      </c>
      <c r="O58" s="197" t="s">
        <v>306</v>
      </c>
    </row>
    <row r="59" spans="1:15" ht="12.75" customHeight="1" x14ac:dyDescent="0.25">
      <c r="A59" s="1042"/>
      <c r="B59" s="613" t="s">
        <v>295</v>
      </c>
      <c r="C59" s="908"/>
      <c r="D59" s="194" t="s">
        <v>306</v>
      </c>
      <c r="E59" s="194" t="s">
        <v>306</v>
      </c>
      <c r="F59" s="195" t="s">
        <v>306</v>
      </c>
      <c r="G59" s="195" t="s">
        <v>306</v>
      </c>
      <c r="H59" s="195" t="s">
        <v>306</v>
      </c>
      <c r="I59" s="195" t="s">
        <v>306</v>
      </c>
      <c r="J59" s="195" t="s">
        <v>306</v>
      </c>
      <c r="K59" s="194" t="s">
        <v>306</v>
      </c>
      <c r="L59" s="194" t="s">
        <v>306</v>
      </c>
      <c r="M59" s="194" t="s">
        <v>306</v>
      </c>
      <c r="N59" s="194" t="s">
        <v>306</v>
      </c>
      <c r="O59" s="194" t="s">
        <v>306</v>
      </c>
    </row>
    <row r="60" spans="1:15" ht="12.75" customHeight="1" x14ac:dyDescent="0.25">
      <c r="A60" s="1042"/>
      <c r="B60" s="602" t="s">
        <v>279</v>
      </c>
      <c r="C60" s="908"/>
      <c r="D60" s="194" t="s">
        <v>306</v>
      </c>
      <c r="E60" s="194" t="s">
        <v>306</v>
      </c>
      <c r="F60" s="195" t="s">
        <v>306</v>
      </c>
      <c r="G60" s="195" t="s">
        <v>306</v>
      </c>
      <c r="H60" s="195" t="s">
        <v>306</v>
      </c>
      <c r="I60" s="195" t="s">
        <v>306</v>
      </c>
      <c r="J60" s="195" t="s">
        <v>306</v>
      </c>
      <c r="K60" s="194" t="s">
        <v>306</v>
      </c>
      <c r="L60" s="194" t="s">
        <v>306</v>
      </c>
      <c r="M60" s="194" t="s">
        <v>306</v>
      </c>
      <c r="N60" s="194" t="s">
        <v>306</v>
      </c>
      <c r="O60" s="194" t="s">
        <v>306</v>
      </c>
    </row>
    <row r="61" spans="1:15" ht="16.5" customHeight="1" x14ac:dyDescent="0.25">
      <c r="A61" s="1043"/>
      <c r="B61" s="603" t="s">
        <v>30</v>
      </c>
      <c r="C61" s="909"/>
      <c r="D61" s="226" t="s">
        <v>306</v>
      </c>
      <c r="E61" s="226" t="s">
        <v>306</v>
      </c>
      <c r="F61" s="196" t="s">
        <v>306</v>
      </c>
      <c r="G61" s="196" t="s">
        <v>306</v>
      </c>
      <c r="H61" s="196" t="s">
        <v>306</v>
      </c>
      <c r="I61" s="196" t="s">
        <v>306</v>
      </c>
      <c r="J61" s="196" t="s">
        <v>306</v>
      </c>
      <c r="K61" s="226" t="s">
        <v>306</v>
      </c>
      <c r="L61" s="226" t="s">
        <v>306</v>
      </c>
      <c r="M61" s="226" t="s">
        <v>306</v>
      </c>
      <c r="N61" s="226" t="s">
        <v>306</v>
      </c>
      <c r="O61" s="226" t="s">
        <v>306</v>
      </c>
    </row>
    <row r="62" spans="1:15" ht="12.75" customHeight="1" x14ac:dyDescent="0.25">
      <c r="A62" s="1041" t="s">
        <v>969</v>
      </c>
      <c r="B62" s="585" t="s">
        <v>76</v>
      </c>
      <c r="C62" s="1044" t="s">
        <v>29</v>
      </c>
      <c r="D62" s="1036">
        <v>6.12</v>
      </c>
      <c r="E62" s="1038" t="s">
        <v>306</v>
      </c>
      <c r="F62" s="1045">
        <v>5.59</v>
      </c>
      <c r="G62" s="1045" t="s">
        <v>306</v>
      </c>
      <c r="H62" s="1047">
        <v>6.12</v>
      </c>
      <c r="I62" s="1045" t="s">
        <v>306</v>
      </c>
      <c r="J62" s="1045">
        <v>5.59</v>
      </c>
      <c r="K62" s="1036" t="s">
        <v>306</v>
      </c>
      <c r="L62" s="1036">
        <v>5.23</v>
      </c>
      <c r="M62" s="1036" t="s">
        <v>306</v>
      </c>
      <c r="N62" s="1036">
        <v>5.23</v>
      </c>
      <c r="O62" s="1038" t="s">
        <v>306</v>
      </c>
    </row>
    <row r="63" spans="1:15" ht="27" customHeight="1" x14ac:dyDescent="0.25">
      <c r="A63" s="1042"/>
      <c r="B63" s="605" t="s">
        <v>294</v>
      </c>
      <c r="C63" s="908"/>
      <c r="D63" s="1037"/>
      <c r="E63" s="1039"/>
      <c r="F63" s="1046"/>
      <c r="G63" s="1046"/>
      <c r="H63" s="1048"/>
      <c r="I63" s="1046"/>
      <c r="J63" s="1046"/>
      <c r="K63" s="1037"/>
      <c r="L63" s="1037"/>
      <c r="M63" s="1037"/>
      <c r="N63" s="1037"/>
      <c r="O63" s="1039"/>
    </row>
    <row r="64" spans="1:15" ht="12.75" customHeight="1" x14ac:dyDescent="0.25">
      <c r="A64" s="1042"/>
      <c r="B64" s="602" t="s">
        <v>279</v>
      </c>
      <c r="C64" s="908"/>
      <c r="D64" s="194" t="s">
        <v>306</v>
      </c>
      <c r="E64" s="194" t="s">
        <v>306</v>
      </c>
      <c r="F64" s="195" t="s">
        <v>306</v>
      </c>
      <c r="G64" s="195" t="s">
        <v>306</v>
      </c>
      <c r="H64" s="195" t="s">
        <v>306</v>
      </c>
      <c r="I64" s="195" t="s">
        <v>306</v>
      </c>
      <c r="J64" s="195" t="s">
        <v>306</v>
      </c>
      <c r="K64" s="194" t="s">
        <v>306</v>
      </c>
      <c r="L64" s="194" t="s">
        <v>306</v>
      </c>
      <c r="M64" s="194" t="s">
        <v>306</v>
      </c>
      <c r="N64" s="194" t="s">
        <v>306</v>
      </c>
      <c r="O64" s="194" t="s">
        <v>306</v>
      </c>
    </row>
    <row r="65" spans="1:15" ht="17.25" customHeight="1" x14ac:dyDescent="0.25">
      <c r="A65" s="1043"/>
      <c r="B65" s="603" t="s">
        <v>30</v>
      </c>
      <c r="C65" s="909"/>
      <c r="D65" s="194" t="s">
        <v>306</v>
      </c>
      <c r="E65" s="194" t="s">
        <v>306</v>
      </c>
      <c r="F65" s="195" t="s">
        <v>306</v>
      </c>
      <c r="G65" s="195" t="s">
        <v>306</v>
      </c>
      <c r="H65" s="195" t="s">
        <v>306</v>
      </c>
      <c r="I65" s="195" t="s">
        <v>306</v>
      </c>
      <c r="J65" s="195" t="s">
        <v>306</v>
      </c>
      <c r="K65" s="194" t="s">
        <v>306</v>
      </c>
      <c r="L65" s="194" t="s">
        <v>306</v>
      </c>
      <c r="M65" s="194" t="s">
        <v>306</v>
      </c>
      <c r="N65" s="194" t="s">
        <v>306</v>
      </c>
      <c r="O65" s="194" t="s">
        <v>306</v>
      </c>
    </row>
    <row r="66" spans="1:15" ht="33" x14ac:dyDescent="0.25">
      <c r="A66" s="614" t="s">
        <v>970</v>
      </c>
      <c r="B66" s="615" t="s">
        <v>971</v>
      </c>
      <c r="C66" s="582" t="s">
        <v>29</v>
      </c>
      <c r="D66" s="582">
        <v>6.66</v>
      </c>
      <c r="E66" s="192" t="s">
        <v>306</v>
      </c>
      <c r="F66" s="587">
        <v>9.06</v>
      </c>
      <c r="G66" s="193" t="s">
        <v>306</v>
      </c>
      <c r="H66" s="587">
        <v>6.66</v>
      </c>
      <c r="I66" s="193" t="s">
        <v>306</v>
      </c>
      <c r="J66" s="587">
        <v>9.06</v>
      </c>
      <c r="K66" s="192" t="s">
        <v>306</v>
      </c>
      <c r="L66" s="582">
        <v>8.99</v>
      </c>
      <c r="M66" s="192" t="s">
        <v>306</v>
      </c>
      <c r="N66" s="582">
        <v>8.99</v>
      </c>
      <c r="O66" s="192" t="s">
        <v>306</v>
      </c>
    </row>
    <row r="67" spans="1:15" ht="16.5" customHeight="1" x14ac:dyDescent="0.25">
      <c r="A67" s="591" t="s">
        <v>445</v>
      </c>
      <c r="B67" s="595" t="s">
        <v>79</v>
      </c>
      <c r="C67" s="1011" t="s">
        <v>972</v>
      </c>
      <c r="D67" s="192" t="s">
        <v>306</v>
      </c>
      <c r="E67" s="192" t="s">
        <v>306</v>
      </c>
      <c r="F67" s="193" t="s">
        <v>306</v>
      </c>
      <c r="G67" s="193" t="s">
        <v>306</v>
      </c>
      <c r="H67" s="193" t="s">
        <v>306</v>
      </c>
      <c r="I67" s="193" t="s">
        <v>306</v>
      </c>
      <c r="J67" s="193" t="s">
        <v>306</v>
      </c>
      <c r="K67" s="192" t="s">
        <v>306</v>
      </c>
      <c r="L67" s="192" t="s">
        <v>306</v>
      </c>
      <c r="M67" s="192" t="s">
        <v>306</v>
      </c>
      <c r="N67" s="192" t="s">
        <v>306</v>
      </c>
      <c r="O67" s="192" t="s">
        <v>306</v>
      </c>
    </row>
    <row r="68" spans="1:15" ht="11.25" customHeight="1" x14ac:dyDescent="0.25">
      <c r="A68" s="610"/>
      <c r="B68" s="595" t="s">
        <v>14</v>
      </c>
      <c r="C68" s="1012"/>
      <c r="D68" s="192" t="s">
        <v>306</v>
      </c>
      <c r="E68" s="192" t="s">
        <v>306</v>
      </c>
      <c r="F68" s="193" t="s">
        <v>306</v>
      </c>
      <c r="G68" s="193" t="s">
        <v>306</v>
      </c>
      <c r="H68" s="193" t="s">
        <v>306</v>
      </c>
      <c r="I68" s="193" t="s">
        <v>306</v>
      </c>
      <c r="J68" s="193" t="s">
        <v>306</v>
      </c>
      <c r="K68" s="192" t="s">
        <v>306</v>
      </c>
      <c r="L68" s="192" t="s">
        <v>306</v>
      </c>
      <c r="M68" s="192" t="s">
        <v>306</v>
      </c>
      <c r="N68" s="192" t="s">
        <v>306</v>
      </c>
      <c r="O68" s="192" t="s">
        <v>306</v>
      </c>
    </row>
    <row r="69" spans="1:15" x14ac:dyDescent="0.25">
      <c r="A69" s="616" t="s">
        <v>253</v>
      </c>
      <c r="B69" s="617" t="s">
        <v>277</v>
      </c>
      <c r="C69" s="1012"/>
      <c r="D69" s="192" t="s">
        <v>306</v>
      </c>
      <c r="E69" s="192" t="s">
        <v>306</v>
      </c>
      <c r="F69" s="193" t="s">
        <v>306</v>
      </c>
      <c r="G69" s="193" t="s">
        <v>306</v>
      </c>
      <c r="H69" s="193" t="s">
        <v>306</v>
      </c>
      <c r="I69" s="193" t="s">
        <v>306</v>
      </c>
      <c r="J69" s="193" t="s">
        <v>306</v>
      </c>
      <c r="K69" s="192" t="s">
        <v>306</v>
      </c>
      <c r="L69" s="192" t="s">
        <v>306</v>
      </c>
      <c r="M69" s="192" t="s">
        <v>306</v>
      </c>
      <c r="N69" s="192" t="s">
        <v>306</v>
      </c>
      <c r="O69" s="192" t="s">
        <v>306</v>
      </c>
    </row>
    <row r="70" spans="1:15" x14ac:dyDescent="0.25">
      <c r="A70" s="616" t="s">
        <v>254</v>
      </c>
      <c r="B70" s="617" t="s">
        <v>278</v>
      </c>
      <c r="C70" s="1012"/>
      <c r="D70" s="192" t="s">
        <v>306</v>
      </c>
      <c r="E70" s="192" t="s">
        <v>306</v>
      </c>
      <c r="F70" s="193" t="s">
        <v>306</v>
      </c>
      <c r="G70" s="193" t="s">
        <v>306</v>
      </c>
      <c r="H70" s="193" t="s">
        <v>306</v>
      </c>
      <c r="I70" s="193" t="s">
        <v>306</v>
      </c>
      <c r="J70" s="193" t="s">
        <v>306</v>
      </c>
      <c r="K70" s="192" t="s">
        <v>306</v>
      </c>
      <c r="L70" s="192" t="s">
        <v>306</v>
      </c>
      <c r="M70" s="192" t="s">
        <v>306</v>
      </c>
      <c r="N70" s="192" t="s">
        <v>306</v>
      </c>
      <c r="O70" s="192" t="s">
        <v>306</v>
      </c>
    </row>
    <row r="71" spans="1:15" x14ac:dyDescent="0.25">
      <c r="A71" s="606" t="s">
        <v>255</v>
      </c>
      <c r="B71" s="618" t="s">
        <v>205</v>
      </c>
      <c r="C71" s="1012"/>
      <c r="D71" s="192" t="s">
        <v>306</v>
      </c>
      <c r="E71" s="192" t="s">
        <v>306</v>
      </c>
      <c r="F71" s="193" t="s">
        <v>306</v>
      </c>
      <c r="G71" s="193" t="s">
        <v>306</v>
      </c>
      <c r="H71" s="193" t="s">
        <v>306</v>
      </c>
      <c r="I71" s="193" t="s">
        <v>306</v>
      </c>
      <c r="J71" s="193" t="s">
        <v>306</v>
      </c>
      <c r="K71" s="192" t="s">
        <v>306</v>
      </c>
      <c r="L71" s="192" t="s">
        <v>306</v>
      </c>
      <c r="M71" s="192" t="s">
        <v>306</v>
      </c>
      <c r="N71" s="192" t="s">
        <v>306</v>
      </c>
      <c r="O71" s="192" t="s">
        <v>306</v>
      </c>
    </row>
    <row r="72" spans="1:15" x14ac:dyDescent="0.25">
      <c r="A72" s="619" t="s">
        <v>446</v>
      </c>
      <c r="B72" s="595" t="s">
        <v>11</v>
      </c>
      <c r="C72" s="236" t="s">
        <v>57</v>
      </c>
      <c r="D72" s="192" t="s">
        <v>306</v>
      </c>
      <c r="E72" s="192" t="s">
        <v>306</v>
      </c>
      <c r="F72" s="193" t="s">
        <v>306</v>
      </c>
      <c r="G72" s="193" t="s">
        <v>306</v>
      </c>
      <c r="H72" s="193" t="s">
        <v>306</v>
      </c>
      <c r="I72" s="193" t="s">
        <v>306</v>
      </c>
      <c r="J72" s="193" t="s">
        <v>306</v>
      </c>
      <c r="K72" s="192" t="s">
        <v>306</v>
      </c>
      <c r="L72" s="192" t="s">
        <v>306</v>
      </c>
      <c r="M72" s="192" t="s">
        <v>306</v>
      </c>
      <c r="N72" s="192" t="s">
        <v>306</v>
      </c>
      <c r="O72" s="192" t="s">
        <v>306</v>
      </c>
    </row>
    <row r="73" spans="1:15" ht="33" customHeight="1" x14ac:dyDescent="0.25">
      <c r="A73" s="606" t="s">
        <v>256</v>
      </c>
      <c r="B73" s="588" t="s">
        <v>873</v>
      </c>
      <c r="C73" s="582" t="s">
        <v>57</v>
      </c>
      <c r="D73" s="192" t="s">
        <v>306</v>
      </c>
      <c r="E73" s="192" t="s">
        <v>306</v>
      </c>
      <c r="F73" s="193" t="s">
        <v>306</v>
      </c>
      <c r="G73" s="193" t="s">
        <v>306</v>
      </c>
      <c r="H73" s="193" t="s">
        <v>306</v>
      </c>
      <c r="I73" s="193" t="s">
        <v>306</v>
      </c>
      <c r="J73" s="193" t="s">
        <v>306</v>
      </c>
      <c r="K73" s="192" t="s">
        <v>306</v>
      </c>
      <c r="L73" s="192" t="s">
        <v>306</v>
      </c>
      <c r="M73" s="192" t="s">
        <v>306</v>
      </c>
      <c r="N73" s="192" t="s">
        <v>306</v>
      </c>
      <c r="O73" s="192" t="s">
        <v>306</v>
      </c>
    </row>
    <row r="74" spans="1:15" x14ac:dyDescent="0.25">
      <c r="A74" s="606" t="s">
        <v>257</v>
      </c>
      <c r="B74" s="618" t="s">
        <v>296</v>
      </c>
      <c r="C74" s="604" t="s">
        <v>29</v>
      </c>
      <c r="D74" s="192" t="s">
        <v>306</v>
      </c>
      <c r="E74" s="192" t="s">
        <v>306</v>
      </c>
      <c r="F74" s="193" t="s">
        <v>306</v>
      </c>
      <c r="G74" s="193" t="s">
        <v>306</v>
      </c>
      <c r="H74" s="193" t="s">
        <v>306</v>
      </c>
      <c r="I74" s="193" t="s">
        <v>306</v>
      </c>
      <c r="J74" s="193" t="s">
        <v>306</v>
      </c>
      <c r="K74" s="192" t="s">
        <v>306</v>
      </c>
      <c r="L74" s="192" t="s">
        <v>306</v>
      </c>
      <c r="M74" s="192" t="s">
        <v>306</v>
      </c>
      <c r="N74" s="192" t="s">
        <v>306</v>
      </c>
      <c r="O74" s="192" t="s">
        <v>306</v>
      </c>
    </row>
    <row r="75" spans="1:15" ht="30" x14ac:dyDescent="0.25">
      <c r="A75" s="620" t="s">
        <v>447</v>
      </c>
      <c r="B75" s="621" t="s">
        <v>297</v>
      </c>
      <c r="C75" s="236" t="s">
        <v>57</v>
      </c>
      <c r="D75" s="622">
        <v>109781.64</v>
      </c>
      <c r="E75" s="192" t="s">
        <v>306</v>
      </c>
      <c r="F75" s="623">
        <v>90631.71</v>
      </c>
      <c r="G75" s="193" t="s">
        <v>306</v>
      </c>
      <c r="H75" s="624">
        <v>109781.64</v>
      </c>
      <c r="I75" s="193" t="s">
        <v>306</v>
      </c>
      <c r="J75" s="623">
        <v>90631.71</v>
      </c>
      <c r="K75" s="192" t="s">
        <v>306</v>
      </c>
      <c r="L75" s="622">
        <v>94981.73</v>
      </c>
      <c r="M75" s="192" t="s">
        <v>306</v>
      </c>
      <c r="N75" s="622">
        <v>94981.73</v>
      </c>
      <c r="O75" s="192" t="s">
        <v>306</v>
      </c>
    </row>
    <row r="76" spans="1:15" s="21" customFormat="1" ht="44.25" customHeight="1" x14ac:dyDescent="0.25">
      <c r="A76" s="599" t="s">
        <v>233</v>
      </c>
      <c r="B76" s="588" t="s">
        <v>872</v>
      </c>
      <c r="C76" s="583" t="s">
        <v>57</v>
      </c>
      <c r="D76" s="582">
        <v>25837.09</v>
      </c>
      <c r="E76" s="192" t="s">
        <v>306</v>
      </c>
      <c r="F76" s="586">
        <v>20634.349999999999</v>
      </c>
      <c r="G76" s="193" t="s">
        <v>306</v>
      </c>
      <c r="H76" s="587">
        <v>25837.09</v>
      </c>
      <c r="I76" s="193" t="s">
        <v>306</v>
      </c>
      <c r="J76" s="586">
        <v>20634.349999999999</v>
      </c>
      <c r="K76" s="192" t="s">
        <v>306</v>
      </c>
      <c r="L76" s="582">
        <v>22037.49</v>
      </c>
      <c r="M76" s="192" t="s">
        <v>306</v>
      </c>
      <c r="N76" s="582">
        <v>22037.49</v>
      </c>
      <c r="O76" s="192" t="s">
        <v>306</v>
      </c>
    </row>
    <row r="77" spans="1:15" ht="30" x14ac:dyDescent="0.25">
      <c r="A77" s="620" t="s">
        <v>234</v>
      </c>
      <c r="B77" s="621" t="s">
        <v>298</v>
      </c>
      <c r="C77" s="236" t="s">
        <v>29</v>
      </c>
      <c r="D77" s="622">
        <v>424.9</v>
      </c>
      <c r="E77" s="625"/>
      <c r="F77" s="623">
        <v>439.22</v>
      </c>
      <c r="G77" s="623"/>
      <c r="H77" s="624">
        <v>424.9</v>
      </c>
      <c r="I77" s="623"/>
      <c r="J77" s="623">
        <v>439.22</v>
      </c>
      <c r="K77" s="625"/>
      <c r="L77" s="622">
        <v>431</v>
      </c>
      <c r="M77" s="622"/>
      <c r="N77" s="622">
        <v>431</v>
      </c>
      <c r="O77" s="192" t="s">
        <v>306</v>
      </c>
    </row>
    <row r="78" spans="1:15" ht="15" customHeight="1" x14ac:dyDescent="0.25">
      <c r="A78" s="606" t="s">
        <v>272</v>
      </c>
      <c r="B78" s="618" t="s">
        <v>299</v>
      </c>
      <c r="C78" s="583" t="s">
        <v>29</v>
      </c>
      <c r="D78" s="192" t="s">
        <v>306</v>
      </c>
      <c r="E78" s="192" t="s">
        <v>306</v>
      </c>
      <c r="F78" s="193" t="s">
        <v>306</v>
      </c>
      <c r="G78" s="193" t="s">
        <v>306</v>
      </c>
      <c r="H78" s="193" t="s">
        <v>306</v>
      </c>
      <c r="I78" s="193" t="s">
        <v>306</v>
      </c>
      <c r="J78" s="193" t="s">
        <v>306</v>
      </c>
      <c r="K78" s="192" t="s">
        <v>306</v>
      </c>
      <c r="L78" s="192" t="s">
        <v>306</v>
      </c>
      <c r="M78" s="192" t="s">
        <v>306</v>
      </c>
      <c r="N78" s="192" t="s">
        <v>306</v>
      </c>
      <c r="O78" s="192" t="s">
        <v>306</v>
      </c>
    </row>
    <row r="79" spans="1:15" ht="30" x14ac:dyDescent="0.25">
      <c r="A79" s="620" t="s">
        <v>273</v>
      </c>
      <c r="B79" s="626" t="s">
        <v>300</v>
      </c>
      <c r="C79" s="236" t="s">
        <v>29</v>
      </c>
      <c r="D79" s="192" t="s">
        <v>306</v>
      </c>
      <c r="E79" s="192" t="s">
        <v>306</v>
      </c>
      <c r="F79" s="193" t="s">
        <v>306</v>
      </c>
      <c r="G79" s="193" t="s">
        <v>306</v>
      </c>
      <c r="H79" s="193" t="s">
        <v>306</v>
      </c>
      <c r="I79" s="193" t="s">
        <v>306</v>
      </c>
      <c r="J79" s="193" t="s">
        <v>306</v>
      </c>
      <c r="K79" s="192" t="s">
        <v>306</v>
      </c>
      <c r="L79" s="192" t="s">
        <v>306</v>
      </c>
      <c r="M79" s="192" t="s">
        <v>306</v>
      </c>
      <c r="N79" s="192" t="s">
        <v>306</v>
      </c>
      <c r="O79" s="192" t="s">
        <v>306</v>
      </c>
    </row>
    <row r="80" spans="1:15" ht="18" customHeight="1" x14ac:dyDescent="0.25"/>
    <row r="81" spans="1:26" s="380" customFormat="1" ht="39.75" customHeight="1" x14ac:dyDescent="0.25">
      <c r="A81" s="850" t="s">
        <v>618</v>
      </c>
      <c r="B81" s="850"/>
      <c r="C81" s="972"/>
      <c r="D81" s="972"/>
      <c r="E81" s="972"/>
      <c r="F81" s="972"/>
      <c r="G81" s="410"/>
      <c r="H81" s="877" t="s">
        <v>304</v>
      </c>
      <c r="I81" s="877"/>
      <c r="J81" s="877"/>
      <c r="K81" s="877"/>
      <c r="L81" s="877"/>
      <c r="M81" s="877"/>
      <c r="N81" s="877"/>
      <c r="O81" s="877"/>
    </row>
    <row r="82" spans="1:26" s="380" customFormat="1" ht="30" customHeight="1" x14ac:dyDescent="0.2">
      <c r="A82" s="844" t="s">
        <v>871</v>
      </c>
      <c r="B82" s="844"/>
      <c r="C82" s="844"/>
      <c r="D82" s="844"/>
      <c r="E82" s="844"/>
      <c r="F82" s="844"/>
      <c r="G82" s="453"/>
      <c r="H82" s="844" t="s">
        <v>870</v>
      </c>
      <c r="I82" s="844"/>
      <c r="J82" s="844"/>
      <c r="K82" s="844"/>
      <c r="L82" s="844"/>
      <c r="M82" s="844"/>
      <c r="N82" s="844"/>
      <c r="O82" s="844"/>
      <c r="P82" s="844"/>
    </row>
    <row r="83" spans="1:26" ht="10.5" customHeight="1" x14ac:dyDescent="0.25">
      <c r="A83" s="22" t="s">
        <v>869</v>
      </c>
      <c r="B83" s="22"/>
      <c r="C83" s="22"/>
      <c r="D83" s="22"/>
      <c r="E83" s="22"/>
      <c r="F83" s="22"/>
      <c r="G83" s="414"/>
      <c r="H83" s="22" t="s">
        <v>392</v>
      </c>
      <c r="I83" s="22"/>
      <c r="J83" s="22"/>
      <c r="K83" s="627"/>
      <c r="L83" s="845" t="s">
        <v>532</v>
      </c>
      <c r="M83" s="845"/>
      <c r="N83" s="22"/>
      <c r="O83" s="22"/>
    </row>
    <row r="84" spans="1:26" ht="21.95" customHeight="1" x14ac:dyDescent="0.25">
      <c r="A84" s="846" t="s">
        <v>886</v>
      </c>
      <c r="B84" s="846"/>
      <c r="C84" s="846"/>
      <c r="D84" s="846"/>
      <c r="E84" s="72"/>
      <c r="H84" s="1035" t="s">
        <v>886</v>
      </c>
      <c r="I84" s="803"/>
      <c r="J84" s="803"/>
      <c r="K84" s="803"/>
      <c r="L84" s="803"/>
      <c r="M84" s="803"/>
      <c r="N84" s="803"/>
      <c r="O84" s="411"/>
    </row>
    <row r="85" spans="1:26" ht="15.75" customHeight="1" x14ac:dyDescent="0.25">
      <c r="A85" s="358"/>
      <c r="B85" s="358"/>
      <c r="C85" s="358"/>
      <c r="D85" s="57"/>
    </row>
    <row r="86" spans="1:26" x14ac:dyDescent="0.25">
      <c r="B86" s="20"/>
      <c r="D86" s="357"/>
      <c r="E86" s="35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B87" s="72"/>
    </row>
    <row r="88" spans="1:26" s="357" customFormat="1" ht="12.75" customHeight="1" x14ac:dyDescent="0.25">
      <c r="B88" s="20"/>
      <c r="C88" s="21"/>
    </row>
    <row r="89" spans="1:26" ht="3" customHeight="1" x14ac:dyDescent="0.25"/>
  </sheetData>
  <mergeCells count="116">
    <mergeCell ref="H6:K6"/>
    <mergeCell ref="L6:M6"/>
    <mergeCell ref="N6:O6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O24:O27"/>
    <mergeCell ref="A28:A30"/>
    <mergeCell ref="C28:C30"/>
    <mergeCell ref="K24:K27"/>
    <mergeCell ref="L24:L27"/>
    <mergeCell ref="M24:M27"/>
    <mergeCell ref="N24:N27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A31:A33"/>
    <mergeCell ref="C31:C33"/>
    <mergeCell ref="D31:D33"/>
    <mergeCell ref="E31:E33"/>
    <mergeCell ref="F31:F33"/>
    <mergeCell ref="G31:G33"/>
    <mergeCell ref="I31:I33"/>
    <mergeCell ref="J31:J33"/>
    <mergeCell ref="K31:K33"/>
    <mergeCell ref="L31:L33"/>
    <mergeCell ref="M31:M33"/>
    <mergeCell ref="N31:N33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L36:L39"/>
    <mergeCell ref="M36:M39"/>
    <mergeCell ref="N36:N39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N47:N50"/>
    <mergeCell ref="G62:G63"/>
    <mergeCell ref="H62:H63"/>
    <mergeCell ref="I62:I63"/>
    <mergeCell ref="J62:J63"/>
    <mergeCell ref="K62:K63"/>
    <mergeCell ref="A82:F82"/>
    <mergeCell ref="H82:P82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84:D84"/>
    <mergeCell ref="H84:N84"/>
    <mergeCell ref="L62:L63"/>
    <mergeCell ref="M62:M63"/>
    <mergeCell ref="N62:N63"/>
    <mergeCell ref="O62:O63"/>
    <mergeCell ref="C67:C71"/>
    <mergeCell ref="A81:F81"/>
    <mergeCell ref="K51:K52"/>
    <mergeCell ref="L51:L52"/>
    <mergeCell ref="M51:M52"/>
    <mergeCell ref="N51:N52"/>
    <mergeCell ref="O51:O52"/>
    <mergeCell ref="A54:A57"/>
    <mergeCell ref="C54:C57"/>
    <mergeCell ref="L83:M83"/>
    <mergeCell ref="A58:A61"/>
    <mergeCell ref="C58:C61"/>
    <mergeCell ref="A62:A65"/>
    <mergeCell ref="C62:C65"/>
    <mergeCell ref="D62:D63"/>
    <mergeCell ref="E62:E63"/>
    <mergeCell ref="H81:O81"/>
    <mergeCell ref="F62:F6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43" customWidth="1"/>
    <col min="2" max="2" width="60.7109375" style="43" customWidth="1"/>
    <col min="3" max="3" width="11.42578125" style="240" customWidth="1"/>
    <col min="4" max="4" width="16" style="43" customWidth="1"/>
    <col min="5" max="5" width="53.42578125" style="9" customWidth="1"/>
    <col min="6" max="6" width="13.7109375" style="43" customWidth="1"/>
    <col min="7" max="16384" width="9.140625" style="43"/>
  </cols>
  <sheetData>
    <row r="1" spans="1:9" x14ac:dyDescent="0.25">
      <c r="D1" s="1021" t="s">
        <v>973</v>
      </c>
      <c r="E1" s="1021"/>
    </row>
    <row r="2" spans="1:9" ht="9.75" customHeight="1" x14ac:dyDescent="0.25">
      <c r="D2" s="9"/>
    </row>
    <row r="3" spans="1:9" x14ac:dyDescent="0.25">
      <c r="A3" s="82"/>
      <c r="B3" s="82"/>
      <c r="D3" s="82" t="s">
        <v>45</v>
      </c>
    </row>
    <row r="4" spans="1:9" ht="6.75" customHeight="1" x14ac:dyDescent="0.25">
      <c r="B4" s="57"/>
      <c r="C4" s="57"/>
      <c r="D4" s="57"/>
      <c r="E4" s="240"/>
    </row>
    <row r="5" spans="1:9" s="82" customFormat="1" ht="31.5" customHeight="1" x14ac:dyDescent="0.2">
      <c r="A5" s="277"/>
      <c r="B5" s="277"/>
      <c r="C5" s="529"/>
      <c r="D5" s="1088" t="s">
        <v>477</v>
      </c>
      <c r="E5" s="1088"/>
    </row>
    <row r="6" spans="1:9" s="82" customFormat="1" ht="18.95" customHeight="1" x14ac:dyDescent="0.2">
      <c r="A6" s="277"/>
      <c r="B6" s="277"/>
      <c r="C6" s="529"/>
      <c r="D6" s="1091" t="s">
        <v>355</v>
      </c>
      <c r="E6" s="969"/>
    </row>
    <row r="7" spans="1:9" s="82" customFormat="1" ht="42" customHeight="1" x14ac:dyDescent="0.25">
      <c r="A7" s="632"/>
      <c r="B7" s="633"/>
      <c r="C7" s="529"/>
      <c r="D7" s="1084" t="s">
        <v>521</v>
      </c>
      <c r="E7" s="1084"/>
    </row>
    <row r="8" spans="1:9" s="634" customFormat="1" ht="19.5" customHeight="1" x14ac:dyDescent="0.25">
      <c r="B8" s="110"/>
      <c r="C8" s="635"/>
      <c r="D8" s="1085" t="s">
        <v>533</v>
      </c>
      <c r="E8" s="1085"/>
    </row>
    <row r="9" spans="1:9" s="634" customFormat="1" ht="16.5" customHeight="1" x14ac:dyDescent="0.25">
      <c r="C9" s="635"/>
      <c r="D9" s="634" t="str">
        <f>Плановая2!A63</f>
        <v>"07" апреля  2025 г.</v>
      </c>
      <c r="E9" s="636"/>
    </row>
    <row r="10" spans="1:9" ht="72" customHeight="1" x14ac:dyDescent="0.25">
      <c r="A10" s="1089" t="s">
        <v>868</v>
      </c>
      <c r="B10" s="1089"/>
      <c r="C10" s="1089"/>
      <c r="D10" s="1089"/>
      <c r="E10" s="1089"/>
    </row>
    <row r="11" spans="1:9" ht="50.25" customHeight="1" x14ac:dyDescent="0.25">
      <c r="A11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11" s="883"/>
      <c r="C11" s="883"/>
      <c r="D11" s="883"/>
      <c r="E11" s="883"/>
    </row>
    <row r="12" spans="1:9" ht="33.75" customHeight="1" x14ac:dyDescent="0.25">
      <c r="A12" s="70" t="s">
        <v>44</v>
      </c>
      <c r="B12" s="228" t="s">
        <v>4</v>
      </c>
      <c r="C12" s="70" t="s">
        <v>27</v>
      </c>
      <c r="D12" s="70" t="s">
        <v>325</v>
      </c>
      <c r="E12" s="70" t="s">
        <v>326</v>
      </c>
    </row>
    <row r="13" spans="1:9" ht="16.5" customHeight="1" x14ac:dyDescent="0.25">
      <c r="A13" s="24">
        <v>1</v>
      </c>
      <c r="B13" s="24">
        <v>2</v>
      </c>
      <c r="C13" s="24">
        <v>3</v>
      </c>
      <c r="D13" s="31">
        <v>4</v>
      </c>
      <c r="E13" s="83">
        <v>5</v>
      </c>
      <c r="F13" s="84"/>
      <c r="G13" s="84"/>
      <c r="H13" s="84"/>
      <c r="I13" s="84"/>
    </row>
    <row r="14" spans="1:9" ht="60" customHeight="1" x14ac:dyDescent="0.25">
      <c r="A14" s="28" t="s">
        <v>5</v>
      </c>
      <c r="B14" s="637" t="s">
        <v>356</v>
      </c>
      <c r="C14" s="24" t="s">
        <v>306</v>
      </c>
      <c r="D14" s="24" t="s">
        <v>306</v>
      </c>
      <c r="E14" s="24" t="s">
        <v>306</v>
      </c>
      <c r="F14" s="1086"/>
      <c r="G14" s="1087"/>
      <c r="H14" s="1087"/>
      <c r="I14" s="84"/>
    </row>
    <row r="15" spans="1:9" ht="60" customHeight="1" x14ac:dyDescent="0.25">
      <c r="A15" s="28" t="s">
        <v>34</v>
      </c>
      <c r="B15" s="32" t="s">
        <v>580</v>
      </c>
      <c r="C15" s="24" t="s">
        <v>2</v>
      </c>
      <c r="D15" s="639">
        <v>81705</v>
      </c>
      <c r="E15" s="31" t="s">
        <v>581</v>
      </c>
      <c r="F15" s="638"/>
      <c r="G15" s="84"/>
      <c r="H15" s="84"/>
      <c r="I15" s="84"/>
    </row>
    <row r="16" spans="1:9" ht="60" customHeight="1" x14ac:dyDescent="0.25">
      <c r="A16" s="28" t="s">
        <v>33</v>
      </c>
      <c r="B16" s="32" t="s">
        <v>357</v>
      </c>
      <c r="C16" s="24" t="s">
        <v>2</v>
      </c>
      <c r="D16" s="640">
        <v>496.96</v>
      </c>
      <c r="E16" s="31" t="s">
        <v>581</v>
      </c>
    </row>
    <row r="17" spans="1:7" ht="60" customHeight="1" x14ac:dyDescent="0.25">
      <c r="A17" s="28" t="s">
        <v>129</v>
      </c>
      <c r="B17" s="32" t="s">
        <v>358</v>
      </c>
      <c r="C17" s="24" t="s">
        <v>2</v>
      </c>
      <c r="D17" s="640">
        <v>496.96</v>
      </c>
      <c r="E17" s="31" t="s">
        <v>581</v>
      </c>
    </row>
    <row r="18" spans="1:7" ht="60" customHeight="1" x14ac:dyDescent="0.25">
      <c r="A18" s="28" t="s">
        <v>130</v>
      </c>
      <c r="B18" s="637" t="s">
        <v>16</v>
      </c>
      <c r="C18" s="24" t="s">
        <v>29</v>
      </c>
      <c r="D18" s="641">
        <v>6.66</v>
      </c>
      <c r="E18" s="31" t="s">
        <v>581</v>
      </c>
    </row>
    <row r="19" spans="1:7" ht="90" x14ac:dyDescent="0.25">
      <c r="A19" s="28" t="s">
        <v>7</v>
      </c>
      <c r="B19" s="637" t="s">
        <v>260</v>
      </c>
      <c r="C19" s="24" t="s">
        <v>29</v>
      </c>
      <c r="D19" s="641">
        <v>18.5</v>
      </c>
      <c r="E19" s="140" t="s">
        <v>534</v>
      </c>
    </row>
    <row r="20" spans="1:7" ht="42.95" customHeight="1" x14ac:dyDescent="0.25">
      <c r="A20" s="28" t="s">
        <v>43</v>
      </c>
      <c r="B20" s="637" t="s">
        <v>42</v>
      </c>
      <c r="C20" s="24" t="s">
        <v>29</v>
      </c>
      <c r="D20" s="24" t="s">
        <v>306</v>
      </c>
      <c r="E20" s="31" t="s">
        <v>428</v>
      </c>
    </row>
    <row r="21" spans="1:7" ht="63.95" customHeight="1" x14ac:dyDescent="0.25">
      <c r="A21" s="28" t="s">
        <v>41</v>
      </c>
      <c r="B21" s="32" t="s">
        <v>189</v>
      </c>
      <c r="C21" s="24" t="s">
        <v>29</v>
      </c>
      <c r="D21" s="24" t="s">
        <v>306</v>
      </c>
      <c r="E21" s="31" t="s">
        <v>431</v>
      </c>
    </row>
    <row r="22" spans="1:7" ht="60" customHeight="1" x14ac:dyDescent="0.25">
      <c r="A22" s="395" t="s">
        <v>274</v>
      </c>
      <c r="B22" s="32" t="s">
        <v>582</v>
      </c>
      <c r="C22" s="24" t="s">
        <v>29</v>
      </c>
      <c r="D22" s="640">
        <v>424.36</v>
      </c>
      <c r="E22" s="31" t="s">
        <v>581</v>
      </c>
    </row>
    <row r="23" spans="1:7" ht="60" customHeight="1" x14ac:dyDescent="0.25">
      <c r="A23" s="395" t="s">
        <v>218</v>
      </c>
      <c r="B23" s="32" t="s">
        <v>583</v>
      </c>
      <c r="C23" s="24" t="s">
        <v>29</v>
      </c>
      <c r="D23" s="640">
        <v>424.36</v>
      </c>
      <c r="E23" s="31" t="s">
        <v>581</v>
      </c>
    </row>
    <row r="24" spans="1:7" ht="60" customHeight="1" x14ac:dyDescent="0.25">
      <c r="A24" s="395" t="s">
        <v>219</v>
      </c>
      <c r="B24" s="32" t="s">
        <v>975</v>
      </c>
      <c r="C24" s="24" t="s">
        <v>29</v>
      </c>
      <c r="D24" s="640">
        <v>0</v>
      </c>
      <c r="E24" s="31" t="s">
        <v>581</v>
      </c>
    </row>
    <row r="25" spans="1:7" ht="60" customHeight="1" x14ac:dyDescent="0.25">
      <c r="A25" s="31" t="s">
        <v>220</v>
      </c>
      <c r="B25" s="32" t="s">
        <v>976</v>
      </c>
      <c r="C25" s="24" t="s">
        <v>29</v>
      </c>
      <c r="D25" s="640" t="s">
        <v>306</v>
      </c>
      <c r="E25" s="31" t="s">
        <v>581</v>
      </c>
    </row>
    <row r="26" spans="1:7" ht="138" customHeight="1" x14ac:dyDescent="0.25">
      <c r="A26" s="1093" t="s">
        <v>889</v>
      </c>
      <c r="B26" s="1093"/>
      <c r="C26" s="1093"/>
      <c r="D26" s="1093"/>
      <c r="E26" s="1093"/>
    </row>
    <row r="27" spans="1:7" s="82" customFormat="1" ht="57" customHeight="1" x14ac:dyDescent="0.2">
      <c r="A27" s="877" t="s">
        <v>974</v>
      </c>
      <c r="B27" s="877"/>
      <c r="C27" s="1090" t="s">
        <v>522</v>
      </c>
      <c r="D27" s="1090"/>
      <c r="E27" s="1090"/>
    </row>
    <row r="28" spans="1:7" ht="15.75" customHeight="1" x14ac:dyDescent="0.25">
      <c r="C28" s="110" t="s">
        <v>523</v>
      </c>
      <c r="D28" s="110"/>
      <c r="E28" s="111"/>
    </row>
    <row r="29" spans="1:7" ht="19.5" customHeight="1" x14ac:dyDescent="0.25">
      <c r="C29" s="1082" t="str">
        <f>Плановая2!F63</f>
        <v>"07" апреля 2025 г.</v>
      </c>
      <c r="D29" s="1083"/>
      <c r="E29" s="1083"/>
    </row>
    <row r="30" spans="1:7" ht="11.25" customHeight="1" x14ac:dyDescent="0.25">
      <c r="B30" s="227"/>
      <c r="C30" s="56"/>
      <c r="D30" s="21"/>
      <c r="E30" s="20"/>
      <c r="F30" s="21"/>
      <c r="G30" s="21"/>
    </row>
    <row r="31" spans="1:7" x14ac:dyDescent="0.25">
      <c r="B31" s="227"/>
      <c r="C31" s="56"/>
      <c r="D31" s="21"/>
      <c r="E31" s="20"/>
      <c r="F31" s="21"/>
      <c r="G31" s="21"/>
    </row>
    <row r="32" spans="1:7" x14ac:dyDescent="0.25">
      <c r="E32" s="20"/>
      <c r="F32" s="21"/>
      <c r="G32" s="21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58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11A8-3C79-4F52-8892-00723F56C4DB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238" customWidth="1"/>
    <col min="2" max="2" width="74.42578125" style="239" customWidth="1"/>
    <col min="3" max="3" width="11.7109375" style="240" customWidth="1"/>
    <col min="4" max="4" width="7.140625" style="240" customWidth="1"/>
    <col min="5" max="5" width="5.42578125" style="240" customWidth="1"/>
    <col min="6" max="6" width="11" style="240" customWidth="1"/>
    <col min="7" max="7" width="14.85546875" style="240" customWidth="1"/>
    <col min="8" max="8" width="10.85546875" style="240" customWidth="1"/>
    <col min="9" max="9" width="10" style="240" customWidth="1"/>
    <col min="10" max="10" width="7.7109375" style="240" customWidth="1"/>
    <col min="11" max="11" width="10.28515625" style="240" customWidth="1"/>
    <col min="12" max="12" width="15.28515625" style="240" customWidth="1"/>
    <col min="13" max="13" width="10.7109375" style="57" customWidth="1"/>
    <col min="14" max="15" width="9.140625" style="57" customWidth="1"/>
    <col min="16" max="16" width="11" style="57" customWidth="1"/>
    <col min="17" max="17" width="14.28515625" style="57" customWidth="1"/>
    <col min="18" max="18" width="10.7109375" style="57" customWidth="1"/>
    <col min="19" max="20" width="9.140625" style="57" customWidth="1"/>
    <col min="21" max="21" width="11" style="57" customWidth="1"/>
    <col min="22" max="22" width="15" style="57" customWidth="1"/>
    <col min="23" max="23" width="5.42578125" style="238" customWidth="1"/>
    <col min="24" max="24" width="74.42578125" style="239" customWidth="1"/>
    <col min="25" max="25" width="10.42578125" style="57" customWidth="1"/>
    <col min="26" max="27" width="9.140625" style="57" customWidth="1"/>
    <col min="28" max="28" width="10.42578125" style="57" customWidth="1"/>
    <col min="29" max="29" width="15.42578125" style="57" customWidth="1"/>
    <col min="30" max="33" width="9.140625" style="57" customWidth="1"/>
    <col min="34" max="34" width="14.28515625" style="57" customWidth="1"/>
    <col min="35" max="38" width="9.140625" style="57" customWidth="1"/>
    <col min="39" max="39" width="11.7109375" style="57" customWidth="1"/>
    <col min="40" max="40" width="10.42578125" style="57" customWidth="1"/>
    <col min="41" max="42" width="9.140625" style="57"/>
    <col min="43" max="43" width="11" style="57" customWidth="1"/>
    <col min="44" max="44" width="15.140625" style="57" customWidth="1"/>
    <col min="45" max="16384" width="9.140625" style="57"/>
  </cols>
  <sheetData>
    <row r="1" spans="1:110" ht="15.75" x14ac:dyDescent="0.25">
      <c r="K1" s="57"/>
      <c r="Q1" s="68"/>
      <c r="V1" s="68" t="s">
        <v>867</v>
      </c>
      <c r="W1" s="241"/>
      <c r="X1" s="242"/>
      <c r="Y1" s="243"/>
      <c r="Z1" s="243"/>
      <c r="AA1" s="243"/>
      <c r="AB1" s="243"/>
      <c r="AC1" s="244"/>
      <c r="AD1" s="243"/>
      <c r="AE1" s="243"/>
      <c r="AF1" s="243"/>
      <c r="AG1" s="243"/>
      <c r="AH1" s="244"/>
      <c r="AI1" s="245"/>
      <c r="AJ1" s="245"/>
      <c r="AK1" s="245"/>
      <c r="AL1" s="245"/>
      <c r="AM1" s="246"/>
      <c r="AN1" s="245"/>
      <c r="AO1" s="245"/>
      <c r="AP1" s="245"/>
      <c r="AQ1" s="245"/>
      <c r="AR1" s="246" t="s">
        <v>867</v>
      </c>
    </row>
    <row r="2" spans="1:110" x14ac:dyDescent="0.25">
      <c r="A2" s="1112" t="s">
        <v>866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5" t="s">
        <v>865</v>
      </c>
      <c r="X2" s="1115"/>
      <c r="Y2" s="1115"/>
      <c r="Z2" s="1115"/>
      <c r="AA2" s="1115"/>
      <c r="AB2" s="1115"/>
      <c r="AC2" s="1115"/>
      <c r="AD2" s="1115"/>
      <c r="AE2" s="1115"/>
      <c r="AF2" s="1115"/>
      <c r="AG2" s="1115"/>
      <c r="AH2" s="1115"/>
      <c r="AI2" s="1115"/>
      <c r="AJ2" s="1115"/>
      <c r="AK2" s="1115"/>
      <c r="AL2" s="1115"/>
      <c r="AM2" s="1115"/>
      <c r="AN2" s="1115"/>
      <c r="AO2" s="1115"/>
      <c r="AP2" s="1115"/>
      <c r="AQ2" s="1117" t="s">
        <v>864</v>
      </c>
      <c r="AR2" s="1117"/>
    </row>
    <row r="3" spans="1:110" ht="15.75" thickBot="1" x14ac:dyDescent="0.3">
      <c r="A3" s="1114"/>
      <c r="B3" s="1114"/>
      <c r="C3" s="1114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6"/>
      <c r="X3" s="1116"/>
      <c r="Y3" s="1116"/>
      <c r="Z3" s="1116"/>
      <c r="AA3" s="1116"/>
      <c r="AB3" s="1116"/>
      <c r="AC3" s="1116"/>
      <c r="AD3" s="1116"/>
      <c r="AE3" s="1116"/>
      <c r="AF3" s="1116"/>
      <c r="AG3" s="1116"/>
      <c r="AH3" s="1116"/>
      <c r="AI3" s="1116"/>
      <c r="AJ3" s="1116"/>
      <c r="AK3" s="1116"/>
      <c r="AL3" s="1116"/>
      <c r="AM3" s="1116"/>
      <c r="AN3" s="1116"/>
      <c r="AO3" s="1116"/>
      <c r="AP3" s="1116"/>
      <c r="AQ3" s="247"/>
      <c r="AR3" s="247"/>
    </row>
    <row r="4" spans="1:110" ht="15.75" thickBot="1" x14ac:dyDescent="0.3">
      <c r="A4" s="1118" t="s">
        <v>44</v>
      </c>
      <c r="B4" s="1120" t="s">
        <v>863</v>
      </c>
      <c r="C4" s="1122" t="s">
        <v>862</v>
      </c>
      <c r="D4" s="1122"/>
      <c r="E4" s="1122"/>
      <c r="F4" s="1122"/>
      <c r="G4" s="1122"/>
      <c r="H4" s="1122"/>
      <c r="I4" s="1122"/>
      <c r="J4" s="1122"/>
      <c r="K4" s="1122"/>
      <c r="L4" s="1123"/>
      <c r="M4" s="1124" t="s">
        <v>861</v>
      </c>
      <c r="N4" s="1125"/>
      <c r="O4" s="1125"/>
      <c r="P4" s="1125"/>
      <c r="Q4" s="1125"/>
      <c r="R4" s="1125"/>
      <c r="S4" s="1125"/>
      <c r="T4" s="1125"/>
      <c r="U4" s="1125"/>
      <c r="V4" s="1125"/>
      <c r="W4" s="1126" t="s">
        <v>860</v>
      </c>
      <c r="X4" s="1127"/>
      <c r="Y4" s="1106" t="s">
        <v>859</v>
      </c>
      <c r="Z4" s="1106"/>
      <c r="AA4" s="1106"/>
      <c r="AB4" s="1106"/>
      <c r="AC4" s="1106"/>
      <c r="AD4" s="1106"/>
      <c r="AE4" s="1106"/>
      <c r="AF4" s="1106"/>
      <c r="AG4" s="1106"/>
      <c r="AH4" s="1106"/>
      <c r="AI4" s="1106"/>
      <c r="AJ4" s="1106"/>
      <c r="AK4" s="1106"/>
      <c r="AL4" s="1106"/>
      <c r="AM4" s="1106"/>
      <c r="AN4" s="1106"/>
      <c r="AO4" s="1106"/>
      <c r="AP4" s="1106"/>
      <c r="AQ4" s="1106"/>
      <c r="AR4" s="1107"/>
    </row>
    <row r="5" spans="1:110" ht="15.75" thickBot="1" x14ac:dyDescent="0.3">
      <c r="A5" s="1119"/>
      <c r="B5" s="1121"/>
      <c r="C5" s="1105" t="s">
        <v>858</v>
      </c>
      <c r="D5" s="1122"/>
      <c r="E5" s="1122"/>
      <c r="F5" s="1122"/>
      <c r="G5" s="1123"/>
      <c r="H5" s="1102" t="s">
        <v>857</v>
      </c>
      <c r="I5" s="1103"/>
      <c r="J5" s="1103"/>
      <c r="K5" s="1103"/>
      <c r="L5" s="1104"/>
      <c r="M5" s="1105" t="s">
        <v>856</v>
      </c>
      <c r="N5" s="1106"/>
      <c r="O5" s="1106"/>
      <c r="P5" s="1106"/>
      <c r="Q5" s="1107"/>
      <c r="R5" s="1105" t="s">
        <v>855</v>
      </c>
      <c r="S5" s="1106"/>
      <c r="T5" s="1106"/>
      <c r="U5" s="1106"/>
      <c r="V5" s="1107"/>
      <c r="W5" s="1002"/>
      <c r="X5" s="1002"/>
      <c r="Y5" s="1105" t="s">
        <v>854</v>
      </c>
      <c r="Z5" s="1106"/>
      <c r="AA5" s="1106"/>
      <c r="AB5" s="1106"/>
      <c r="AC5" s="1107"/>
      <c r="AD5" s="1105" t="s">
        <v>853</v>
      </c>
      <c r="AE5" s="1106"/>
      <c r="AF5" s="1106"/>
      <c r="AG5" s="1106"/>
      <c r="AH5" s="1107"/>
      <c r="AI5" s="1105" t="s">
        <v>852</v>
      </c>
      <c r="AJ5" s="1106"/>
      <c r="AK5" s="1106"/>
      <c r="AL5" s="1106"/>
      <c r="AM5" s="1107"/>
      <c r="AN5" s="1105" t="s">
        <v>851</v>
      </c>
      <c r="AO5" s="1106"/>
      <c r="AP5" s="1106"/>
      <c r="AQ5" s="1106"/>
      <c r="AR5" s="1107"/>
    </row>
    <row r="6" spans="1:110" ht="138" x14ac:dyDescent="0.25">
      <c r="A6" s="1119"/>
      <c r="B6" s="1121"/>
      <c r="C6" s="248" t="s">
        <v>848</v>
      </c>
      <c r="D6" s="249" t="s">
        <v>847</v>
      </c>
      <c r="E6" s="250" t="s">
        <v>828</v>
      </c>
      <c r="F6" s="250" t="s">
        <v>850</v>
      </c>
      <c r="G6" s="251" t="s">
        <v>849</v>
      </c>
      <c r="H6" s="252" t="s">
        <v>848</v>
      </c>
      <c r="I6" s="253" t="s">
        <v>847</v>
      </c>
      <c r="J6" s="254" t="s">
        <v>828</v>
      </c>
      <c r="K6" s="254" t="s">
        <v>846</v>
      </c>
      <c r="L6" s="255" t="s">
        <v>845</v>
      </c>
      <c r="M6" s="256" t="s">
        <v>830</v>
      </c>
      <c r="N6" s="253" t="s">
        <v>844</v>
      </c>
      <c r="O6" s="253" t="s">
        <v>836</v>
      </c>
      <c r="P6" s="253" t="s">
        <v>843</v>
      </c>
      <c r="Q6" s="255" t="s">
        <v>842</v>
      </c>
      <c r="R6" s="257" t="s">
        <v>830</v>
      </c>
      <c r="S6" s="258" t="s">
        <v>841</v>
      </c>
      <c r="T6" s="258" t="s">
        <v>836</v>
      </c>
      <c r="U6" s="258" t="s">
        <v>840</v>
      </c>
      <c r="V6" s="259" t="s">
        <v>839</v>
      </c>
      <c r="W6" s="1128"/>
      <c r="X6" s="1128"/>
      <c r="Y6" s="257" t="s">
        <v>830</v>
      </c>
      <c r="Z6" s="258" t="s">
        <v>833</v>
      </c>
      <c r="AA6" s="258" t="s">
        <v>836</v>
      </c>
      <c r="AB6" s="258" t="s">
        <v>838</v>
      </c>
      <c r="AC6" s="259" t="s">
        <v>837</v>
      </c>
      <c r="AD6" s="257" t="s">
        <v>830</v>
      </c>
      <c r="AE6" s="258" t="s">
        <v>833</v>
      </c>
      <c r="AF6" s="258" t="s">
        <v>836</v>
      </c>
      <c r="AG6" s="258" t="s">
        <v>835</v>
      </c>
      <c r="AH6" s="259" t="s">
        <v>834</v>
      </c>
      <c r="AI6" s="256" t="s">
        <v>830</v>
      </c>
      <c r="AJ6" s="260" t="s">
        <v>833</v>
      </c>
      <c r="AK6" s="260" t="s">
        <v>828</v>
      </c>
      <c r="AL6" s="260" t="s">
        <v>832</v>
      </c>
      <c r="AM6" s="261" t="s">
        <v>831</v>
      </c>
      <c r="AN6" s="256" t="s">
        <v>830</v>
      </c>
      <c r="AO6" s="260" t="s">
        <v>829</v>
      </c>
      <c r="AP6" s="260" t="s">
        <v>828</v>
      </c>
      <c r="AQ6" s="260" t="s">
        <v>827</v>
      </c>
      <c r="AR6" s="261" t="s">
        <v>826</v>
      </c>
    </row>
    <row r="7" spans="1:110" ht="15.75" thickBot="1" x14ac:dyDescent="0.3">
      <c r="A7" s="262">
        <v>1</v>
      </c>
      <c r="B7" s="263">
        <v>2</v>
      </c>
      <c r="C7" s="264">
        <v>3</v>
      </c>
      <c r="D7" s="265">
        <f t="shared" ref="D7:Q7" si="0">C7+1</f>
        <v>4</v>
      </c>
      <c r="E7" s="265">
        <f t="shared" si="0"/>
        <v>5</v>
      </c>
      <c r="F7" s="265">
        <f t="shared" si="0"/>
        <v>6</v>
      </c>
      <c r="G7" s="266">
        <f t="shared" si="0"/>
        <v>7</v>
      </c>
      <c r="H7" s="267">
        <f t="shared" si="0"/>
        <v>8</v>
      </c>
      <c r="I7" s="268">
        <f t="shared" si="0"/>
        <v>9</v>
      </c>
      <c r="J7" s="268">
        <f t="shared" si="0"/>
        <v>10</v>
      </c>
      <c r="K7" s="268">
        <f t="shared" si="0"/>
        <v>11</v>
      </c>
      <c r="L7" s="269">
        <f t="shared" si="0"/>
        <v>12</v>
      </c>
      <c r="M7" s="264">
        <f t="shared" si="0"/>
        <v>13</v>
      </c>
      <c r="N7" s="265">
        <f t="shared" si="0"/>
        <v>14</v>
      </c>
      <c r="O7" s="265">
        <f t="shared" si="0"/>
        <v>15</v>
      </c>
      <c r="P7" s="265">
        <f t="shared" si="0"/>
        <v>16</v>
      </c>
      <c r="Q7" s="266">
        <f t="shared" si="0"/>
        <v>17</v>
      </c>
      <c r="R7" s="264">
        <f>Q7+1</f>
        <v>18</v>
      </c>
      <c r="S7" s="265">
        <f>R7+1</f>
        <v>19</v>
      </c>
      <c r="T7" s="265">
        <f>S7+1</f>
        <v>20</v>
      </c>
      <c r="U7" s="265">
        <f>T7+1</f>
        <v>21</v>
      </c>
      <c r="V7" s="266">
        <f>U7+1</f>
        <v>22</v>
      </c>
      <c r="W7" s="262">
        <v>1</v>
      </c>
      <c r="X7" s="263">
        <v>2</v>
      </c>
      <c r="Y7" s="264">
        <f>V7+1</f>
        <v>23</v>
      </c>
      <c r="Z7" s="265">
        <f t="shared" ref="Z7:AR7" si="1">Y7+1</f>
        <v>24</v>
      </c>
      <c r="AA7" s="265">
        <f t="shared" si="1"/>
        <v>25</v>
      </c>
      <c r="AB7" s="265">
        <f t="shared" si="1"/>
        <v>26</v>
      </c>
      <c r="AC7" s="266">
        <f t="shared" si="1"/>
        <v>27</v>
      </c>
      <c r="AD7" s="264">
        <f t="shared" si="1"/>
        <v>28</v>
      </c>
      <c r="AE7" s="265">
        <f t="shared" si="1"/>
        <v>29</v>
      </c>
      <c r="AF7" s="265">
        <f t="shared" si="1"/>
        <v>30</v>
      </c>
      <c r="AG7" s="265">
        <f t="shared" si="1"/>
        <v>31</v>
      </c>
      <c r="AH7" s="266">
        <f t="shared" si="1"/>
        <v>32</v>
      </c>
      <c r="AI7" s="264">
        <f t="shared" si="1"/>
        <v>33</v>
      </c>
      <c r="AJ7" s="265">
        <f t="shared" si="1"/>
        <v>34</v>
      </c>
      <c r="AK7" s="265">
        <f t="shared" si="1"/>
        <v>35</v>
      </c>
      <c r="AL7" s="265">
        <f t="shared" si="1"/>
        <v>36</v>
      </c>
      <c r="AM7" s="266">
        <f t="shared" si="1"/>
        <v>37</v>
      </c>
      <c r="AN7" s="264">
        <f t="shared" si="1"/>
        <v>38</v>
      </c>
      <c r="AO7" s="265">
        <f t="shared" si="1"/>
        <v>39</v>
      </c>
      <c r="AP7" s="265">
        <f t="shared" si="1"/>
        <v>40</v>
      </c>
      <c r="AQ7" s="265">
        <f t="shared" si="1"/>
        <v>41</v>
      </c>
      <c r="AR7" s="266">
        <f t="shared" si="1"/>
        <v>42</v>
      </c>
    </row>
    <row r="8" spans="1:110" s="277" customFormat="1" x14ac:dyDescent="0.25">
      <c r="A8" s="270" t="s">
        <v>825</v>
      </c>
      <c r="B8" s="271" t="s">
        <v>824</v>
      </c>
      <c r="C8" s="188">
        <f>C119</f>
        <v>103454</v>
      </c>
      <c r="D8" s="191">
        <v>496.96</v>
      </c>
      <c r="E8" s="190" t="s">
        <v>306</v>
      </c>
      <c r="F8" s="272">
        <f>SUM(F9:F118)</f>
        <v>103454</v>
      </c>
      <c r="G8" s="273">
        <f>G119</f>
        <v>51412499.839999996</v>
      </c>
      <c r="H8" s="189">
        <f>H119</f>
        <v>34516.160000000003</v>
      </c>
      <c r="I8" s="187">
        <f>I9</f>
        <v>496.96</v>
      </c>
      <c r="J8" s="186" t="s">
        <v>306</v>
      </c>
      <c r="K8" s="272">
        <f>SUM(K9:K118)</f>
        <v>34516.160000000003</v>
      </c>
      <c r="L8" s="273">
        <f>L119</f>
        <v>17153150.873599999</v>
      </c>
      <c r="M8" s="188">
        <f>M119</f>
        <v>63716.160000000003</v>
      </c>
      <c r="N8" s="187">
        <f>N9</f>
        <v>496.96</v>
      </c>
      <c r="O8" s="186" t="s">
        <v>306</v>
      </c>
      <c r="P8" s="272">
        <f>SUM(P9:P118)</f>
        <v>63716.160000000003</v>
      </c>
      <c r="Q8" s="273">
        <f>Q119</f>
        <v>31664382.873599995</v>
      </c>
      <c r="R8" s="188">
        <f>R119</f>
        <v>67553</v>
      </c>
      <c r="S8" s="187">
        <v>525.29</v>
      </c>
      <c r="T8" s="186" t="s">
        <v>306</v>
      </c>
      <c r="U8" s="272">
        <f>SUM(U9:U118)</f>
        <v>67553</v>
      </c>
      <c r="V8" s="273">
        <f>V119</f>
        <v>35484915.37000002</v>
      </c>
      <c r="W8" s="270" t="s">
        <v>825</v>
      </c>
      <c r="X8" s="271" t="s">
        <v>824</v>
      </c>
      <c r="Y8" s="188">
        <f>Y119</f>
        <v>39696</v>
      </c>
      <c r="Z8" s="187">
        <v>546.83000000000004</v>
      </c>
      <c r="AA8" s="186" t="s">
        <v>306</v>
      </c>
      <c r="AB8" s="272">
        <f>SUM(AB9:AB118)</f>
        <v>39696</v>
      </c>
      <c r="AC8" s="273">
        <f>AC119</f>
        <v>21706963.680000003</v>
      </c>
      <c r="AD8" s="188">
        <f>AD119</f>
        <v>8062</v>
      </c>
      <c r="AE8" s="187">
        <v>561.04999999999995</v>
      </c>
      <c r="AF8" s="186" t="s">
        <v>306</v>
      </c>
      <c r="AG8" s="272">
        <f>SUM(AG9:AG118)</f>
        <v>8062</v>
      </c>
      <c r="AH8" s="273">
        <f>AH119</f>
        <v>4523185.0999999996</v>
      </c>
      <c r="AI8" s="274">
        <f>AI119</f>
        <v>0</v>
      </c>
      <c r="AJ8" s="275">
        <v>575.64</v>
      </c>
      <c r="AK8" s="276" t="s">
        <v>306</v>
      </c>
      <c r="AL8" s="272">
        <f>SUM(AL9:AL118)</f>
        <v>0</v>
      </c>
      <c r="AM8" s="273">
        <f>AM119</f>
        <v>0</v>
      </c>
      <c r="AN8" s="274">
        <f>AN119</f>
        <v>20603</v>
      </c>
      <c r="AO8" s="275">
        <f>587.73</f>
        <v>587.73</v>
      </c>
      <c r="AP8" s="276" t="s">
        <v>306</v>
      </c>
      <c r="AQ8" s="272">
        <f>SUM(AQ9:AQ118)</f>
        <v>20603</v>
      </c>
      <c r="AR8" s="273">
        <f>AR119</f>
        <v>12109001.189999999</v>
      </c>
    </row>
    <row r="9" spans="1:110" s="286" customFormat="1" ht="30" x14ac:dyDescent="0.25">
      <c r="A9" s="278">
        <v>1</v>
      </c>
      <c r="B9" s="279" t="s">
        <v>823</v>
      </c>
      <c r="C9" s="280">
        <v>0</v>
      </c>
      <c r="D9" s="184">
        <v>496.96</v>
      </c>
      <c r="E9" s="281">
        <v>1</v>
      </c>
      <c r="F9" s="281">
        <f t="shared" ref="F9:G24" si="2">C9*E9</f>
        <v>0</v>
      </c>
      <c r="G9" s="282">
        <f t="shared" si="2"/>
        <v>0</v>
      </c>
      <c r="H9" s="283">
        <v>184</v>
      </c>
      <c r="I9" s="184">
        <v>496.96</v>
      </c>
      <c r="J9" s="281">
        <v>1</v>
      </c>
      <c r="K9" s="281">
        <f t="shared" ref="K9:L24" si="3">H9*J9</f>
        <v>184</v>
      </c>
      <c r="L9" s="282">
        <f t="shared" si="3"/>
        <v>91440.639999999999</v>
      </c>
      <c r="M9" s="284">
        <v>0</v>
      </c>
      <c r="N9" s="184">
        <v>496.96</v>
      </c>
      <c r="O9" s="281">
        <v>1</v>
      </c>
      <c r="P9" s="281">
        <f t="shared" ref="P9:Q24" si="4">M9*O9</f>
        <v>0</v>
      </c>
      <c r="Q9" s="282">
        <f t="shared" si="4"/>
        <v>0</v>
      </c>
      <c r="R9" s="284">
        <v>0</v>
      </c>
      <c r="S9" s="182">
        <f>S8</f>
        <v>525.29</v>
      </c>
      <c r="T9" s="281">
        <v>1</v>
      </c>
      <c r="U9" s="281">
        <f>R9*T9</f>
        <v>0</v>
      </c>
      <c r="V9" s="282">
        <f>S9*U9</f>
        <v>0</v>
      </c>
      <c r="W9" s="278">
        <v>1</v>
      </c>
      <c r="X9" s="279" t="s">
        <v>823</v>
      </c>
      <c r="Y9" s="284">
        <v>0</v>
      </c>
      <c r="Z9" s="182">
        <f>Z8</f>
        <v>546.83000000000004</v>
      </c>
      <c r="AA9" s="281">
        <v>1</v>
      </c>
      <c r="AB9" s="281">
        <f>Y9*AA9</f>
        <v>0</v>
      </c>
      <c r="AC9" s="282">
        <f>Z9*AB9</f>
        <v>0</v>
      </c>
      <c r="AD9" s="284">
        <v>0</v>
      </c>
      <c r="AE9" s="182">
        <f>AE8</f>
        <v>561.04999999999995</v>
      </c>
      <c r="AF9" s="281">
        <v>1</v>
      </c>
      <c r="AG9" s="281">
        <f>AD9*AF9</f>
        <v>0</v>
      </c>
      <c r="AH9" s="282">
        <f>AE9*AG9</f>
        <v>0</v>
      </c>
      <c r="AI9" s="285">
        <v>0</v>
      </c>
      <c r="AJ9" s="182">
        <f>AJ8</f>
        <v>575.64</v>
      </c>
      <c r="AK9" s="281">
        <v>1</v>
      </c>
      <c r="AL9" s="281">
        <f>AI9*AK9</f>
        <v>0</v>
      </c>
      <c r="AM9" s="282">
        <f>AJ9*AL9</f>
        <v>0</v>
      </c>
      <c r="AN9" s="285">
        <v>0</v>
      </c>
      <c r="AO9" s="182">
        <f>AO8</f>
        <v>587.73</v>
      </c>
      <c r="AP9" s="281">
        <v>1</v>
      </c>
      <c r="AQ9" s="281">
        <f>AN9*AP9</f>
        <v>0</v>
      </c>
      <c r="AR9" s="282">
        <f>AO9*AQ9</f>
        <v>0</v>
      </c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</row>
    <row r="10" spans="1:110" ht="30" x14ac:dyDescent="0.25">
      <c r="A10" s="278">
        <f>A9+1</f>
        <v>2</v>
      </c>
      <c r="B10" s="279" t="s">
        <v>822</v>
      </c>
      <c r="C10" s="284">
        <v>1399</v>
      </c>
      <c r="D10" s="184">
        <v>496.96</v>
      </c>
      <c r="E10" s="281">
        <v>1</v>
      </c>
      <c r="F10" s="281">
        <f t="shared" si="2"/>
        <v>1399</v>
      </c>
      <c r="G10" s="282">
        <f t="shared" si="2"/>
        <v>695247.03999999992</v>
      </c>
      <c r="H10" s="287">
        <v>5077.88</v>
      </c>
      <c r="I10" s="184">
        <v>496.96</v>
      </c>
      <c r="J10" s="281">
        <v>1</v>
      </c>
      <c r="K10" s="281">
        <f t="shared" si="3"/>
        <v>5077.88</v>
      </c>
      <c r="L10" s="282">
        <f t="shared" si="3"/>
        <v>2523503.2448</v>
      </c>
      <c r="M10" s="284">
        <v>0</v>
      </c>
      <c r="N10" s="182">
        <v>496.96</v>
      </c>
      <c r="O10" s="281">
        <v>1</v>
      </c>
      <c r="P10" s="281">
        <f t="shared" si="4"/>
        <v>0</v>
      </c>
      <c r="Q10" s="282">
        <f t="shared" si="4"/>
        <v>0</v>
      </c>
      <c r="R10" s="284">
        <v>0</v>
      </c>
      <c r="S10" s="182">
        <f>S9</f>
        <v>525.29</v>
      </c>
      <c r="T10" s="281">
        <v>1</v>
      </c>
      <c r="U10" s="281">
        <f t="shared" ref="U10:V26" si="5">R10*T10</f>
        <v>0</v>
      </c>
      <c r="V10" s="282">
        <f t="shared" si="5"/>
        <v>0</v>
      </c>
      <c r="W10" s="278">
        <f>W9+1</f>
        <v>2</v>
      </c>
      <c r="X10" s="279" t="s">
        <v>822</v>
      </c>
      <c r="Y10" s="284">
        <v>0</v>
      </c>
      <c r="Z10" s="182">
        <f t="shared" ref="Z10:Z73" si="6">Z9</f>
        <v>546.83000000000004</v>
      </c>
      <c r="AA10" s="281">
        <v>1</v>
      </c>
      <c r="AB10" s="281">
        <f t="shared" ref="AB10:AC26" si="7">Y10*AA10</f>
        <v>0</v>
      </c>
      <c r="AC10" s="282">
        <f t="shared" si="7"/>
        <v>0</v>
      </c>
      <c r="AD10" s="284">
        <v>0</v>
      </c>
      <c r="AE10" s="182">
        <f t="shared" ref="AE10:AE73" si="8">AE9</f>
        <v>561.04999999999995</v>
      </c>
      <c r="AF10" s="281">
        <v>1</v>
      </c>
      <c r="AG10" s="281">
        <f t="shared" ref="AG10:AH26" si="9">AD10*AF10</f>
        <v>0</v>
      </c>
      <c r="AH10" s="282">
        <f t="shared" si="9"/>
        <v>0</v>
      </c>
      <c r="AI10" s="288">
        <v>0</v>
      </c>
      <c r="AJ10" s="289">
        <f t="shared" ref="AJ10:AJ73" si="10">AJ9</f>
        <v>575.64</v>
      </c>
      <c r="AK10" s="281">
        <v>1</v>
      </c>
      <c r="AL10" s="281">
        <f t="shared" ref="AL10:AM26" si="11">AI10*AK10</f>
        <v>0</v>
      </c>
      <c r="AM10" s="282">
        <f t="shared" si="11"/>
        <v>0</v>
      </c>
      <c r="AN10" s="288">
        <v>0</v>
      </c>
      <c r="AO10" s="289">
        <f t="shared" ref="AO10:AO73" si="12">AO9</f>
        <v>587.73</v>
      </c>
      <c r="AP10" s="281">
        <v>1</v>
      </c>
      <c r="AQ10" s="281">
        <f t="shared" ref="AQ10:AR26" si="13">AN10*AP10</f>
        <v>0</v>
      </c>
      <c r="AR10" s="282">
        <f t="shared" si="13"/>
        <v>0</v>
      </c>
    </row>
    <row r="11" spans="1:110" ht="33" customHeight="1" x14ac:dyDescent="0.25">
      <c r="A11" s="278">
        <f t="shared" ref="A11:A22" si="14">A10+1</f>
        <v>3</v>
      </c>
      <c r="B11" s="279" t="s">
        <v>821</v>
      </c>
      <c r="C11" s="284">
        <v>8300</v>
      </c>
      <c r="D11" s="184">
        <v>496.96</v>
      </c>
      <c r="E11" s="281">
        <v>1</v>
      </c>
      <c r="F11" s="281">
        <f t="shared" si="2"/>
        <v>8300</v>
      </c>
      <c r="G11" s="282">
        <f t="shared" si="2"/>
        <v>4124768</v>
      </c>
      <c r="H11" s="287">
        <v>4245</v>
      </c>
      <c r="I11" s="184">
        <v>496.96</v>
      </c>
      <c r="J11" s="281">
        <v>1</v>
      </c>
      <c r="K11" s="281">
        <f t="shared" si="3"/>
        <v>4245</v>
      </c>
      <c r="L11" s="282">
        <f t="shared" si="3"/>
        <v>2109595.1999999997</v>
      </c>
      <c r="M11" s="284">
        <v>7305</v>
      </c>
      <c r="N11" s="182">
        <v>496.96</v>
      </c>
      <c r="O11" s="281">
        <v>1</v>
      </c>
      <c r="P11" s="281">
        <f t="shared" si="4"/>
        <v>7305</v>
      </c>
      <c r="Q11" s="282">
        <f t="shared" si="4"/>
        <v>3630292.8</v>
      </c>
      <c r="R11" s="284">
        <v>0</v>
      </c>
      <c r="S11" s="182">
        <f>S10</f>
        <v>525.29</v>
      </c>
      <c r="T11" s="281">
        <v>1</v>
      </c>
      <c r="U11" s="281">
        <f t="shared" si="5"/>
        <v>0</v>
      </c>
      <c r="V11" s="282">
        <f t="shared" si="5"/>
        <v>0</v>
      </c>
      <c r="W11" s="278">
        <f t="shared" ref="W11:W22" si="15">W10+1</f>
        <v>3</v>
      </c>
      <c r="X11" s="279" t="s">
        <v>821</v>
      </c>
      <c r="Y11" s="284">
        <v>0</v>
      </c>
      <c r="Z11" s="182">
        <f t="shared" si="6"/>
        <v>546.83000000000004</v>
      </c>
      <c r="AA11" s="281">
        <v>1</v>
      </c>
      <c r="AB11" s="281">
        <f t="shared" si="7"/>
        <v>0</v>
      </c>
      <c r="AC11" s="282">
        <f t="shared" si="7"/>
        <v>0</v>
      </c>
      <c r="AD11" s="284">
        <v>0</v>
      </c>
      <c r="AE11" s="182">
        <f t="shared" si="8"/>
        <v>561.04999999999995</v>
      </c>
      <c r="AF11" s="281">
        <v>1</v>
      </c>
      <c r="AG11" s="281">
        <f t="shared" si="9"/>
        <v>0</v>
      </c>
      <c r="AH11" s="282">
        <f t="shared" si="9"/>
        <v>0</v>
      </c>
      <c r="AI11" s="288">
        <v>0</v>
      </c>
      <c r="AJ11" s="289">
        <f t="shared" si="10"/>
        <v>575.64</v>
      </c>
      <c r="AK11" s="281">
        <v>1</v>
      </c>
      <c r="AL11" s="281">
        <f t="shared" si="11"/>
        <v>0</v>
      </c>
      <c r="AM11" s="282">
        <f t="shared" si="11"/>
        <v>0</v>
      </c>
      <c r="AN11" s="288">
        <v>0</v>
      </c>
      <c r="AO11" s="289">
        <f t="shared" si="12"/>
        <v>587.73</v>
      </c>
      <c r="AP11" s="281">
        <v>1</v>
      </c>
      <c r="AQ11" s="281">
        <f t="shared" si="13"/>
        <v>0</v>
      </c>
      <c r="AR11" s="282">
        <f t="shared" si="13"/>
        <v>0</v>
      </c>
    </row>
    <row r="12" spans="1:110" ht="30.95" customHeight="1" x14ac:dyDescent="0.25">
      <c r="A12" s="278">
        <f t="shared" si="14"/>
        <v>4</v>
      </c>
      <c r="B12" s="279" t="s">
        <v>820</v>
      </c>
      <c r="C12" s="284">
        <v>8300</v>
      </c>
      <c r="D12" s="184">
        <v>496.96</v>
      </c>
      <c r="E12" s="281">
        <v>1</v>
      </c>
      <c r="F12" s="281">
        <f t="shared" si="2"/>
        <v>8300</v>
      </c>
      <c r="G12" s="282">
        <f t="shared" si="2"/>
        <v>4124768</v>
      </c>
      <c r="H12" s="287">
        <v>5796</v>
      </c>
      <c r="I12" s="184">
        <v>496.96</v>
      </c>
      <c r="J12" s="281">
        <v>1</v>
      </c>
      <c r="K12" s="281">
        <f t="shared" si="3"/>
        <v>5796</v>
      </c>
      <c r="L12" s="282">
        <f t="shared" si="3"/>
        <v>2880380.1599999997</v>
      </c>
      <c r="M12" s="284">
        <v>5655</v>
      </c>
      <c r="N12" s="182">
        <v>496.96</v>
      </c>
      <c r="O12" s="281">
        <v>1</v>
      </c>
      <c r="P12" s="281">
        <f t="shared" si="4"/>
        <v>5655</v>
      </c>
      <c r="Q12" s="282">
        <f t="shared" si="4"/>
        <v>2810308.8</v>
      </c>
      <c r="R12" s="284">
        <v>0</v>
      </c>
      <c r="S12" s="182">
        <f t="shared" ref="S12:S75" si="16">S11</f>
        <v>525.29</v>
      </c>
      <c r="T12" s="281">
        <v>1</v>
      </c>
      <c r="U12" s="281">
        <f t="shared" si="5"/>
        <v>0</v>
      </c>
      <c r="V12" s="282">
        <f t="shared" si="5"/>
        <v>0</v>
      </c>
      <c r="W12" s="278">
        <f t="shared" si="15"/>
        <v>4</v>
      </c>
      <c r="X12" s="279" t="s">
        <v>820</v>
      </c>
      <c r="Y12" s="284">
        <v>0</v>
      </c>
      <c r="Z12" s="182">
        <f t="shared" si="6"/>
        <v>546.83000000000004</v>
      </c>
      <c r="AA12" s="281">
        <v>1</v>
      </c>
      <c r="AB12" s="281">
        <f t="shared" si="7"/>
        <v>0</v>
      </c>
      <c r="AC12" s="282">
        <f t="shared" si="7"/>
        <v>0</v>
      </c>
      <c r="AD12" s="284">
        <v>0</v>
      </c>
      <c r="AE12" s="182">
        <f t="shared" si="8"/>
        <v>561.04999999999995</v>
      </c>
      <c r="AF12" s="281">
        <v>1</v>
      </c>
      <c r="AG12" s="281">
        <f t="shared" si="9"/>
        <v>0</v>
      </c>
      <c r="AH12" s="282">
        <f t="shared" si="9"/>
        <v>0</v>
      </c>
      <c r="AI12" s="288">
        <v>0</v>
      </c>
      <c r="AJ12" s="289">
        <f t="shared" si="10"/>
        <v>575.64</v>
      </c>
      <c r="AK12" s="281">
        <v>1</v>
      </c>
      <c r="AL12" s="281">
        <f t="shared" si="11"/>
        <v>0</v>
      </c>
      <c r="AM12" s="282">
        <f t="shared" si="11"/>
        <v>0</v>
      </c>
      <c r="AN12" s="288">
        <v>0</v>
      </c>
      <c r="AO12" s="289">
        <f t="shared" si="12"/>
        <v>587.73</v>
      </c>
      <c r="AP12" s="281">
        <v>1</v>
      </c>
      <c r="AQ12" s="281">
        <f t="shared" si="13"/>
        <v>0</v>
      </c>
      <c r="AR12" s="282">
        <f t="shared" si="13"/>
        <v>0</v>
      </c>
    </row>
    <row r="13" spans="1:110" ht="30" x14ac:dyDescent="0.25">
      <c r="A13" s="278">
        <f t="shared" si="14"/>
        <v>5</v>
      </c>
      <c r="B13" s="279" t="s">
        <v>819</v>
      </c>
      <c r="C13" s="284">
        <v>14558</v>
      </c>
      <c r="D13" s="184">
        <v>496.96</v>
      </c>
      <c r="E13" s="281">
        <v>1</v>
      </c>
      <c r="F13" s="281">
        <f t="shared" si="2"/>
        <v>14558</v>
      </c>
      <c r="G13" s="282">
        <f t="shared" si="2"/>
        <v>7234743.6799999997</v>
      </c>
      <c r="H13" s="287">
        <v>136</v>
      </c>
      <c r="I13" s="184">
        <v>496.96</v>
      </c>
      <c r="J13" s="281">
        <v>1</v>
      </c>
      <c r="K13" s="281">
        <f t="shared" si="3"/>
        <v>136</v>
      </c>
      <c r="L13" s="282">
        <f t="shared" si="3"/>
        <v>67586.559999999998</v>
      </c>
      <c r="M13" s="284">
        <v>14422</v>
      </c>
      <c r="N13" s="182">
        <v>496.96</v>
      </c>
      <c r="O13" s="281">
        <v>1</v>
      </c>
      <c r="P13" s="281">
        <f t="shared" si="4"/>
        <v>14422</v>
      </c>
      <c r="Q13" s="282">
        <f t="shared" si="4"/>
        <v>7167157.1200000001</v>
      </c>
      <c r="R13" s="284">
        <v>0</v>
      </c>
      <c r="S13" s="182">
        <f t="shared" si="16"/>
        <v>525.29</v>
      </c>
      <c r="T13" s="281">
        <v>1</v>
      </c>
      <c r="U13" s="281">
        <f t="shared" si="5"/>
        <v>0</v>
      </c>
      <c r="V13" s="282">
        <f t="shared" si="5"/>
        <v>0</v>
      </c>
      <c r="W13" s="278">
        <f t="shared" si="15"/>
        <v>5</v>
      </c>
      <c r="X13" s="279" t="s">
        <v>819</v>
      </c>
      <c r="Y13" s="284">
        <v>0</v>
      </c>
      <c r="Z13" s="182">
        <f t="shared" si="6"/>
        <v>546.83000000000004</v>
      </c>
      <c r="AA13" s="281">
        <v>1</v>
      </c>
      <c r="AB13" s="281">
        <f t="shared" si="7"/>
        <v>0</v>
      </c>
      <c r="AC13" s="282">
        <f t="shared" si="7"/>
        <v>0</v>
      </c>
      <c r="AD13" s="284">
        <v>0</v>
      </c>
      <c r="AE13" s="182">
        <f t="shared" si="8"/>
        <v>561.04999999999995</v>
      </c>
      <c r="AF13" s="281">
        <v>1</v>
      </c>
      <c r="AG13" s="281">
        <f t="shared" si="9"/>
        <v>0</v>
      </c>
      <c r="AH13" s="282">
        <f t="shared" si="9"/>
        <v>0</v>
      </c>
      <c r="AI13" s="288">
        <v>0</v>
      </c>
      <c r="AJ13" s="289">
        <f t="shared" si="10"/>
        <v>575.64</v>
      </c>
      <c r="AK13" s="281">
        <v>1</v>
      </c>
      <c r="AL13" s="281">
        <f t="shared" si="11"/>
        <v>0</v>
      </c>
      <c r="AM13" s="282">
        <f t="shared" si="11"/>
        <v>0</v>
      </c>
      <c r="AN13" s="288">
        <v>0</v>
      </c>
      <c r="AO13" s="289">
        <f t="shared" si="12"/>
        <v>587.73</v>
      </c>
      <c r="AP13" s="281">
        <v>1</v>
      </c>
      <c r="AQ13" s="281">
        <f t="shared" si="13"/>
        <v>0</v>
      </c>
      <c r="AR13" s="282">
        <f t="shared" si="13"/>
        <v>0</v>
      </c>
    </row>
    <row r="14" spans="1:110" ht="30" x14ac:dyDescent="0.25">
      <c r="A14" s="278">
        <f t="shared" si="14"/>
        <v>6</v>
      </c>
      <c r="B14" s="279" t="s">
        <v>818</v>
      </c>
      <c r="C14" s="284">
        <v>14940</v>
      </c>
      <c r="D14" s="184">
        <v>496.96</v>
      </c>
      <c r="E14" s="281">
        <v>1</v>
      </c>
      <c r="F14" s="281">
        <f t="shared" si="2"/>
        <v>14940</v>
      </c>
      <c r="G14" s="282">
        <f t="shared" si="2"/>
        <v>7424582.3999999994</v>
      </c>
      <c r="H14" s="287">
        <v>0</v>
      </c>
      <c r="I14" s="184">
        <v>496.96</v>
      </c>
      <c r="J14" s="281">
        <v>1</v>
      </c>
      <c r="K14" s="281">
        <f t="shared" si="3"/>
        <v>0</v>
      </c>
      <c r="L14" s="282">
        <f t="shared" si="3"/>
        <v>0</v>
      </c>
      <c r="M14" s="284">
        <v>14940</v>
      </c>
      <c r="N14" s="182">
        <v>496.96</v>
      </c>
      <c r="O14" s="281">
        <v>1</v>
      </c>
      <c r="P14" s="281">
        <f t="shared" si="4"/>
        <v>14940</v>
      </c>
      <c r="Q14" s="282">
        <f t="shared" si="4"/>
        <v>7424582.3999999994</v>
      </c>
      <c r="R14" s="284">
        <v>0</v>
      </c>
      <c r="S14" s="182">
        <f t="shared" si="16"/>
        <v>525.29</v>
      </c>
      <c r="T14" s="281">
        <v>1</v>
      </c>
      <c r="U14" s="281">
        <f t="shared" si="5"/>
        <v>0</v>
      </c>
      <c r="V14" s="282">
        <f t="shared" si="5"/>
        <v>0</v>
      </c>
      <c r="W14" s="278">
        <f t="shared" si="15"/>
        <v>6</v>
      </c>
      <c r="X14" s="279" t="s">
        <v>818</v>
      </c>
      <c r="Y14" s="284">
        <v>0</v>
      </c>
      <c r="Z14" s="182">
        <f t="shared" si="6"/>
        <v>546.83000000000004</v>
      </c>
      <c r="AA14" s="281">
        <v>1</v>
      </c>
      <c r="AB14" s="281">
        <f t="shared" si="7"/>
        <v>0</v>
      </c>
      <c r="AC14" s="282">
        <f t="shared" si="7"/>
        <v>0</v>
      </c>
      <c r="AD14" s="284">
        <v>0</v>
      </c>
      <c r="AE14" s="182">
        <f t="shared" si="8"/>
        <v>561.04999999999995</v>
      </c>
      <c r="AF14" s="281">
        <v>1</v>
      </c>
      <c r="AG14" s="281">
        <f t="shared" si="9"/>
        <v>0</v>
      </c>
      <c r="AH14" s="282">
        <f t="shared" si="9"/>
        <v>0</v>
      </c>
      <c r="AI14" s="288">
        <v>0</v>
      </c>
      <c r="AJ14" s="289">
        <f t="shared" si="10"/>
        <v>575.64</v>
      </c>
      <c r="AK14" s="281">
        <v>1</v>
      </c>
      <c r="AL14" s="281">
        <f t="shared" si="11"/>
        <v>0</v>
      </c>
      <c r="AM14" s="282">
        <f t="shared" si="11"/>
        <v>0</v>
      </c>
      <c r="AN14" s="288">
        <v>0</v>
      </c>
      <c r="AO14" s="289">
        <f t="shared" si="12"/>
        <v>587.73</v>
      </c>
      <c r="AP14" s="281">
        <v>1</v>
      </c>
      <c r="AQ14" s="281">
        <f t="shared" si="13"/>
        <v>0</v>
      </c>
      <c r="AR14" s="282">
        <f t="shared" si="13"/>
        <v>0</v>
      </c>
    </row>
    <row r="15" spans="1:110" ht="30" x14ac:dyDescent="0.25">
      <c r="A15" s="278">
        <f t="shared" si="14"/>
        <v>7</v>
      </c>
      <c r="B15" s="279" t="s">
        <v>817</v>
      </c>
      <c r="C15" s="284">
        <v>14940</v>
      </c>
      <c r="D15" s="184">
        <v>496.96</v>
      </c>
      <c r="E15" s="281">
        <v>1</v>
      </c>
      <c r="F15" s="281">
        <f t="shared" si="2"/>
        <v>14940</v>
      </c>
      <c r="G15" s="282">
        <f t="shared" si="2"/>
        <v>7424582.3999999994</v>
      </c>
      <c r="H15" s="287">
        <v>0</v>
      </c>
      <c r="I15" s="184">
        <v>496.96</v>
      </c>
      <c r="J15" s="281">
        <v>1</v>
      </c>
      <c r="K15" s="281">
        <f t="shared" si="3"/>
        <v>0</v>
      </c>
      <c r="L15" s="282">
        <f t="shared" si="3"/>
        <v>0</v>
      </c>
      <c r="M15" s="284">
        <v>14940</v>
      </c>
      <c r="N15" s="182">
        <v>496.96</v>
      </c>
      <c r="O15" s="281">
        <v>1</v>
      </c>
      <c r="P15" s="281">
        <f t="shared" si="4"/>
        <v>14940</v>
      </c>
      <c r="Q15" s="282">
        <f t="shared" si="4"/>
        <v>7424582.3999999994</v>
      </c>
      <c r="R15" s="284">
        <v>0</v>
      </c>
      <c r="S15" s="182">
        <f t="shared" si="16"/>
        <v>525.29</v>
      </c>
      <c r="T15" s="281">
        <v>1</v>
      </c>
      <c r="U15" s="281">
        <f t="shared" si="5"/>
        <v>0</v>
      </c>
      <c r="V15" s="282">
        <f t="shared" si="5"/>
        <v>0</v>
      </c>
      <c r="W15" s="278">
        <f t="shared" si="15"/>
        <v>7</v>
      </c>
      <c r="X15" s="279" t="s">
        <v>817</v>
      </c>
      <c r="Y15" s="284">
        <v>0</v>
      </c>
      <c r="Z15" s="182">
        <f t="shared" si="6"/>
        <v>546.83000000000004</v>
      </c>
      <c r="AA15" s="281">
        <v>1</v>
      </c>
      <c r="AB15" s="281">
        <f t="shared" si="7"/>
        <v>0</v>
      </c>
      <c r="AC15" s="282">
        <f t="shared" si="7"/>
        <v>0</v>
      </c>
      <c r="AD15" s="284">
        <v>0</v>
      </c>
      <c r="AE15" s="182">
        <f t="shared" si="8"/>
        <v>561.04999999999995</v>
      </c>
      <c r="AF15" s="281">
        <v>1</v>
      </c>
      <c r="AG15" s="281">
        <f t="shared" si="9"/>
        <v>0</v>
      </c>
      <c r="AH15" s="282">
        <f t="shared" si="9"/>
        <v>0</v>
      </c>
      <c r="AI15" s="288">
        <v>0</v>
      </c>
      <c r="AJ15" s="289">
        <f t="shared" si="10"/>
        <v>575.64</v>
      </c>
      <c r="AK15" s="281">
        <v>1</v>
      </c>
      <c r="AL15" s="281">
        <f t="shared" si="11"/>
        <v>0</v>
      </c>
      <c r="AM15" s="282">
        <f t="shared" si="11"/>
        <v>0</v>
      </c>
      <c r="AN15" s="288">
        <v>0</v>
      </c>
      <c r="AO15" s="289">
        <f t="shared" si="12"/>
        <v>587.73</v>
      </c>
      <c r="AP15" s="281">
        <v>1</v>
      </c>
      <c r="AQ15" s="281">
        <f t="shared" si="13"/>
        <v>0</v>
      </c>
      <c r="AR15" s="282">
        <f t="shared" si="13"/>
        <v>0</v>
      </c>
    </row>
    <row r="16" spans="1:110" ht="30" x14ac:dyDescent="0.25">
      <c r="A16" s="278">
        <f t="shared" si="14"/>
        <v>8</v>
      </c>
      <c r="B16" s="279" t="s">
        <v>816</v>
      </c>
      <c r="C16" s="284">
        <v>14940</v>
      </c>
      <c r="D16" s="184">
        <v>496.96</v>
      </c>
      <c r="E16" s="281">
        <v>1</v>
      </c>
      <c r="F16" s="281">
        <f t="shared" si="2"/>
        <v>14940</v>
      </c>
      <c r="G16" s="282">
        <f t="shared" si="2"/>
        <v>7424582.3999999994</v>
      </c>
      <c r="H16" s="287">
        <v>0</v>
      </c>
      <c r="I16" s="184">
        <v>496.96</v>
      </c>
      <c r="J16" s="281">
        <v>1</v>
      </c>
      <c r="K16" s="281">
        <f t="shared" si="3"/>
        <v>0</v>
      </c>
      <c r="L16" s="282">
        <f t="shared" si="3"/>
        <v>0</v>
      </c>
      <c r="M16" s="284">
        <v>0</v>
      </c>
      <c r="N16" s="182">
        <v>496.96</v>
      </c>
      <c r="O16" s="281">
        <v>1</v>
      </c>
      <c r="P16" s="281">
        <f t="shared" si="4"/>
        <v>0</v>
      </c>
      <c r="Q16" s="282">
        <f t="shared" si="4"/>
        <v>0</v>
      </c>
      <c r="R16" s="284">
        <v>14940</v>
      </c>
      <c r="S16" s="182">
        <f t="shared" si="16"/>
        <v>525.29</v>
      </c>
      <c r="T16" s="281">
        <v>1</v>
      </c>
      <c r="U16" s="281">
        <f t="shared" si="5"/>
        <v>14940</v>
      </c>
      <c r="V16" s="282">
        <f t="shared" si="5"/>
        <v>7847832.5999999996</v>
      </c>
      <c r="W16" s="278">
        <f t="shared" si="15"/>
        <v>8</v>
      </c>
      <c r="X16" s="279" t="s">
        <v>816</v>
      </c>
      <c r="Y16" s="284">
        <v>0</v>
      </c>
      <c r="Z16" s="182">
        <f t="shared" si="6"/>
        <v>546.83000000000004</v>
      </c>
      <c r="AA16" s="281">
        <v>1</v>
      </c>
      <c r="AB16" s="281">
        <f t="shared" si="7"/>
        <v>0</v>
      </c>
      <c r="AC16" s="282">
        <f t="shared" si="7"/>
        <v>0</v>
      </c>
      <c r="AD16" s="284">
        <v>0</v>
      </c>
      <c r="AE16" s="182">
        <f t="shared" si="8"/>
        <v>561.04999999999995</v>
      </c>
      <c r="AF16" s="281">
        <v>1</v>
      </c>
      <c r="AG16" s="281">
        <f t="shared" si="9"/>
        <v>0</v>
      </c>
      <c r="AH16" s="282">
        <f t="shared" si="9"/>
        <v>0</v>
      </c>
      <c r="AI16" s="288">
        <v>0</v>
      </c>
      <c r="AJ16" s="289">
        <f t="shared" si="10"/>
        <v>575.64</v>
      </c>
      <c r="AK16" s="281">
        <v>1</v>
      </c>
      <c r="AL16" s="281">
        <f t="shared" si="11"/>
        <v>0</v>
      </c>
      <c r="AM16" s="282">
        <f t="shared" si="11"/>
        <v>0</v>
      </c>
      <c r="AN16" s="288">
        <v>0</v>
      </c>
      <c r="AO16" s="289">
        <f t="shared" si="12"/>
        <v>587.73</v>
      </c>
      <c r="AP16" s="281">
        <v>1</v>
      </c>
      <c r="AQ16" s="281">
        <f t="shared" si="13"/>
        <v>0</v>
      </c>
      <c r="AR16" s="282">
        <f t="shared" si="13"/>
        <v>0</v>
      </c>
    </row>
    <row r="17" spans="1:44" ht="30" x14ac:dyDescent="0.25">
      <c r="A17" s="278">
        <f t="shared" si="14"/>
        <v>9</v>
      </c>
      <c r="B17" s="279" t="s">
        <v>815</v>
      </c>
      <c r="C17" s="284">
        <v>14940</v>
      </c>
      <c r="D17" s="184">
        <v>496.96</v>
      </c>
      <c r="E17" s="281">
        <v>1</v>
      </c>
      <c r="F17" s="281">
        <f t="shared" si="2"/>
        <v>14940</v>
      </c>
      <c r="G17" s="282">
        <f t="shared" si="2"/>
        <v>7424582.3999999994</v>
      </c>
      <c r="H17" s="287">
        <v>0</v>
      </c>
      <c r="I17" s="184">
        <v>496.96</v>
      </c>
      <c r="J17" s="281">
        <v>1</v>
      </c>
      <c r="K17" s="281">
        <f t="shared" si="3"/>
        <v>0</v>
      </c>
      <c r="L17" s="282">
        <f t="shared" si="3"/>
        <v>0</v>
      </c>
      <c r="M17" s="284">
        <v>0</v>
      </c>
      <c r="N17" s="182">
        <v>496.96</v>
      </c>
      <c r="O17" s="281">
        <v>1</v>
      </c>
      <c r="P17" s="281">
        <f t="shared" si="4"/>
        <v>0</v>
      </c>
      <c r="Q17" s="282">
        <f t="shared" si="4"/>
        <v>0</v>
      </c>
      <c r="R17" s="284">
        <v>14940</v>
      </c>
      <c r="S17" s="182">
        <f t="shared" si="16"/>
        <v>525.29</v>
      </c>
      <c r="T17" s="281">
        <v>1</v>
      </c>
      <c r="U17" s="281">
        <f t="shared" si="5"/>
        <v>14940</v>
      </c>
      <c r="V17" s="282">
        <f t="shared" si="5"/>
        <v>7847832.5999999996</v>
      </c>
      <c r="W17" s="278">
        <f t="shared" si="15"/>
        <v>9</v>
      </c>
      <c r="X17" s="279" t="s">
        <v>815</v>
      </c>
      <c r="Y17" s="284">
        <v>0</v>
      </c>
      <c r="Z17" s="182">
        <f t="shared" si="6"/>
        <v>546.83000000000004</v>
      </c>
      <c r="AA17" s="281">
        <v>1</v>
      </c>
      <c r="AB17" s="281">
        <f t="shared" si="7"/>
        <v>0</v>
      </c>
      <c r="AC17" s="282">
        <f t="shared" si="7"/>
        <v>0</v>
      </c>
      <c r="AD17" s="284">
        <v>0</v>
      </c>
      <c r="AE17" s="182">
        <f t="shared" si="8"/>
        <v>561.04999999999995</v>
      </c>
      <c r="AF17" s="281">
        <v>1</v>
      </c>
      <c r="AG17" s="281">
        <f t="shared" si="9"/>
        <v>0</v>
      </c>
      <c r="AH17" s="282">
        <f t="shared" si="9"/>
        <v>0</v>
      </c>
      <c r="AI17" s="288">
        <v>0</v>
      </c>
      <c r="AJ17" s="289">
        <f t="shared" si="10"/>
        <v>575.64</v>
      </c>
      <c r="AK17" s="281">
        <v>1</v>
      </c>
      <c r="AL17" s="281">
        <f t="shared" si="11"/>
        <v>0</v>
      </c>
      <c r="AM17" s="282">
        <f t="shared" si="11"/>
        <v>0</v>
      </c>
      <c r="AN17" s="288">
        <v>0</v>
      </c>
      <c r="AO17" s="289">
        <f t="shared" si="12"/>
        <v>587.73</v>
      </c>
      <c r="AP17" s="281">
        <v>1</v>
      </c>
      <c r="AQ17" s="281">
        <f t="shared" si="13"/>
        <v>0</v>
      </c>
      <c r="AR17" s="282">
        <f t="shared" si="13"/>
        <v>0</v>
      </c>
    </row>
    <row r="18" spans="1:44" ht="45" x14ac:dyDescent="0.25">
      <c r="A18" s="278">
        <f t="shared" si="14"/>
        <v>10</v>
      </c>
      <c r="B18" s="279" t="s">
        <v>814</v>
      </c>
      <c r="C18" s="284">
        <v>4900</v>
      </c>
      <c r="D18" s="184">
        <v>496.96</v>
      </c>
      <c r="E18" s="281">
        <v>1</v>
      </c>
      <c r="F18" s="281">
        <f t="shared" si="2"/>
        <v>4900</v>
      </c>
      <c r="G18" s="282">
        <f t="shared" si="2"/>
        <v>2435104</v>
      </c>
      <c r="H18" s="287">
        <v>3182</v>
      </c>
      <c r="I18" s="184">
        <v>496.96</v>
      </c>
      <c r="J18" s="281">
        <v>1</v>
      </c>
      <c r="K18" s="281">
        <f t="shared" si="3"/>
        <v>3182</v>
      </c>
      <c r="L18" s="282">
        <f t="shared" si="3"/>
        <v>1581326.72</v>
      </c>
      <c r="M18" s="284">
        <v>0</v>
      </c>
      <c r="N18" s="182">
        <v>496.96</v>
      </c>
      <c r="O18" s="281">
        <v>1</v>
      </c>
      <c r="P18" s="281">
        <f t="shared" si="4"/>
        <v>0</v>
      </c>
      <c r="Q18" s="282">
        <f t="shared" si="4"/>
        <v>0</v>
      </c>
      <c r="R18" s="284">
        <v>0</v>
      </c>
      <c r="S18" s="182">
        <f t="shared" si="16"/>
        <v>525.29</v>
      </c>
      <c r="T18" s="281">
        <v>1</v>
      </c>
      <c r="U18" s="281">
        <f t="shared" si="5"/>
        <v>0</v>
      </c>
      <c r="V18" s="282">
        <f t="shared" si="5"/>
        <v>0</v>
      </c>
      <c r="W18" s="278">
        <f t="shared" si="15"/>
        <v>10</v>
      </c>
      <c r="X18" s="279" t="s">
        <v>814</v>
      </c>
      <c r="Y18" s="284">
        <v>0</v>
      </c>
      <c r="Z18" s="182">
        <f t="shared" si="6"/>
        <v>546.83000000000004</v>
      </c>
      <c r="AA18" s="281">
        <v>1</v>
      </c>
      <c r="AB18" s="281">
        <f t="shared" si="7"/>
        <v>0</v>
      </c>
      <c r="AC18" s="282">
        <f t="shared" si="7"/>
        <v>0</v>
      </c>
      <c r="AD18" s="284">
        <v>0</v>
      </c>
      <c r="AE18" s="182">
        <f t="shared" si="8"/>
        <v>561.04999999999995</v>
      </c>
      <c r="AF18" s="281">
        <v>1</v>
      </c>
      <c r="AG18" s="281">
        <f t="shared" si="9"/>
        <v>0</v>
      </c>
      <c r="AH18" s="282">
        <f t="shared" si="9"/>
        <v>0</v>
      </c>
      <c r="AI18" s="288">
        <v>0</v>
      </c>
      <c r="AJ18" s="289">
        <f t="shared" si="10"/>
        <v>575.64</v>
      </c>
      <c r="AK18" s="281">
        <v>1</v>
      </c>
      <c r="AL18" s="281">
        <f t="shared" si="11"/>
        <v>0</v>
      </c>
      <c r="AM18" s="282">
        <f t="shared" si="11"/>
        <v>0</v>
      </c>
      <c r="AN18" s="288">
        <v>0</v>
      </c>
      <c r="AO18" s="289">
        <f t="shared" si="12"/>
        <v>587.73</v>
      </c>
      <c r="AP18" s="281">
        <v>1</v>
      </c>
      <c r="AQ18" s="281">
        <f t="shared" si="13"/>
        <v>0</v>
      </c>
      <c r="AR18" s="282">
        <f t="shared" si="13"/>
        <v>0</v>
      </c>
    </row>
    <row r="19" spans="1:44" ht="45" x14ac:dyDescent="0.25">
      <c r="A19" s="278">
        <f t="shared" si="14"/>
        <v>11</v>
      </c>
      <c r="B19" s="279" t="s">
        <v>813</v>
      </c>
      <c r="C19" s="284">
        <v>4277</v>
      </c>
      <c r="D19" s="184">
        <v>496.96</v>
      </c>
      <c r="E19" s="281">
        <v>1</v>
      </c>
      <c r="F19" s="281">
        <f t="shared" si="2"/>
        <v>4277</v>
      </c>
      <c r="G19" s="282">
        <f t="shared" si="2"/>
        <v>2125497.92</v>
      </c>
      <c r="H19" s="287">
        <v>6467.28</v>
      </c>
      <c r="I19" s="184">
        <v>496.96</v>
      </c>
      <c r="J19" s="281">
        <v>1</v>
      </c>
      <c r="K19" s="281">
        <f t="shared" si="3"/>
        <v>6467.28</v>
      </c>
      <c r="L19" s="282">
        <f t="shared" si="3"/>
        <v>3213979.4687999999</v>
      </c>
      <c r="M19" s="284">
        <v>0</v>
      </c>
      <c r="N19" s="182">
        <v>496.96</v>
      </c>
      <c r="O19" s="281">
        <v>1</v>
      </c>
      <c r="P19" s="281">
        <f t="shared" si="4"/>
        <v>0</v>
      </c>
      <c r="Q19" s="282">
        <f t="shared" si="4"/>
        <v>0</v>
      </c>
      <c r="R19" s="284">
        <v>0</v>
      </c>
      <c r="S19" s="182">
        <f t="shared" si="16"/>
        <v>525.29</v>
      </c>
      <c r="T19" s="281">
        <v>1</v>
      </c>
      <c r="U19" s="281">
        <f t="shared" si="5"/>
        <v>0</v>
      </c>
      <c r="V19" s="282">
        <f t="shared" si="5"/>
        <v>0</v>
      </c>
      <c r="W19" s="278">
        <f t="shared" si="15"/>
        <v>11</v>
      </c>
      <c r="X19" s="279" t="s">
        <v>813</v>
      </c>
      <c r="Y19" s="284">
        <v>0</v>
      </c>
      <c r="Z19" s="182">
        <f t="shared" si="6"/>
        <v>546.83000000000004</v>
      </c>
      <c r="AA19" s="281">
        <v>1</v>
      </c>
      <c r="AB19" s="281">
        <f t="shared" si="7"/>
        <v>0</v>
      </c>
      <c r="AC19" s="282">
        <f t="shared" si="7"/>
        <v>0</v>
      </c>
      <c r="AD19" s="284">
        <v>0</v>
      </c>
      <c r="AE19" s="182">
        <f t="shared" si="8"/>
        <v>561.04999999999995</v>
      </c>
      <c r="AF19" s="281">
        <v>1</v>
      </c>
      <c r="AG19" s="281">
        <f t="shared" si="9"/>
        <v>0</v>
      </c>
      <c r="AH19" s="282">
        <f t="shared" si="9"/>
        <v>0</v>
      </c>
      <c r="AI19" s="288">
        <v>0</v>
      </c>
      <c r="AJ19" s="289">
        <f t="shared" si="10"/>
        <v>575.64</v>
      </c>
      <c r="AK19" s="281">
        <v>1</v>
      </c>
      <c r="AL19" s="281">
        <f t="shared" si="11"/>
        <v>0</v>
      </c>
      <c r="AM19" s="282">
        <f t="shared" si="11"/>
        <v>0</v>
      </c>
      <c r="AN19" s="288">
        <v>0</v>
      </c>
      <c r="AO19" s="289">
        <f t="shared" si="12"/>
        <v>587.73</v>
      </c>
      <c r="AP19" s="281">
        <v>1</v>
      </c>
      <c r="AQ19" s="281">
        <f t="shared" si="13"/>
        <v>0</v>
      </c>
      <c r="AR19" s="282">
        <f t="shared" si="13"/>
        <v>0</v>
      </c>
    </row>
    <row r="20" spans="1:44" ht="27.95" customHeight="1" x14ac:dyDescent="0.25">
      <c r="A20" s="278">
        <f t="shared" si="14"/>
        <v>12</v>
      </c>
      <c r="B20" s="279" t="s">
        <v>812</v>
      </c>
      <c r="C20" s="284">
        <v>0</v>
      </c>
      <c r="D20" s="184">
        <v>496.96</v>
      </c>
      <c r="E20" s="281">
        <v>1</v>
      </c>
      <c r="F20" s="281">
        <f t="shared" si="2"/>
        <v>0</v>
      </c>
      <c r="G20" s="282">
        <f t="shared" si="2"/>
        <v>0</v>
      </c>
      <c r="H20" s="287">
        <v>2783</v>
      </c>
      <c r="I20" s="184">
        <v>496.96</v>
      </c>
      <c r="J20" s="281">
        <v>1</v>
      </c>
      <c r="K20" s="281">
        <f t="shared" si="3"/>
        <v>2783</v>
      </c>
      <c r="L20" s="282">
        <f t="shared" si="3"/>
        <v>1383039.68</v>
      </c>
      <c r="M20" s="284">
        <v>0</v>
      </c>
      <c r="N20" s="182">
        <v>496.96</v>
      </c>
      <c r="O20" s="281">
        <v>1</v>
      </c>
      <c r="P20" s="281">
        <f t="shared" si="4"/>
        <v>0</v>
      </c>
      <c r="Q20" s="282">
        <f t="shared" si="4"/>
        <v>0</v>
      </c>
      <c r="R20" s="284">
        <v>0</v>
      </c>
      <c r="S20" s="182">
        <f t="shared" si="16"/>
        <v>525.29</v>
      </c>
      <c r="T20" s="281">
        <v>1</v>
      </c>
      <c r="U20" s="281">
        <f t="shared" si="5"/>
        <v>0</v>
      </c>
      <c r="V20" s="282">
        <f t="shared" si="5"/>
        <v>0</v>
      </c>
      <c r="W20" s="278">
        <f t="shared" si="15"/>
        <v>12</v>
      </c>
      <c r="X20" s="279" t="s">
        <v>812</v>
      </c>
      <c r="Y20" s="284">
        <v>0</v>
      </c>
      <c r="Z20" s="182">
        <f t="shared" si="6"/>
        <v>546.83000000000004</v>
      </c>
      <c r="AA20" s="281">
        <v>1</v>
      </c>
      <c r="AB20" s="281">
        <f t="shared" si="7"/>
        <v>0</v>
      </c>
      <c r="AC20" s="282">
        <f t="shared" si="7"/>
        <v>0</v>
      </c>
      <c r="AD20" s="284">
        <v>0</v>
      </c>
      <c r="AE20" s="182">
        <f t="shared" si="8"/>
        <v>561.04999999999995</v>
      </c>
      <c r="AF20" s="281">
        <v>1</v>
      </c>
      <c r="AG20" s="281">
        <f t="shared" si="9"/>
        <v>0</v>
      </c>
      <c r="AH20" s="282">
        <f t="shared" si="9"/>
        <v>0</v>
      </c>
      <c r="AI20" s="288">
        <v>0</v>
      </c>
      <c r="AJ20" s="289">
        <f t="shared" si="10"/>
        <v>575.64</v>
      </c>
      <c r="AK20" s="281">
        <v>1</v>
      </c>
      <c r="AL20" s="281">
        <f t="shared" si="11"/>
        <v>0</v>
      </c>
      <c r="AM20" s="282">
        <f t="shared" si="11"/>
        <v>0</v>
      </c>
      <c r="AN20" s="288">
        <v>0</v>
      </c>
      <c r="AO20" s="289">
        <f t="shared" si="12"/>
        <v>587.73</v>
      </c>
      <c r="AP20" s="281">
        <v>1</v>
      </c>
      <c r="AQ20" s="281">
        <f t="shared" si="13"/>
        <v>0</v>
      </c>
      <c r="AR20" s="282">
        <f t="shared" si="13"/>
        <v>0</v>
      </c>
    </row>
    <row r="21" spans="1:44" ht="33" customHeight="1" x14ac:dyDescent="0.25">
      <c r="A21" s="278">
        <f t="shared" si="14"/>
        <v>13</v>
      </c>
      <c r="B21" s="279" t="s">
        <v>811</v>
      </c>
      <c r="C21" s="284">
        <v>1960</v>
      </c>
      <c r="D21" s="184">
        <v>496.96</v>
      </c>
      <c r="E21" s="281">
        <v>1</v>
      </c>
      <c r="F21" s="281">
        <f t="shared" si="2"/>
        <v>1960</v>
      </c>
      <c r="G21" s="282">
        <f t="shared" si="2"/>
        <v>974041.59999999998</v>
      </c>
      <c r="H21" s="287">
        <v>4856</v>
      </c>
      <c r="I21" s="184">
        <v>496.96</v>
      </c>
      <c r="J21" s="281">
        <v>1</v>
      </c>
      <c r="K21" s="281">
        <f t="shared" si="3"/>
        <v>4856</v>
      </c>
      <c r="L21" s="282">
        <f t="shared" si="3"/>
        <v>2413237.7599999998</v>
      </c>
      <c r="M21" s="284">
        <v>1448</v>
      </c>
      <c r="N21" s="182">
        <v>496.96</v>
      </c>
      <c r="O21" s="281">
        <v>1</v>
      </c>
      <c r="P21" s="281">
        <f t="shared" si="4"/>
        <v>1448</v>
      </c>
      <c r="Q21" s="282">
        <f t="shared" si="4"/>
        <v>719598.07999999996</v>
      </c>
      <c r="R21" s="284">
        <v>0</v>
      </c>
      <c r="S21" s="182">
        <f t="shared" si="16"/>
        <v>525.29</v>
      </c>
      <c r="T21" s="281">
        <v>1</v>
      </c>
      <c r="U21" s="281">
        <f t="shared" si="5"/>
        <v>0</v>
      </c>
      <c r="V21" s="282">
        <f t="shared" si="5"/>
        <v>0</v>
      </c>
      <c r="W21" s="278">
        <f t="shared" si="15"/>
        <v>13</v>
      </c>
      <c r="X21" s="279" t="s">
        <v>811</v>
      </c>
      <c r="Y21" s="284">
        <v>0</v>
      </c>
      <c r="Z21" s="182">
        <f t="shared" si="6"/>
        <v>546.83000000000004</v>
      </c>
      <c r="AA21" s="281">
        <v>1</v>
      </c>
      <c r="AB21" s="281">
        <f t="shared" si="7"/>
        <v>0</v>
      </c>
      <c r="AC21" s="282">
        <f t="shared" si="7"/>
        <v>0</v>
      </c>
      <c r="AD21" s="284">
        <v>0</v>
      </c>
      <c r="AE21" s="182">
        <f t="shared" si="8"/>
        <v>561.04999999999995</v>
      </c>
      <c r="AF21" s="281">
        <v>1</v>
      </c>
      <c r="AG21" s="281">
        <f t="shared" si="9"/>
        <v>0</v>
      </c>
      <c r="AH21" s="282">
        <f t="shared" si="9"/>
        <v>0</v>
      </c>
      <c r="AI21" s="288">
        <v>0</v>
      </c>
      <c r="AJ21" s="289">
        <f t="shared" si="10"/>
        <v>575.64</v>
      </c>
      <c r="AK21" s="281">
        <v>1</v>
      </c>
      <c r="AL21" s="281">
        <f t="shared" si="11"/>
        <v>0</v>
      </c>
      <c r="AM21" s="282">
        <f t="shared" si="11"/>
        <v>0</v>
      </c>
      <c r="AN21" s="288">
        <v>0</v>
      </c>
      <c r="AO21" s="289">
        <f t="shared" si="12"/>
        <v>587.73</v>
      </c>
      <c r="AP21" s="281">
        <v>1</v>
      </c>
      <c r="AQ21" s="281">
        <f t="shared" si="13"/>
        <v>0</v>
      </c>
      <c r="AR21" s="282">
        <f t="shared" si="13"/>
        <v>0</v>
      </c>
    </row>
    <row r="22" spans="1:44" ht="30.75" thickBot="1" x14ac:dyDescent="0.3">
      <c r="A22" s="290">
        <f t="shared" si="14"/>
        <v>14</v>
      </c>
      <c r="B22" s="291" t="s">
        <v>810</v>
      </c>
      <c r="C22" s="292">
        <v>0</v>
      </c>
      <c r="D22" s="183">
        <v>496.96</v>
      </c>
      <c r="E22" s="293">
        <v>1</v>
      </c>
      <c r="F22" s="293">
        <f t="shared" si="2"/>
        <v>0</v>
      </c>
      <c r="G22" s="294">
        <f t="shared" si="2"/>
        <v>0</v>
      </c>
      <c r="H22" s="295">
        <v>1789</v>
      </c>
      <c r="I22" s="182">
        <v>496.96</v>
      </c>
      <c r="J22" s="296">
        <v>1</v>
      </c>
      <c r="K22" s="296">
        <f t="shared" si="3"/>
        <v>1789</v>
      </c>
      <c r="L22" s="297">
        <f t="shared" si="3"/>
        <v>889061.44</v>
      </c>
      <c r="M22" s="298">
        <v>527.16</v>
      </c>
      <c r="N22" s="182">
        <v>496.96</v>
      </c>
      <c r="O22" s="296">
        <v>1</v>
      </c>
      <c r="P22" s="296">
        <f t="shared" si="4"/>
        <v>527.16</v>
      </c>
      <c r="Q22" s="297">
        <f t="shared" si="4"/>
        <v>261977.43359999996</v>
      </c>
      <c r="R22" s="292">
        <v>0</v>
      </c>
      <c r="S22" s="183">
        <f t="shared" si="16"/>
        <v>525.29</v>
      </c>
      <c r="T22" s="293">
        <v>1</v>
      </c>
      <c r="U22" s="293">
        <f t="shared" si="5"/>
        <v>0</v>
      </c>
      <c r="V22" s="294">
        <f t="shared" si="5"/>
        <v>0</v>
      </c>
      <c r="W22" s="290">
        <f t="shared" si="15"/>
        <v>14</v>
      </c>
      <c r="X22" s="291" t="s">
        <v>810</v>
      </c>
      <c r="Y22" s="298">
        <v>0</v>
      </c>
      <c r="Z22" s="182">
        <f t="shared" si="6"/>
        <v>546.83000000000004</v>
      </c>
      <c r="AA22" s="296">
        <v>1</v>
      </c>
      <c r="AB22" s="296">
        <f t="shared" si="7"/>
        <v>0</v>
      </c>
      <c r="AC22" s="297">
        <f t="shared" si="7"/>
        <v>0</v>
      </c>
      <c r="AD22" s="298">
        <v>0</v>
      </c>
      <c r="AE22" s="182">
        <f t="shared" si="8"/>
        <v>561.04999999999995</v>
      </c>
      <c r="AF22" s="296">
        <v>1</v>
      </c>
      <c r="AG22" s="296">
        <f t="shared" si="9"/>
        <v>0</v>
      </c>
      <c r="AH22" s="297">
        <f t="shared" si="9"/>
        <v>0</v>
      </c>
      <c r="AI22" s="299">
        <v>0</v>
      </c>
      <c r="AJ22" s="289">
        <f t="shared" si="10"/>
        <v>575.64</v>
      </c>
      <c r="AK22" s="296">
        <v>1</v>
      </c>
      <c r="AL22" s="296">
        <f t="shared" si="11"/>
        <v>0</v>
      </c>
      <c r="AM22" s="297">
        <f t="shared" si="11"/>
        <v>0</v>
      </c>
      <c r="AN22" s="299">
        <v>0</v>
      </c>
      <c r="AO22" s="289">
        <f t="shared" si="12"/>
        <v>587.73</v>
      </c>
      <c r="AP22" s="296">
        <v>1</v>
      </c>
      <c r="AQ22" s="296">
        <f t="shared" si="13"/>
        <v>0</v>
      </c>
      <c r="AR22" s="297">
        <f t="shared" si="13"/>
        <v>0</v>
      </c>
    </row>
    <row r="23" spans="1:44" ht="45" x14ac:dyDescent="0.25">
      <c r="A23" s="300" t="s">
        <v>809</v>
      </c>
      <c r="B23" s="301" t="s">
        <v>808</v>
      </c>
      <c r="C23" s="302">
        <v>0</v>
      </c>
      <c r="D23" s="185">
        <v>496.96</v>
      </c>
      <c r="E23" s="303">
        <v>1</v>
      </c>
      <c r="F23" s="304">
        <f t="shared" si="2"/>
        <v>0</v>
      </c>
      <c r="G23" s="305">
        <f t="shared" si="2"/>
        <v>0</v>
      </c>
      <c r="H23" s="302">
        <v>0</v>
      </c>
      <c r="I23" s="185">
        <v>496.96</v>
      </c>
      <c r="J23" s="303">
        <v>1</v>
      </c>
      <c r="K23" s="304">
        <f t="shared" si="3"/>
        <v>0</v>
      </c>
      <c r="L23" s="305">
        <f t="shared" si="3"/>
        <v>0</v>
      </c>
      <c r="M23" s="306">
        <v>498</v>
      </c>
      <c r="N23" s="307">
        <v>496.96</v>
      </c>
      <c r="O23" s="308">
        <v>1</v>
      </c>
      <c r="P23" s="309">
        <f t="shared" si="4"/>
        <v>498</v>
      </c>
      <c r="Q23" s="310">
        <f t="shared" si="4"/>
        <v>247486.07999999999</v>
      </c>
      <c r="R23" s="302">
        <v>0</v>
      </c>
      <c r="S23" s="185">
        <f t="shared" si="16"/>
        <v>525.29</v>
      </c>
      <c r="T23" s="303">
        <v>1</v>
      </c>
      <c r="U23" s="304">
        <f t="shared" si="5"/>
        <v>0</v>
      </c>
      <c r="V23" s="305">
        <f t="shared" si="5"/>
        <v>0</v>
      </c>
      <c r="W23" s="300" t="s">
        <v>809</v>
      </c>
      <c r="X23" s="301" t="s">
        <v>808</v>
      </c>
      <c r="Y23" s="302">
        <v>0</v>
      </c>
      <c r="Z23" s="185">
        <f t="shared" si="6"/>
        <v>546.83000000000004</v>
      </c>
      <c r="AA23" s="303">
        <v>1</v>
      </c>
      <c r="AB23" s="304">
        <f t="shared" si="7"/>
        <v>0</v>
      </c>
      <c r="AC23" s="305">
        <f t="shared" si="7"/>
        <v>0</v>
      </c>
      <c r="AD23" s="302">
        <v>0</v>
      </c>
      <c r="AE23" s="185">
        <f t="shared" si="8"/>
        <v>561.04999999999995</v>
      </c>
      <c r="AF23" s="303">
        <v>1</v>
      </c>
      <c r="AG23" s="304">
        <f t="shared" si="9"/>
        <v>0</v>
      </c>
      <c r="AH23" s="305">
        <f t="shared" si="9"/>
        <v>0</v>
      </c>
      <c r="AI23" s="311">
        <v>0</v>
      </c>
      <c r="AJ23" s="312">
        <f t="shared" si="10"/>
        <v>575.64</v>
      </c>
      <c r="AK23" s="303">
        <v>1</v>
      </c>
      <c r="AL23" s="304">
        <f t="shared" si="11"/>
        <v>0</v>
      </c>
      <c r="AM23" s="305">
        <f t="shared" si="11"/>
        <v>0</v>
      </c>
      <c r="AN23" s="311">
        <v>0</v>
      </c>
      <c r="AO23" s="312">
        <f t="shared" si="12"/>
        <v>587.73</v>
      </c>
      <c r="AP23" s="303">
        <v>1</v>
      </c>
      <c r="AQ23" s="304">
        <f t="shared" si="13"/>
        <v>0</v>
      </c>
      <c r="AR23" s="305">
        <f t="shared" si="13"/>
        <v>0</v>
      </c>
    </row>
    <row r="24" spans="1:44" ht="45" x14ac:dyDescent="0.25">
      <c r="A24" s="278" t="s">
        <v>807</v>
      </c>
      <c r="B24" s="313" t="s">
        <v>806</v>
      </c>
      <c r="C24" s="284">
        <v>0</v>
      </c>
      <c r="D24" s="182">
        <v>496.96</v>
      </c>
      <c r="E24" s="296">
        <v>1</v>
      </c>
      <c r="F24" s="281">
        <f t="shared" si="2"/>
        <v>0</v>
      </c>
      <c r="G24" s="282">
        <f t="shared" si="2"/>
        <v>0</v>
      </c>
      <c r="H24" s="284">
        <v>0</v>
      </c>
      <c r="I24" s="182">
        <v>496.96</v>
      </c>
      <c r="J24" s="296">
        <v>1</v>
      </c>
      <c r="K24" s="281">
        <f t="shared" si="3"/>
        <v>0</v>
      </c>
      <c r="L24" s="282">
        <f t="shared" si="3"/>
        <v>0</v>
      </c>
      <c r="M24" s="314">
        <v>389</v>
      </c>
      <c r="N24" s="315">
        <v>496.96</v>
      </c>
      <c r="O24" s="316">
        <v>1</v>
      </c>
      <c r="P24" s="317">
        <f t="shared" si="4"/>
        <v>389</v>
      </c>
      <c r="Q24" s="318">
        <f t="shared" si="4"/>
        <v>193317.44</v>
      </c>
      <c r="R24" s="284">
        <v>0</v>
      </c>
      <c r="S24" s="182">
        <f t="shared" si="16"/>
        <v>525.29</v>
      </c>
      <c r="T24" s="296">
        <v>1</v>
      </c>
      <c r="U24" s="281">
        <f t="shared" si="5"/>
        <v>0</v>
      </c>
      <c r="V24" s="282">
        <f t="shared" si="5"/>
        <v>0</v>
      </c>
      <c r="W24" s="278" t="s">
        <v>807</v>
      </c>
      <c r="X24" s="313" t="s">
        <v>806</v>
      </c>
      <c r="Y24" s="284">
        <v>0</v>
      </c>
      <c r="Z24" s="182">
        <f t="shared" si="6"/>
        <v>546.83000000000004</v>
      </c>
      <c r="AA24" s="296">
        <v>1</v>
      </c>
      <c r="AB24" s="281">
        <f t="shared" si="7"/>
        <v>0</v>
      </c>
      <c r="AC24" s="282">
        <f t="shared" si="7"/>
        <v>0</v>
      </c>
      <c r="AD24" s="284">
        <v>0</v>
      </c>
      <c r="AE24" s="182">
        <f t="shared" si="8"/>
        <v>561.04999999999995</v>
      </c>
      <c r="AF24" s="296">
        <v>1</v>
      </c>
      <c r="AG24" s="281">
        <f t="shared" si="9"/>
        <v>0</v>
      </c>
      <c r="AH24" s="282">
        <f t="shared" si="9"/>
        <v>0</v>
      </c>
      <c r="AI24" s="285">
        <v>0</v>
      </c>
      <c r="AJ24" s="319">
        <f t="shared" si="10"/>
        <v>575.64</v>
      </c>
      <c r="AK24" s="296">
        <v>1</v>
      </c>
      <c r="AL24" s="281">
        <f t="shared" si="11"/>
        <v>0</v>
      </c>
      <c r="AM24" s="282">
        <f t="shared" si="11"/>
        <v>0</v>
      </c>
      <c r="AN24" s="285">
        <v>0</v>
      </c>
      <c r="AO24" s="319">
        <f t="shared" si="12"/>
        <v>587.73</v>
      </c>
      <c r="AP24" s="296">
        <v>1</v>
      </c>
      <c r="AQ24" s="281">
        <f t="shared" si="13"/>
        <v>0</v>
      </c>
      <c r="AR24" s="282">
        <f t="shared" si="13"/>
        <v>0</v>
      </c>
    </row>
    <row r="25" spans="1:44" ht="44.1" customHeight="1" x14ac:dyDescent="0.25">
      <c r="A25" s="278" t="s">
        <v>805</v>
      </c>
      <c r="B25" s="313" t="s">
        <v>804</v>
      </c>
      <c r="C25" s="284">
        <v>0</v>
      </c>
      <c r="D25" s="182">
        <v>496.96</v>
      </c>
      <c r="E25" s="296">
        <v>1</v>
      </c>
      <c r="F25" s="281">
        <f t="shared" ref="F25:G40" si="17">C25*E25</f>
        <v>0</v>
      </c>
      <c r="G25" s="282">
        <f t="shared" si="17"/>
        <v>0</v>
      </c>
      <c r="H25" s="284">
        <v>0</v>
      </c>
      <c r="I25" s="182">
        <v>496.96</v>
      </c>
      <c r="J25" s="296">
        <v>1</v>
      </c>
      <c r="K25" s="281">
        <f t="shared" ref="K25:L40" si="18">H25*J25</f>
        <v>0</v>
      </c>
      <c r="L25" s="282">
        <f t="shared" si="18"/>
        <v>0</v>
      </c>
      <c r="M25" s="314">
        <v>2184</v>
      </c>
      <c r="N25" s="315">
        <v>496.96</v>
      </c>
      <c r="O25" s="316">
        <v>1</v>
      </c>
      <c r="P25" s="317">
        <f t="shared" ref="P25:Q40" si="19">M25*O25</f>
        <v>2184</v>
      </c>
      <c r="Q25" s="318">
        <f t="shared" si="19"/>
        <v>1085360.6399999999</v>
      </c>
      <c r="R25" s="284">
        <v>0</v>
      </c>
      <c r="S25" s="182">
        <f t="shared" si="16"/>
        <v>525.29</v>
      </c>
      <c r="T25" s="296">
        <v>1</v>
      </c>
      <c r="U25" s="281">
        <f t="shared" si="5"/>
        <v>0</v>
      </c>
      <c r="V25" s="282">
        <f t="shared" si="5"/>
        <v>0</v>
      </c>
      <c r="W25" s="278" t="s">
        <v>805</v>
      </c>
      <c r="X25" s="313" t="s">
        <v>804</v>
      </c>
      <c r="Y25" s="284">
        <v>0</v>
      </c>
      <c r="Z25" s="182">
        <f t="shared" si="6"/>
        <v>546.83000000000004</v>
      </c>
      <c r="AA25" s="296">
        <v>1</v>
      </c>
      <c r="AB25" s="281">
        <f t="shared" si="7"/>
        <v>0</v>
      </c>
      <c r="AC25" s="282">
        <f t="shared" si="7"/>
        <v>0</v>
      </c>
      <c r="AD25" s="284">
        <v>0</v>
      </c>
      <c r="AE25" s="182">
        <f t="shared" si="8"/>
        <v>561.04999999999995</v>
      </c>
      <c r="AF25" s="296">
        <v>1</v>
      </c>
      <c r="AG25" s="281">
        <f t="shared" si="9"/>
        <v>0</v>
      </c>
      <c r="AH25" s="282">
        <f t="shared" si="9"/>
        <v>0</v>
      </c>
      <c r="AI25" s="285">
        <v>0</v>
      </c>
      <c r="AJ25" s="319">
        <f t="shared" si="10"/>
        <v>575.64</v>
      </c>
      <c r="AK25" s="296">
        <v>1</v>
      </c>
      <c r="AL25" s="281">
        <f t="shared" si="11"/>
        <v>0</v>
      </c>
      <c r="AM25" s="282">
        <f t="shared" si="11"/>
        <v>0</v>
      </c>
      <c r="AN25" s="285">
        <v>0</v>
      </c>
      <c r="AO25" s="319">
        <f t="shared" si="12"/>
        <v>587.73</v>
      </c>
      <c r="AP25" s="296">
        <v>1</v>
      </c>
      <c r="AQ25" s="281">
        <f t="shared" si="13"/>
        <v>0</v>
      </c>
      <c r="AR25" s="282">
        <f t="shared" si="13"/>
        <v>0</v>
      </c>
    </row>
    <row r="26" spans="1:44" ht="60.75" thickBot="1" x14ac:dyDescent="0.3">
      <c r="A26" s="262" t="s">
        <v>803</v>
      </c>
      <c r="B26" s="320" t="s">
        <v>802</v>
      </c>
      <c r="C26" s="292">
        <v>0</v>
      </c>
      <c r="D26" s="183">
        <v>496.96</v>
      </c>
      <c r="E26" s="293">
        <v>1</v>
      </c>
      <c r="F26" s="293">
        <f t="shared" si="17"/>
        <v>0</v>
      </c>
      <c r="G26" s="294">
        <f t="shared" si="17"/>
        <v>0</v>
      </c>
      <c r="H26" s="292">
        <v>0</v>
      </c>
      <c r="I26" s="183">
        <v>496.96</v>
      </c>
      <c r="J26" s="293">
        <v>1</v>
      </c>
      <c r="K26" s="293">
        <f t="shared" si="18"/>
        <v>0</v>
      </c>
      <c r="L26" s="294">
        <f t="shared" si="18"/>
        <v>0</v>
      </c>
      <c r="M26" s="321">
        <v>1408</v>
      </c>
      <c r="N26" s="322">
        <v>496.96</v>
      </c>
      <c r="O26" s="323">
        <v>1</v>
      </c>
      <c r="P26" s="323">
        <f t="shared" si="19"/>
        <v>1408</v>
      </c>
      <c r="Q26" s="324">
        <f t="shared" si="19"/>
        <v>699719.67999999993</v>
      </c>
      <c r="R26" s="292">
        <v>0</v>
      </c>
      <c r="S26" s="183">
        <f t="shared" si="16"/>
        <v>525.29</v>
      </c>
      <c r="T26" s="293">
        <v>1</v>
      </c>
      <c r="U26" s="293">
        <f t="shared" si="5"/>
        <v>0</v>
      </c>
      <c r="V26" s="294">
        <f t="shared" si="5"/>
        <v>0</v>
      </c>
      <c r="W26" s="262" t="s">
        <v>803</v>
      </c>
      <c r="X26" s="320" t="s">
        <v>802</v>
      </c>
      <c r="Y26" s="292">
        <v>0</v>
      </c>
      <c r="Z26" s="183">
        <f t="shared" si="6"/>
        <v>546.83000000000004</v>
      </c>
      <c r="AA26" s="293">
        <v>1</v>
      </c>
      <c r="AB26" s="293">
        <f t="shared" si="7"/>
        <v>0</v>
      </c>
      <c r="AC26" s="294">
        <f t="shared" si="7"/>
        <v>0</v>
      </c>
      <c r="AD26" s="292">
        <v>0</v>
      </c>
      <c r="AE26" s="183">
        <f t="shared" si="8"/>
        <v>561.04999999999995</v>
      </c>
      <c r="AF26" s="293">
        <v>1</v>
      </c>
      <c r="AG26" s="293">
        <f t="shared" si="9"/>
        <v>0</v>
      </c>
      <c r="AH26" s="294">
        <f t="shared" si="9"/>
        <v>0</v>
      </c>
      <c r="AI26" s="325">
        <v>0</v>
      </c>
      <c r="AJ26" s="326">
        <f t="shared" si="10"/>
        <v>575.64</v>
      </c>
      <c r="AK26" s="293">
        <v>1</v>
      </c>
      <c r="AL26" s="293">
        <f t="shared" si="11"/>
        <v>0</v>
      </c>
      <c r="AM26" s="294">
        <f t="shared" si="11"/>
        <v>0</v>
      </c>
      <c r="AN26" s="325">
        <v>0</v>
      </c>
      <c r="AO26" s="326">
        <f t="shared" si="12"/>
        <v>587.73</v>
      </c>
      <c r="AP26" s="293">
        <v>1</v>
      </c>
      <c r="AQ26" s="293">
        <f t="shared" si="13"/>
        <v>0</v>
      </c>
      <c r="AR26" s="294">
        <f t="shared" si="13"/>
        <v>0</v>
      </c>
    </row>
    <row r="27" spans="1:44" ht="45" x14ac:dyDescent="0.25">
      <c r="A27" s="300" t="s">
        <v>801</v>
      </c>
      <c r="B27" s="301" t="s">
        <v>800</v>
      </c>
      <c r="C27" s="327">
        <v>0</v>
      </c>
      <c r="D27" s="185">
        <v>496.96</v>
      </c>
      <c r="E27" s="303">
        <v>1</v>
      </c>
      <c r="F27" s="304">
        <f t="shared" si="17"/>
        <v>0</v>
      </c>
      <c r="G27" s="305">
        <f t="shared" si="17"/>
        <v>0</v>
      </c>
      <c r="H27" s="302">
        <v>0</v>
      </c>
      <c r="I27" s="185">
        <v>496.96</v>
      </c>
      <c r="J27" s="303">
        <v>1</v>
      </c>
      <c r="K27" s="304">
        <f t="shared" si="18"/>
        <v>0</v>
      </c>
      <c r="L27" s="305">
        <f t="shared" si="18"/>
        <v>0</v>
      </c>
      <c r="M27" s="327">
        <v>0</v>
      </c>
      <c r="N27" s="185">
        <v>496.96</v>
      </c>
      <c r="O27" s="303">
        <v>1</v>
      </c>
      <c r="P27" s="304">
        <f t="shared" si="19"/>
        <v>0</v>
      </c>
      <c r="Q27" s="305">
        <f t="shared" si="19"/>
        <v>0</v>
      </c>
      <c r="R27" s="306">
        <v>498</v>
      </c>
      <c r="S27" s="307">
        <f t="shared" si="16"/>
        <v>525.29</v>
      </c>
      <c r="T27" s="308">
        <v>1</v>
      </c>
      <c r="U27" s="309">
        <f t="shared" ref="U27:V42" si="20">R27*T27</f>
        <v>498</v>
      </c>
      <c r="V27" s="310">
        <f t="shared" si="20"/>
        <v>261594.41999999998</v>
      </c>
      <c r="W27" s="300" t="s">
        <v>801</v>
      </c>
      <c r="X27" s="301" t="s">
        <v>800</v>
      </c>
      <c r="Y27" s="302">
        <v>0</v>
      </c>
      <c r="Z27" s="185">
        <f t="shared" si="6"/>
        <v>546.83000000000004</v>
      </c>
      <c r="AA27" s="303">
        <v>1</v>
      </c>
      <c r="AB27" s="304">
        <f t="shared" ref="AB27:AC42" si="21">Y27*AA27</f>
        <v>0</v>
      </c>
      <c r="AC27" s="305">
        <f t="shared" si="21"/>
        <v>0</v>
      </c>
      <c r="AD27" s="302">
        <v>0</v>
      </c>
      <c r="AE27" s="185">
        <f t="shared" si="8"/>
        <v>561.04999999999995</v>
      </c>
      <c r="AF27" s="303">
        <v>1</v>
      </c>
      <c r="AG27" s="304">
        <f t="shared" ref="AG27:AH42" si="22">AD27*AF27</f>
        <v>0</v>
      </c>
      <c r="AH27" s="305">
        <f t="shared" si="22"/>
        <v>0</v>
      </c>
      <c r="AI27" s="311">
        <v>0</v>
      </c>
      <c r="AJ27" s="312">
        <f t="shared" si="10"/>
        <v>575.64</v>
      </c>
      <c r="AK27" s="303">
        <v>1</v>
      </c>
      <c r="AL27" s="304">
        <f t="shared" ref="AL27:AM42" si="23">AI27*AK27</f>
        <v>0</v>
      </c>
      <c r="AM27" s="305">
        <f t="shared" si="23"/>
        <v>0</v>
      </c>
      <c r="AN27" s="311">
        <v>0</v>
      </c>
      <c r="AO27" s="312">
        <f t="shared" si="12"/>
        <v>587.73</v>
      </c>
      <c r="AP27" s="303">
        <v>1</v>
      </c>
      <c r="AQ27" s="304">
        <f t="shared" ref="AQ27:AR42" si="24">AN27*AP27</f>
        <v>0</v>
      </c>
      <c r="AR27" s="305">
        <f t="shared" si="24"/>
        <v>0</v>
      </c>
    </row>
    <row r="28" spans="1:44" ht="45" x14ac:dyDescent="0.25">
      <c r="A28" s="278" t="s">
        <v>799</v>
      </c>
      <c r="B28" s="313" t="s">
        <v>798</v>
      </c>
      <c r="C28" s="287">
        <v>0</v>
      </c>
      <c r="D28" s="184">
        <v>496.96</v>
      </c>
      <c r="E28" s="281">
        <v>1</v>
      </c>
      <c r="F28" s="281">
        <f t="shared" si="17"/>
        <v>0</v>
      </c>
      <c r="G28" s="282">
        <f t="shared" si="17"/>
        <v>0</v>
      </c>
      <c r="H28" s="284">
        <v>0</v>
      </c>
      <c r="I28" s="184">
        <v>496.96</v>
      </c>
      <c r="J28" s="281">
        <v>1</v>
      </c>
      <c r="K28" s="281">
        <f t="shared" si="18"/>
        <v>0</v>
      </c>
      <c r="L28" s="282">
        <f t="shared" si="18"/>
        <v>0</v>
      </c>
      <c r="M28" s="287">
        <v>0</v>
      </c>
      <c r="N28" s="182">
        <v>496.96</v>
      </c>
      <c r="O28" s="296">
        <v>1</v>
      </c>
      <c r="P28" s="281">
        <f t="shared" si="19"/>
        <v>0</v>
      </c>
      <c r="Q28" s="282">
        <f t="shared" si="19"/>
        <v>0</v>
      </c>
      <c r="R28" s="314">
        <v>389</v>
      </c>
      <c r="S28" s="315">
        <f t="shared" si="16"/>
        <v>525.29</v>
      </c>
      <c r="T28" s="316">
        <v>1</v>
      </c>
      <c r="U28" s="317">
        <f t="shared" si="20"/>
        <v>389</v>
      </c>
      <c r="V28" s="318">
        <f t="shared" si="20"/>
        <v>204337.81</v>
      </c>
      <c r="W28" s="278" t="s">
        <v>799</v>
      </c>
      <c r="X28" s="313" t="s">
        <v>798</v>
      </c>
      <c r="Y28" s="284">
        <v>0</v>
      </c>
      <c r="Z28" s="182">
        <f t="shared" si="6"/>
        <v>546.83000000000004</v>
      </c>
      <c r="AA28" s="296">
        <v>1</v>
      </c>
      <c r="AB28" s="281">
        <f t="shared" si="21"/>
        <v>0</v>
      </c>
      <c r="AC28" s="282">
        <f t="shared" si="21"/>
        <v>0</v>
      </c>
      <c r="AD28" s="284">
        <v>0</v>
      </c>
      <c r="AE28" s="182">
        <f t="shared" si="8"/>
        <v>561.04999999999995</v>
      </c>
      <c r="AF28" s="296">
        <v>1</v>
      </c>
      <c r="AG28" s="281">
        <f t="shared" si="22"/>
        <v>0</v>
      </c>
      <c r="AH28" s="282">
        <f t="shared" si="22"/>
        <v>0</v>
      </c>
      <c r="AI28" s="285">
        <v>0</v>
      </c>
      <c r="AJ28" s="319">
        <f t="shared" si="10"/>
        <v>575.64</v>
      </c>
      <c r="AK28" s="296">
        <v>1</v>
      </c>
      <c r="AL28" s="281">
        <f t="shared" si="23"/>
        <v>0</v>
      </c>
      <c r="AM28" s="282">
        <f t="shared" si="23"/>
        <v>0</v>
      </c>
      <c r="AN28" s="285">
        <v>0</v>
      </c>
      <c r="AO28" s="319">
        <f t="shared" si="12"/>
        <v>587.73</v>
      </c>
      <c r="AP28" s="296">
        <v>1</v>
      </c>
      <c r="AQ28" s="281">
        <f t="shared" si="24"/>
        <v>0</v>
      </c>
      <c r="AR28" s="282">
        <f t="shared" si="24"/>
        <v>0</v>
      </c>
    </row>
    <row r="29" spans="1:44" ht="45" customHeight="1" x14ac:dyDescent="0.25">
      <c r="A29" s="278" t="s">
        <v>797</v>
      </c>
      <c r="B29" s="313" t="s">
        <v>796</v>
      </c>
      <c r="C29" s="287">
        <v>0</v>
      </c>
      <c r="D29" s="184">
        <v>496.96</v>
      </c>
      <c r="E29" s="281">
        <v>1</v>
      </c>
      <c r="F29" s="281">
        <f t="shared" si="17"/>
        <v>0</v>
      </c>
      <c r="G29" s="282">
        <f t="shared" si="17"/>
        <v>0</v>
      </c>
      <c r="H29" s="284">
        <v>0</v>
      </c>
      <c r="I29" s="184">
        <v>496.96</v>
      </c>
      <c r="J29" s="281">
        <v>1</v>
      </c>
      <c r="K29" s="281">
        <f t="shared" si="18"/>
        <v>0</v>
      </c>
      <c r="L29" s="282">
        <f t="shared" si="18"/>
        <v>0</v>
      </c>
      <c r="M29" s="287">
        <v>0</v>
      </c>
      <c r="N29" s="182">
        <v>496.96</v>
      </c>
      <c r="O29" s="296">
        <v>1</v>
      </c>
      <c r="P29" s="281">
        <f t="shared" si="19"/>
        <v>0</v>
      </c>
      <c r="Q29" s="282">
        <f t="shared" si="19"/>
        <v>0</v>
      </c>
      <c r="R29" s="314">
        <v>2184</v>
      </c>
      <c r="S29" s="315">
        <f t="shared" si="16"/>
        <v>525.29</v>
      </c>
      <c r="T29" s="316">
        <v>1</v>
      </c>
      <c r="U29" s="317">
        <f t="shared" si="20"/>
        <v>2184</v>
      </c>
      <c r="V29" s="318">
        <f t="shared" si="20"/>
        <v>1147233.3599999999</v>
      </c>
      <c r="W29" s="278" t="s">
        <v>797</v>
      </c>
      <c r="X29" s="313" t="s">
        <v>796</v>
      </c>
      <c r="Y29" s="284">
        <v>0</v>
      </c>
      <c r="Z29" s="182">
        <f t="shared" si="6"/>
        <v>546.83000000000004</v>
      </c>
      <c r="AA29" s="296">
        <v>1</v>
      </c>
      <c r="AB29" s="281">
        <f t="shared" si="21"/>
        <v>0</v>
      </c>
      <c r="AC29" s="282">
        <f t="shared" si="21"/>
        <v>0</v>
      </c>
      <c r="AD29" s="284">
        <v>0</v>
      </c>
      <c r="AE29" s="182">
        <f t="shared" si="8"/>
        <v>561.04999999999995</v>
      </c>
      <c r="AF29" s="296">
        <v>1</v>
      </c>
      <c r="AG29" s="281">
        <f t="shared" si="22"/>
        <v>0</v>
      </c>
      <c r="AH29" s="282">
        <f t="shared" si="22"/>
        <v>0</v>
      </c>
      <c r="AI29" s="285">
        <v>0</v>
      </c>
      <c r="AJ29" s="319">
        <f t="shared" si="10"/>
        <v>575.64</v>
      </c>
      <c r="AK29" s="296">
        <v>1</v>
      </c>
      <c r="AL29" s="281">
        <f t="shared" si="23"/>
        <v>0</v>
      </c>
      <c r="AM29" s="282">
        <f t="shared" si="23"/>
        <v>0</v>
      </c>
      <c r="AN29" s="285">
        <v>0</v>
      </c>
      <c r="AO29" s="319">
        <f t="shared" si="12"/>
        <v>587.73</v>
      </c>
      <c r="AP29" s="296">
        <v>1</v>
      </c>
      <c r="AQ29" s="281">
        <f t="shared" si="24"/>
        <v>0</v>
      </c>
      <c r="AR29" s="282">
        <f t="shared" si="24"/>
        <v>0</v>
      </c>
    </row>
    <row r="30" spans="1:44" ht="60.75" thickBot="1" x14ac:dyDescent="0.3">
      <c r="A30" s="262" t="s">
        <v>795</v>
      </c>
      <c r="B30" s="320" t="s">
        <v>794</v>
      </c>
      <c r="C30" s="328">
        <v>0</v>
      </c>
      <c r="D30" s="183">
        <v>496.96</v>
      </c>
      <c r="E30" s="293">
        <v>1</v>
      </c>
      <c r="F30" s="293">
        <f t="shared" si="17"/>
        <v>0</v>
      </c>
      <c r="G30" s="294">
        <f t="shared" si="17"/>
        <v>0</v>
      </c>
      <c r="H30" s="292">
        <v>0</v>
      </c>
      <c r="I30" s="183">
        <v>496.96</v>
      </c>
      <c r="J30" s="293">
        <v>1</v>
      </c>
      <c r="K30" s="293">
        <f t="shared" si="18"/>
        <v>0</v>
      </c>
      <c r="L30" s="294">
        <f t="shared" si="18"/>
        <v>0</v>
      </c>
      <c r="M30" s="328">
        <v>0</v>
      </c>
      <c r="N30" s="183">
        <v>496.96</v>
      </c>
      <c r="O30" s="293">
        <v>1</v>
      </c>
      <c r="P30" s="293">
        <f t="shared" si="19"/>
        <v>0</v>
      </c>
      <c r="Q30" s="294">
        <f t="shared" si="19"/>
        <v>0</v>
      </c>
      <c r="R30" s="321">
        <v>1408</v>
      </c>
      <c r="S30" s="322">
        <f t="shared" si="16"/>
        <v>525.29</v>
      </c>
      <c r="T30" s="323">
        <v>1</v>
      </c>
      <c r="U30" s="323">
        <f t="shared" si="20"/>
        <v>1408</v>
      </c>
      <c r="V30" s="324">
        <f t="shared" si="20"/>
        <v>739608.32</v>
      </c>
      <c r="W30" s="262" t="s">
        <v>795</v>
      </c>
      <c r="X30" s="320" t="s">
        <v>794</v>
      </c>
      <c r="Y30" s="292">
        <v>0</v>
      </c>
      <c r="Z30" s="183">
        <f t="shared" si="6"/>
        <v>546.83000000000004</v>
      </c>
      <c r="AA30" s="293">
        <v>1</v>
      </c>
      <c r="AB30" s="293">
        <f t="shared" si="21"/>
        <v>0</v>
      </c>
      <c r="AC30" s="294">
        <f t="shared" si="21"/>
        <v>0</v>
      </c>
      <c r="AD30" s="292">
        <v>0</v>
      </c>
      <c r="AE30" s="183">
        <f t="shared" si="8"/>
        <v>561.04999999999995</v>
      </c>
      <c r="AF30" s="293">
        <v>1</v>
      </c>
      <c r="AG30" s="293">
        <f t="shared" si="22"/>
        <v>0</v>
      </c>
      <c r="AH30" s="294">
        <f t="shared" si="22"/>
        <v>0</v>
      </c>
      <c r="AI30" s="325">
        <v>0</v>
      </c>
      <c r="AJ30" s="326">
        <f t="shared" si="10"/>
        <v>575.64</v>
      </c>
      <c r="AK30" s="293">
        <v>1</v>
      </c>
      <c r="AL30" s="293">
        <f t="shared" si="23"/>
        <v>0</v>
      </c>
      <c r="AM30" s="294">
        <f t="shared" si="23"/>
        <v>0</v>
      </c>
      <c r="AN30" s="325">
        <v>0</v>
      </c>
      <c r="AO30" s="326">
        <f t="shared" si="12"/>
        <v>587.73</v>
      </c>
      <c r="AP30" s="293">
        <v>1</v>
      </c>
      <c r="AQ30" s="293">
        <f t="shared" si="24"/>
        <v>0</v>
      </c>
      <c r="AR30" s="294">
        <f t="shared" si="24"/>
        <v>0</v>
      </c>
    </row>
    <row r="31" spans="1:44" ht="45" x14ac:dyDescent="0.25">
      <c r="A31" s="300" t="s">
        <v>793</v>
      </c>
      <c r="B31" s="301" t="s">
        <v>792</v>
      </c>
      <c r="C31" s="327">
        <v>0</v>
      </c>
      <c r="D31" s="185">
        <v>496.96</v>
      </c>
      <c r="E31" s="303">
        <v>1</v>
      </c>
      <c r="F31" s="304">
        <f t="shared" si="17"/>
        <v>0</v>
      </c>
      <c r="G31" s="305">
        <f t="shared" si="17"/>
        <v>0</v>
      </c>
      <c r="H31" s="302">
        <v>0</v>
      </c>
      <c r="I31" s="185">
        <v>496.96</v>
      </c>
      <c r="J31" s="303">
        <v>1</v>
      </c>
      <c r="K31" s="304">
        <f t="shared" si="18"/>
        <v>0</v>
      </c>
      <c r="L31" s="305">
        <f t="shared" si="18"/>
        <v>0</v>
      </c>
      <c r="M31" s="327">
        <v>0</v>
      </c>
      <c r="N31" s="185">
        <v>496.96</v>
      </c>
      <c r="O31" s="303">
        <v>1</v>
      </c>
      <c r="P31" s="304">
        <f t="shared" si="19"/>
        <v>0</v>
      </c>
      <c r="Q31" s="305">
        <f t="shared" si="19"/>
        <v>0</v>
      </c>
      <c r="R31" s="306">
        <v>498</v>
      </c>
      <c r="S31" s="307">
        <f t="shared" si="16"/>
        <v>525.29</v>
      </c>
      <c r="T31" s="308">
        <v>1</v>
      </c>
      <c r="U31" s="309">
        <f t="shared" si="20"/>
        <v>498</v>
      </c>
      <c r="V31" s="310">
        <f t="shared" si="20"/>
        <v>261594.41999999998</v>
      </c>
      <c r="W31" s="300" t="s">
        <v>793</v>
      </c>
      <c r="X31" s="301" t="s">
        <v>792</v>
      </c>
      <c r="Y31" s="302">
        <v>0</v>
      </c>
      <c r="Z31" s="185">
        <f t="shared" si="6"/>
        <v>546.83000000000004</v>
      </c>
      <c r="AA31" s="303">
        <v>1</v>
      </c>
      <c r="AB31" s="304">
        <f t="shared" si="21"/>
        <v>0</v>
      </c>
      <c r="AC31" s="305">
        <f t="shared" si="21"/>
        <v>0</v>
      </c>
      <c r="AD31" s="302">
        <v>0</v>
      </c>
      <c r="AE31" s="185">
        <f t="shared" si="8"/>
        <v>561.04999999999995</v>
      </c>
      <c r="AF31" s="303">
        <v>1</v>
      </c>
      <c r="AG31" s="304">
        <f t="shared" si="22"/>
        <v>0</v>
      </c>
      <c r="AH31" s="305">
        <f t="shared" si="22"/>
        <v>0</v>
      </c>
      <c r="AI31" s="311">
        <v>0</v>
      </c>
      <c r="AJ31" s="312">
        <f t="shared" si="10"/>
        <v>575.64</v>
      </c>
      <c r="AK31" s="303">
        <v>1</v>
      </c>
      <c r="AL31" s="304">
        <f t="shared" si="23"/>
        <v>0</v>
      </c>
      <c r="AM31" s="305">
        <f t="shared" si="23"/>
        <v>0</v>
      </c>
      <c r="AN31" s="311">
        <v>0</v>
      </c>
      <c r="AO31" s="312">
        <f t="shared" si="12"/>
        <v>587.73</v>
      </c>
      <c r="AP31" s="303">
        <v>1</v>
      </c>
      <c r="AQ31" s="304">
        <f t="shared" si="24"/>
        <v>0</v>
      </c>
      <c r="AR31" s="305">
        <f t="shared" si="24"/>
        <v>0</v>
      </c>
    </row>
    <row r="32" spans="1:44" ht="45" x14ac:dyDescent="0.25">
      <c r="A32" s="278" t="s">
        <v>791</v>
      </c>
      <c r="B32" s="313" t="s">
        <v>790</v>
      </c>
      <c r="C32" s="287">
        <v>0</v>
      </c>
      <c r="D32" s="184">
        <v>496.96</v>
      </c>
      <c r="E32" s="281">
        <v>1</v>
      </c>
      <c r="F32" s="281">
        <f t="shared" si="17"/>
        <v>0</v>
      </c>
      <c r="G32" s="282">
        <f t="shared" si="17"/>
        <v>0</v>
      </c>
      <c r="H32" s="284">
        <v>0</v>
      </c>
      <c r="I32" s="184">
        <v>496.96</v>
      </c>
      <c r="J32" s="281">
        <v>1</v>
      </c>
      <c r="K32" s="281">
        <f t="shared" si="18"/>
        <v>0</v>
      </c>
      <c r="L32" s="282">
        <f t="shared" si="18"/>
        <v>0</v>
      </c>
      <c r="M32" s="287">
        <v>0</v>
      </c>
      <c r="N32" s="182">
        <v>496.96</v>
      </c>
      <c r="O32" s="296">
        <v>1</v>
      </c>
      <c r="P32" s="281">
        <f t="shared" si="19"/>
        <v>0</v>
      </c>
      <c r="Q32" s="282">
        <f t="shared" si="19"/>
        <v>0</v>
      </c>
      <c r="R32" s="314">
        <v>389</v>
      </c>
      <c r="S32" s="315">
        <f t="shared" si="16"/>
        <v>525.29</v>
      </c>
      <c r="T32" s="316">
        <v>1</v>
      </c>
      <c r="U32" s="317">
        <f t="shared" si="20"/>
        <v>389</v>
      </c>
      <c r="V32" s="318">
        <f t="shared" si="20"/>
        <v>204337.81</v>
      </c>
      <c r="W32" s="278" t="s">
        <v>791</v>
      </c>
      <c r="X32" s="313" t="s">
        <v>790</v>
      </c>
      <c r="Y32" s="284">
        <v>0</v>
      </c>
      <c r="Z32" s="182">
        <f t="shared" si="6"/>
        <v>546.83000000000004</v>
      </c>
      <c r="AA32" s="296">
        <v>1</v>
      </c>
      <c r="AB32" s="281">
        <f t="shared" si="21"/>
        <v>0</v>
      </c>
      <c r="AC32" s="282">
        <f t="shared" si="21"/>
        <v>0</v>
      </c>
      <c r="AD32" s="284">
        <v>0</v>
      </c>
      <c r="AE32" s="182">
        <f t="shared" si="8"/>
        <v>561.04999999999995</v>
      </c>
      <c r="AF32" s="296">
        <v>1</v>
      </c>
      <c r="AG32" s="281">
        <f t="shared" si="22"/>
        <v>0</v>
      </c>
      <c r="AH32" s="282">
        <f t="shared" si="22"/>
        <v>0</v>
      </c>
      <c r="AI32" s="285">
        <v>0</v>
      </c>
      <c r="AJ32" s="319">
        <f t="shared" si="10"/>
        <v>575.64</v>
      </c>
      <c r="AK32" s="296">
        <v>1</v>
      </c>
      <c r="AL32" s="281">
        <f t="shared" si="23"/>
        <v>0</v>
      </c>
      <c r="AM32" s="282">
        <f t="shared" si="23"/>
        <v>0</v>
      </c>
      <c r="AN32" s="285">
        <v>0</v>
      </c>
      <c r="AO32" s="319">
        <f t="shared" si="12"/>
        <v>587.73</v>
      </c>
      <c r="AP32" s="296">
        <v>1</v>
      </c>
      <c r="AQ32" s="281">
        <f t="shared" si="24"/>
        <v>0</v>
      </c>
      <c r="AR32" s="282">
        <f t="shared" si="24"/>
        <v>0</v>
      </c>
    </row>
    <row r="33" spans="1:44" ht="45.95" customHeight="1" x14ac:dyDescent="0.25">
      <c r="A33" s="278" t="s">
        <v>789</v>
      </c>
      <c r="B33" s="313" t="s">
        <v>788</v>
      </c>
      <c r="C33" s="287">
        <v>0</v>
      </c>
      <c r="D33" s="184">
        <v>496.96</v>
      </c>
      <c r="E33" s="281">
        <v>1</v>
      </c>
      <c r="F33" s="281">
        <f t="shared" si="17"/>
        <v>0</v>
      </c>
      <c r="G33" s="282">
        <f t="shared" si="17"/>
        <v>0</v>
      </c>
      <c r="H33" s="284">
        <v>0</v>
      </c>
      <c r="I33" s="184">
        <v>496.96</v>
      </c>
      <c r="J33" s="281">
        <v>1</v>
      </c>
      <c r="K33" s="281">
        <f t="shared" si="18"/>
        <v>0</v>
      </c>
      <c r="L33" s="282">
        <f t="shared" si="18"/>
        <v>0</v>
      </c>
      <c r="M33" s="287">
        <v>0</v>
      </c>
      <c r="N33" s="182">
        <v>496.96</v>
      </c>
      <c r="O33" s="296">
        <v>1</v>
      </c>
      <c r="P33" s="281">
        <f t="shared" si="19"/>
        <v>0</v>
      </c>
      <c r="Q33" s="282">
        <f t="shared" si="19"/>
        <v>0</v>
      </c>
      <c r="R33" s="314">
        <v>1736</v>
      </c>
      <c r="S33" s="315">
        <f t="shared" si="16"/>
        <v>525.29</v>
      </c>
      <c r="T33" s="316">
        <v>1</v>
      </c>
      <c r="U33" s="317">
        <f t="shared" si="20"/>
        <v>1736</v>
      </c>
      <c r="V33" s="318">
        <f t="shared" si="20"/>
        <v>911903.44</v>
      </c>
      <c r="W33" s="278" t="s">
        <v>789</v>
      </c>
      <c r="X33" s="313" t="s">
        <v>788</v>
      </c>
      <c r="Y33" s="284">
        <v>0</v>
      </c>
      <c r="Z33" s="182">
        <f t="shared" si="6"/>
        <v>546.83000000000004</v>
      </c>
      <c r="AA33" s="296">
        <v>1</v>
      </c>
      <c r="AB33" s="281">
        <f t="shared" si="21"/>
        <v>0</v>
      </c>
      <c r="AC33" s="282">
        <f t="shared" si="21"/>
        <v>0</v>
      </c>
      <c r="AD33" s="284">
        <v>0</v>
      </c>
      <c r="AE33" s="182">
        <f t="shared" si="8"/>
        <v>561.04999999999995</v>
      </c>
      <c r="AF33" s="296">
        <v>1</v>
      </c>
      <c r="AG33" s="281">
        <f t="shared" si="22"/>
        <v>0</v>
      </c>
      <c r="AH33" s="282">
        <f t="shared" si="22"/>
        <v>0</v>
      </c>
      <c r="AI33" s="285">
        <v>0</v>
      </c>
      <c r="AJ33" s="319">
        <f t="shared" si="10"/>
        <v>575.64</v>
      </c>
      <c r="AK33" s="296">
        <v>1</v>
      </c>
      <c r="AL33" s="281">
        <f t="shared" si="23"/>
        <v>0</v>
      </c>
      <c r="AM33" s="282">
        <f t="shared" si="23"/>
        <v>0</v>
      </c>
      <c r="AN33" s="285">
        <v>0</v>
      </c>
      <c r="AO33" s="319">
        <f t="shared" si="12"/>
        <v>587.73</v>
      </c>
      <c r="AP33" s="296">
        <v>1</v>
      </c>
      <c r="AQ33" s="281">
        <f t="shared" si="24"/>
        <v>0</v>
      </c>
      <c r="AR33" s="282">
        <f t="shared" si="24"/>
        <v>0</v>
      </c>
    </row>
    <row r="34" spans="1:44" ht="60.75" thickBot="1" x14ac:dyDescent="0.3">
      <c r="A34" s="262" t="s">
        <v>787</v>
      </c>
      <c r="B34" s="320" t="s">
        <v>786</v>
      </c>
      <c r="C34" s="328">
        <v>0</v>
      </c>
      <c r="D34" s="183">
        <v>496.96</v>
      </c>
      <c r="E34" s="293">
        <v>1</v>
      </c>
      <c r="F34" s="293">
        <f t="shared" si="17"/>
        <v>0</v>
      </c>
      <c r="G34" s="294">
        <f t="shared" si="17"/>
        <v>0</v>
      </c>
      <c r="H34" s="292">
        <v>0</v>
      </c>
      <c r="I34" s="183">
        <v>496.96</v>
      </c>
      <c r="J34" s="293">
        <v>1</v>
      </c>
      <c r="K34" s="293">
        <f t="shared" si="18"/>
        <v>0</v>
      </c>
      <c r="L34" s="294">
        <f t="shared" si="18"/>
        <v>0</v>
      </c>
      <c r="M34" s="328">
        <v>0</v>
      </c>
      <c r="N34" s="183">
        <v>496.96</v>
      </c>
      <c r="O34" s="293">
        <v>1</v>
      </c>
      <c r="P34" s="293">
        <f t="shared" si="19"/>
        <v>0</v>
      </c>
      <c r="Q34" s="294">
        <f t="shared" si="19"/>
        <v>0</v>
      </c>
      <c r="R34" s="321">
        <v>1408</v>
      </c>
      <c r="S34" s="322">
        <f t="shared" si="16"/>
        <v>525.29</v>
      </c>
      <c r="T34" s="323">
        <v>1</v>
      </c>
      <c r="U34" s="323">
        <f t="shared" si="20"/>
        <v>1408</v>
      </c>
      <c r="V34" s="324">
        <f t="shared" si="20"/>
        <v>739608.32</v>
      </c>
      <c r="W34" s="262" t="s">
        <v>787</v>
      </c>
      <c r="X34" s="320" t="s">
        <v>786</v>
      </c>
      <c r="Y34" s="292">
        <v>0</v>
      </c>
      <c r="Z34" s="183">
        <f t="shared" si="6"/>
        <v>546.83000000000004</v>
      </c>
      <c r="AA34" s="293">
        <v>1</v>
      </c>
      <c r="AB34" s="293">
        <f t="shared" si="21"/>
        <v>0</v>
      </c>
      <c r="AC34" s="294">
        <f t="shared" si="21"/>
        <v>0</v>
      </c>
      <c r="AD34" s="292">
        <v>0</v>
      </c>
      <c r="AE34" s="183">
        <f t="shared" si="8"/>
        <v>561.04999999999995</v>
      </c>
      <c r="AF34" s="293">
        <v>1</v>
      </c>
      <c r="AG34" s="293">
        <f t="shared" si="22"/>
        <v>0</v>
      </c>
      <c r="AH34" s="294">
        <f t="shared" si="22"/>
        <v>0</v>
      </c>
      <c r="AI34" s="325">
        <v>0</v>
      </c>
      <c r="AJ34" s="326">
        <f t="shared" si="10"/>
        <v>575.64</v>
      </c>
      <c r="AK34" s="293">
        <v>1</v>
      </c>
      <c r="AL34" s="293">
        <f t="shared" si="23"/>
        <v>0</v>
      </c>
      <c r="AM34" s="294">
        <f t="shared" si="23"/>
        <v>0</v>
      </c>
      <c r="AN34" s="325">
        <v>0</v>
      </c>
      <c r="AO34" s="326">
        <f t="shared" si="12"/>
        <v>587.73</v>
      </c>
      <c r="AP34" s="293">
        <v>1</v>
      </c>
      <c r="AQ34" s="293">
        <f t="shared" si="24"/>
        <v>0</v>
      </c>
      <c r="AR34" s="294">
        <f t="shared" si="24"/>
        <v>0</v>
      </c>
    </row>
    <row r="35" spans="1:44" ht="45" x14ac:dyDescent="0.25">
      <c r="A35" s="300" t="s">
        <v>785</v>
      </c>
      <c r="B35" s="301" t="s">
        <v>784</v>
      </c>
      <c r="C35" s="327">
        <v>0</v>
      </c>
      <c r="D35" s="185">
        <v>496.96</v>
      </c>
      <c r="E35" s="303">
        <v>1</v>
      </c>
      <c r="F35" s="304">
        <f t="shared" si="17"/>
        <v>0</v>
      </c>
      <c r="G35" s="305">
        <f t="shared" si="17"/>
        <v>0</v>
      </c>
      <c r="H35" s="302">
        <v>0</v>
      </c>
      <c r="I35" s="185">
        <v>496.96</v>
      </c>
      <c r="J35" s="303">
        <v>1</v>
      </c>
      <c r="K35" s="304">
        <f t="shared" si="18"/>
        <v>0</v>
      </c>
      <c r="L35" s="305">
        <f t="shared" si="18"/>
        <v>0</v>
      </c>
      <c r="M35" s="327">
        <v>0</v>
      </c>
      <c r="N35" s="185">
        <v>496.96</v>
      </c>
      <c r="O35" s="303">
        <v>1</v>
      </c>
      <c r="P35" s="304">
        <f t="shared" si="19"/>
        <v>0</v>
      </c>
      <c r="Q35" s="305">
        <f t="shared" si="19"/>
        <v>0</v>
      </c>
      <c r="R35" s="306">
        <v>498</v>
      </c>
      <c r="S35" s="307">
        <f t="shared" si="16"/>
        <v>525.29</v>
      </c>
      <c r="T35" s="308">
        <v>1</v>
      </c>
      <c r="U35" s="309">
        <f t="shared" si="20"/>
        <v>498</v>
      </c>
      <c r="V35" s="310">
        <f t="shared" si="20"/>
        <v>261594.41999999998</v>
      </c>
      <c r="W35" s="300" t="s">
        <v>785</v>
      </c>
      <c r="X35" s="301" t="s">
        <v>784</v>
      </c>
      <c r="Y35" s="302">
        <v>0</v>
      </c>
      <c r="Z35" s="185">
        <f t="shared" si="6"/>
        <v>546.83000000000004</v>
      </c>
      <c r="AA35" s="303">
        <v>1</v>
      </c>
      <c r="AB35" s="304">
        <f t="shared" si="21"/>
        <v>0</v>
      </c>
      <c r="AC35" s="305">
        <f t="shared" si="21"/>
        <v>0</v>
      </c>
      <c r="AD35" s="302">
        <v>0</v>
      </c>
      <c r="AE35" s="185">
        <f t="shared" si="8"/>
        <v>561.04999999999995</v>
      </c>
      <c r="AF35" s="303">
        <v>1</v>
      </c>
      <c r="AG35" s="304">
        <f t="shared" si="22"/>
        <v>0</v>
      </c>
      <c r="AH35" s="305">
        <f t="shared" si="22"/>
        <v>0</v>
      </c>
      <c r="AI35" s="311">
        <v>0</v>
      </c>
      <c r="AJ35" s="312">
        <f t="shared" si="10"/>
        <v>575.64</v>
      </c>
      <c r="AK35" s="303">
        <v>1</v>
      </c>
      <c r="AL35" s="304">
        <f t="shared" si="23"/>
        <v>0</v>
      </c>
      <c r="AM35" s="305">
        <f t="shared" si="23"/>
        <v>0</v>
      </c>
      <c r="AN35" s="311">
        <v>0</v>
      </c>
      <c r="AO35" s="312">
        <f t="shared" si="12"/>
        <v>587.73</v>
      </c>
      <c r="AP35" s="303">
        <v>1</v>
      </c>
      <c r="AQ35" s="304">
        <f t="shared" si="24"/>
        <v>0</v>
      </c>
      <c r="AR35" s="305">
        <f t="shared" si="24"/>
        <v>0</v>
      </c>
    </row>
    <row r="36" spans="1:44" ht="45" x14ac:dyDescent="0.25">
      <c r="A36" s="278" t="s">
        <v>783</v>
      </c>
      <c r="B36" s="313" t="s">
        <v>782</v>
      </c>
      <c r="C36" s="287">
        <v>0</v>
      </c>
      <c r="D36" s="184">
        <v>496.96</v>
      </c>
      <c r="E36" s="281">
        <v>1</v>
      </c>
      <c r="F36" s="281">
        <f t="shared" si="17"/>
        <v>0</v>
      </c>
      <c r="G36" s="282">
        <f t="shared" si="17"/>
        <v>0</v>
      </c>
      <c r="H36" s="284">
        <v>0</v>
      </c>
      <c r="I36" s="184">
        <v>496.96</v>
      </c>
      <c r="J36" s="281">
        <v>1</v>
      </c>
      <c r="K36" s="281">
        <f t="shared" si="18"/>
        <v>0</v>
      </c>
      <c r="L36" s="282">
        <f t="shared" si="18"/>
        <v>0</v>
      </c>
      <c r="M36" s="287">
        <v>0</v>
      </c>
      <c r="N36" s="182">
        <v>496.96</v>
      </c>
      <c r="O36" s="296">
        <v>1</v>
      </c>
      <c r="P36" s="281">
        <f t="shared" si="19"/>
        <v>0</v>
      </c>
      <c r="Q36" s="282">
        <f t="shared" si="19"/>
        <v>0</v>
      </c>
      <c r="R36" s="314">
        <v>389</v>
      </c>
      <c r="S36" s="315">
        <f t="shared" si="16"/>
        <v>525.29</v>
      </c>
      <c r="T36" s="316">
        <v>1</v>
      </c>
      <c r="U36" s="317">
        <f t="shared" si="20"/>
        <v>389</v>
      </c>
      <c r="V36" s="318">
        <f t="shared" si="20"/>
        <v>204337.81</v>
      </c>
      <c r="W36" s="278" t="s">
        <v>783</v>
      </c>
      <c r="X36" s="313" t="s">
        <v>782</v>
      </c>
      <c r="Y36" s="284">
        <v>0</v>
      </c>
      <c r="Z36" s="182">
        <f t="shared" si="6"/>
        <v>546.83000000000004</v>
      </c>
      <c r="AA36" s="296">
        <v>1</v>
      </c>
      <c r="AB36" s="281">
        <f t="shared" si="21"/>
        <v>0</v>
      </c>
      <c r="AC36" s="282">
        <f t="shared" si="21"/>
        <v>0</v>
      </c>
      <c r="AD36" s="284">
        <v>0</v>
      </c>
      <c r="AE36" s="182">
        <f t="shared" si="8"/>
        <v>561.04999999999995</v>
      </c>
      <c r="AF36" s="296">
        <v>1</v>
      </c>
      <c r="AG36" s="281">
        <f t="shared" si="22"/>
        <v>0</v>
      </c>
      <c r="AH36" s="282">
        <f t="shared" si="22"/>
        <v>0</v>
      </c>
      <c r="AI36" s="285">
        <v>0</v>
      </c>
      <c r="AJ36" s="319">
        <f t="shared" si="10"/>
        <v>575.64</v>
      </c>
      <c r="AK36" s="296">
        <v>1</v>
      </c>
      <c r="AL36" s="281">
        <f t="shared" si="23"/>
        <v>0</v>
      </c>
      <c r="AM36" s="282">
        <f t="shared" si="23"/>
        <v>0</v>
      </c>
      <c r="AN36" s="285">
        <v>0</v>
      </c>
      <c r="AO36" s="319">
        <f t="shared" si="12"/>
        <v>587.73</v>
      </c>
      <c r="AP36" s="296">
        <v>1</v>
      </c>
      <c r="AQ36" s="281">
        <f t="shared" si="24"/>
        <v>0</v>
      </c>
      <c r="AR36" s="282">
        <f t="shared" si="24"/>
        <v>0</v>
      </c>
    </row>
    <row r="37" spans="1:44" ht="45" customHeight="1" x14ac:dyDescent="0.25">
      <c r="A37" s="278" t="s">
        <v>781</v>
      </c>
      <c r="B37" s="313" t="s">
        <v>780</v>
      </c>
      <c r="C37" s="287">
        <v>0</v>
      </c>
      <c r="D37" s="184">
        <v>496.96</v>
      </c>
      <c r="E37" s="281">
        <v>1</v>
      </c>
      <c r="F37" s="281">
        <f t="shared" si="17"/>
        <v>0</v>
      </c>
      <c r="G37" s="282">
        <f t="shared" si="17"/>
        <v>0</v>
      </c>
      <c r="H37" s="284">
        <v>0</v>
      </c>
      <c r="I37" s="184">
        <v>496.96</v>
      </c>
      <c r="J37" s="281">
        <v>1</v>
      </c>
      <c r="K37" s="281">
        <f t="shared" si="18"/>
        <v>0</v>
      </c>
      <c r="L37" s="282">
        <f t="shared" si="18"/>
        <v>0</v>
      </c>
      <c r="M37" s="287">
        <v>0</v>
      </c>
      <c r="N37" s="182">
        <v>496.96</v>
      </c>
      <c r="O37" s="296">
        <v>1</v>
      </c>
      <c r="P37" s="281">
        <f t="shared" si="19"/>
        <v>0</v>
      </c>
      <c r="Q37" s="282">
        <f t="shared" si="19"/>
        <v>0</v>
      </c>
      <c r="R37" s="314">
        <v>1736</v>
      </c>
      <c r="S37" s="315">
        <f t="shared" si="16"/>
        <v>525.29</v>
      </c>
      <c r="T37" s="316">
        <v>1</v>
      </c>
      <c r="U37" s="317">
        <f t="shared" si="20"/>
        <v>1736</v>
      </c>
      <c r="V37" s="318">
        <f t="shared" si="20"/>
        <v>911903.44</v>
      </c>
      <c r="W37" s="278" t="s">
        <v>781</v>
      </c>
      <c r="X37" s="313" t="s">
        <v>780</v>
      </c>
      <c r="Y37" s="284">
        <v>0</v>
      </c>
      <c r="Z37" s="182">
        <f t="shared" si="6"/>
        <v>546.83000000000004</v>
      </c>
      <c r="AA37" s="296">
        <v>1</v>
      </c>
      <c r="AB37" s="281">
        <f t="shared" si="21"/>
        <v>0</v>
      </c>
      <c r="AC37" s="282">
        <f t="shared" si="21"/>
        <v>0</v>
      </c>
      <c r="AD37" s="284">
        <v>0</v>
      </c>
      <c r="AE37" s="182">
        <f t="shared" si="8"/>
        <v>561.04999999999995</v>
      </c>
      <c r="AF37" s="296">
        <v>1</v>
      </c>
      <c r="AG37" s="281">
        <f t="shared" si="22"/>
        <v>0</v>
      </c>
      <c r="AH37" s="282">
        <f t="shared" si="22"/>
        <v>0</v>
      </c>
      <c r="AI37" s="285">
        <v>0</v>
      </c>
      <c r="AJ37" s="319">
        <f t="shared" si="10"/>
        <v>575.64</v>
      </c>
      <c r="AK37" s="296">
        <v>1</v>
      </c>
      <c r="AL37" s="281">
        <f t="shared" si="23"/>
        <v>0</v>
      </c>
      <c r="AM37" s="282">
        <f t="shared" si="23"/>
        <v>0</v>
      </c>
      <c r="AN37" s="285">
        <v>0</v>
      </c>
      <c r="AO37" s="319">
        <f t="shared" si="12"/>
        <v>587.73</v>
      </c>
      <c r="AP37" s="296">
        <v>1</v>
      </c>
      <c r="AQ37" s="281">
        <f t="shared" si="24"/>
        <v>0</v>
      </c>
      <c r="AR37" s="282">
        <f t="shared" si="24"/>
        <v>0</v>
      </c>
    </row>
    <row r="38" spans="1:44" ht="60.75" thickBot="1" x14ac:dyDescent="0.3">
      <c r="A38" s="262" t="s">
        <v>779</v>
      </c>
      <c r="B38" s="320" t="s">
        <v>778</v>
      </c>
      <c r="C38" s="328">
        <v>0</v>
      </c>
      <c r="D38" s="183">
        <v>496.96</v>
      </c>
      <c r="E38" s="293">
        <v>1</v>
      </c>
      <c r="F38" s="293">
        <f t="shared" si="17"/>
        <v>0</v>
      </c>
      <c r="G38" s="294">
        <f t="shared" si="17"/>
        <v>0</v>
      </c>
      <c r="H38" s="292">
        <v>0</v>
      </c>
      <c r="I38" s="183">
        <v>496.96</v>
      </c>
      <c r="J38" s="293">
        <v>1</v>
      </c>
      <c r="K38" s="293">
        <f t="shared" si="18"/>
        <v>0</v>
      </c>
      <c r="L38" s="294">
        <f t="shared" si="18"/>
        <v>0</v>
      </c>
      <c r="M38" s="328">
        <v>0</v>
      </c>
      <c r="N38" s="183">
        <v>496.96</v>
      </c>
      <c r="O38" s="293">
        <v>1</v>
      </c>
      <c r="P38" s="293">
        <f t="shared" si="19"/>
        <v>0</v>
      </c>
      <c r="Q38" s="294">
        <f t="shared" si="19"/>
        <v>0</v>
      </c>
      <c r="R38" s="321">
        <v>1408</v>
      </c>
      <c r="S38" s="322">
        <f t="shared" si="16"/>
        <v>525.29</v>
      </c>
      <c r="T38" s="323">
        <v>1</v>
      </c>
      <c r="U38" s="323">
        <f t="shared" si="20"/>
        <v>1408</v>
      </c>
      <c r="V38" s="324">
        <f t="shared" si="20"/>
        <v>739608.32</v>
      </c>
      <c r="W38" s="262" t="s">
        <v>779</v>
      </c>
      <c r="X38" s="320" t="s">
        <v>778</v>
      </c>
      <c r="Y38" s="292">
        <v>0</v>
      </c>
      <c r="Z38" s="183">
        <f t="shared" si="6"/>
        <v>546.83000000000004</v>
      </c>
      <c r="AA38" s="293">
        <v>1</v>
      </c>
      <c r="AB38" s="293">
        <f t="shared" si="21"/>
        <v>0</v>
      </c>
      <c r="AC38" s="294">
        <f t="shared" si="21"/>
        <v>0</v>
      </c>
      <c r="AD38" s="292">
        <v>0</v>
      </c>
      <c r="AE38" s="183">
        <f t="shared" si="8"/>
        <v>561.04999999999995</v>
      </c>
      <c r="AF38" s="293">
        <v>1</v>
      </c>
      <c r="AG38" s="293">
        <f t="shared" si="22"/>
        <v>0</v>
      </c>
      <c r="AH38" s="294">
        <f t="shared" si="22"/>
        <v>0</v>
      </c>
      <c r="AI38" s="325">
        <v>0</v>
      </c>
      <c r="AJ38" s="326">
        <f t="shared" si="10"/>
        <v>575.64</v>
      </c>
      <c r="AK38" s="293">
        <v>1</v>
      </c>
      <c r="AL38" s="293">
        <f t="shared" si="23"/>
        <v>0</v>
      </c>
      <c r="AM38" s="294">
        <f t="shared" si="23"/>
        <v>0</v>
      </c>
      <c r="AN38" s="325">
        <v>0</v>
      </c>
      <c r="AO38" s="326">
        <f t="shared" si="12"/>
        <v>587.73</v>
      </c>
      <c r="AP38" s="293">
        <v>1</v>
      </c>
      <c r="AQ38" s="293">
        <f t="shared" si="24"/>
        <v>0</v>
      </c>
      <c r="AR38" s="294">
        <f t="shared" si="24"/>
        <v>0</v>
      </c>
    </row>
    <row r="39" spans="1:44" ht="45" x14ac:dyDescent="0.25">
      <c r="A39" s="300" t="s">
        <v>777</v>
      </c>
      <c r="B39" s="301" t="s">
        <v>776</v>
      </c>
      <c r="C39" s="327">
        <v>0</v>
      </c>
      <c r="D39" s="185">
        <v>496.96</v>
      </c>
      <c r="E39" s="303">
        <v>1</v>
      </c>
      <c r="F39" s="304">
        <f t="shared" si="17"/>
        <v>0</v>
      </c>
      <c r="G39" s="305">
        <f t="shared" si="17"/>
        <v>0</v>
      </c>
      <c r="H39" s="302">
        <v>0</v>
      </c>
      <c r="I39" s="185">
        <v>496.96</v>
      </c>
      <c r="J39" s="303">
        <v>1</v>
      </c>
      <c r="K39" s="304">
        <f t="shared" si="18"/>
        <v>0</v>
      </c>
      <c r="L39" s="305">
        <f t="shared" si="18"/>
        <v>0</v>
      </c>
      <c r="M39" s="327">
        <v>0</v>
      </c>
      <c r="N39" s="185">
        <v>496.96</v>
      </c>
      <c r="O39" s="303">
        <v>1</v>
      </c>
      <c r="P39" s="304">
        <f t="shared" si="19"/>
        <v>0</v>
      </c>
      <c r="Q39" s="305">
        <f t="shared" si="19"/>
        <v>0</v>
      </c>
      <c r="R39" s="306">
        <v>498</v>
      </c>
      <c r="S39" s="307">
        <f t="shared" si="16"/>
        <v>525.29</v>
      </c>
      <c r="T39" s="308">
        <v>1</v>
      </c>
      <c r="U39" s="309">
        <f t="shared" si="20"/>
        <v>498</v>
      </c>
      <c r="V39" s="310">
        <f t="shared" si="20"/>
        <v>261594.41999999998</v>
      </c>
      <c r="W39" s="300" t="s">
        <v>777</v>
      </c>
      <c r="X39" s="301" t="s">
        <v>776</v>
      </c>
      <c r="Y39" s="302">
        <v>0</v>
      </c>
      <c r="Z39" s="185">
        <f t="shared" si="6"/>
        <v>546.83000000000004</v>
      </c>
      <c r="AA39" s="303">
        <v>1</v>
      </c>
      <c r="AB39" s="304">
        <f t="shared" si="21"/>
        <v>0</v>
      </c>
      <c r="AC39" s="305">
        <f t="shared" si="21"/>
        <v>0</v>
      </c>
      <c r="AD39" s="302">
        <v>0</v>
      </c>
      <c r="AE39" s="185">
        <f t="shared" si="8"/>
        <v>561.04999999999995</v>
      </c>
      <c r="AF39" s="303">
        <v>1</v>
      </c>
      <c r="AG39" s="304">
        <f t="shared" si="22"/>
        <v>0</v>
      </c>
      <c r="AH39" s="305">
        <f t="shared" si="22"/>
        <v>0</v>
      </c>
      <c r="AI39" s="311">
        <v>0</v>
      </c>
      <c r="AJ39" s="312">
        <f t="shared" si="10"/>
        <v>575.64</v>
      </c>
      <c r="AK39" s="303">
        <v>1</v>
      </c>
      <c r="AL39" s="304">
        <f t="shared" si="23"/>
        <v>0</v>
      </c>
      <c r="AM39" s="305">
        <f t="shared" si="23"/>
        <v>0</v>
      </c>
      <c r="AN39" s="311">
        <v>0</v>
      </c>
      <c r="AO39" s="312">
        <f t="shared" si="12"/>
        <v>587.73</v>
      </c>
      <c r="AP39" s="303">
        <v>1</v>
      </c>
      <c r="AQ39" s="304">
        <f t="shared" si="24"/>
        <v>0</v>
      </c>
      <c r="AR39" s="305">
        <f t="shared" si="24"/>
        <v>0</v>
      </c>
    </row>
    <row r="40" spans="1:44" ht="45" x14ac:dyDescent="0.25">
      <c r="A40" s="278" t="s">
        <v>775</v>
      </c>
      <c r="B40" s="313" t="s">
        <v>774</v>
      </c>
      <c r="C40" s="287">
        <v>0</v>
      </c>
      <c r="D40" s="184">
        <v>496.96</v>
      </c>
      <c r="E40" s="281">
        <v>1</v>
      </c>
      <c r="F40" s="281">
        <f t="shared" si="17"/>
        <v>0</v>
      </c>
      <c r="G40" s="282">
        <f t="shared" si="17"/>
        <v>0</v>
      </c>
      <c r="H40" s="284">
        <v>0</v>
      </c>
      <c r="I40" s="184">
        <v>496.96</v>
      </c>
      <c r="J40" s="281">
        <v>1</v>
      </c>
      <c r="K40" s="281">
        <f t="shared" si="18"/>
        <v>0</v>
      </c>
      <c r="L40" s="282">
        <f t="shared" si="18"/>
        <v>0</v>
      </c>
      <c r="M40" s="287">
        <v>0</v>
      </c>
      <c r="N40" s="182">
        <v>496.96</v>
      </c>
      <c r="O40" s="296">
        <v>1</v>
      </c>
      <c r="P40" s="281">
        <f t="shared" si="19"/>
        <v>0</v>
      </c>
      <c r="Q40" s="282">
        <f t="shared" si="19"/>
        <v>0</v>
      </c>
      <c r="R40" s="314">
        <v>389</v>
      </c>
      <c r="S40" s="315">
        <f t="shared" si="16"/>
        <v>525.29</v>
      </c>
      <c r="T40" s="316">
        <v>1</v>
      </c>
      <c r="U40" s="317">
        <f t="shared" si="20"/>
        <v>389</v>
      </c>
      <c r="V40" s="318">
        <f t="shared" si="20"/>
        <v>204337.81</v>
      </c>
      <c r="W40" s="278" t="s">
        <v>775</v>
      </c>
      <c r="X40" s="313" t="s">
        <v>774</v>
      </c>
      <c r="Y40" s="284">
        <v>0</v>
      </c>
      <c r="Z40" s="182">
        <f t="shared" si="6"/>
        <v>546.83000000000004</v>
      </c>
      <c r="AA40" s="296">
        <v>1</v>
      </c>
      <c r="AB40" s="281">
        <f t="shared" si="21"/>
        <v>0</v>
      </c>
      <c r="AC40" s="282">
        <f t="shared" si="21"/>
        <v>0</v>
      </c>
      <c r="AD40" s="284">
        <v>0</v>
      </c>
      <c r="AE40" s="182">
        <f t="shared" si="8"/>
        <v>561.04999999999995</v>
      </c>
      <c r="AF40" s="296">
        <v>1</v>
      </c>
      <c r="AG40" s="281">
        <f t="shared" si="22"/>
        <v>0</v>
      </c>
      <c r="AH40" s="282">
        <f t="shared" si="22"/>
        <v>0</v>
      </c>
      <c r="AI40" s="285">
        <v>0</v>
      </c>
      <c r="AJ40" s="319">
        <f t="shared" si="10"/>
        <v>575.64</v>
      </c>
      <c r="AK40" s="296">
        <v>1</v>
      </c>
      <c r="AL40" s="281">
        <f t="shared" si="23"/>
        <v>0</v>
      </c>
      <c r="AM40" s="282">
        <f t="shared" si="23"/>
        <v>0</v>
      </c>
      <c r="AN40" s="285">
        <v>0</v>
      </c>
      <c r="AO40" s="319">
        <f t="shared" si="12"/>
        <v>587.73</v>
      </c>
      <c r="AP40" s="296">
        <v>1</v>
      </c>
      <c r="AQ40" s="281">
        <f t="shared" si="24"/>
        <v>0</v>
      </c>
      <c r="AR40" s="282">
        <f t="shared" si="24"/>
        <v>0</v>
      </c>
    </row>
    <row r="41" spans="1:44" ht="45" customHeight="1" x14ac:dyDescent="0.25">
      <c r="A41" s="278" t="s">
        <v>773</v>
      </c>
      <c r="B41" s="313" t="s">
        <v>772</v>
      </c>
      <c r="C41" s="287">
        <v>0</v>
      </c>
      <c r="D41" s="184">
        <v>496.96</v>
      </c>
      <c r="E41" s="281">
        <v>1</v>
      </c>
      <c r="F41" s="281">
        <f t="shared" ref="F41:G56" si="25">C41*E41</f>
        <v>0</v>
      </c>
      <c r="G41" s="282">
        <f t="shared" si="25"/>
        <v>0</v>
      </c>
      <c r="H41" s="284">
        <v>0</v>
      </c>
      <c r="I41" s="184">
        <v>496.96</v>
      </c>
      <c r="J41" s="281">
        <v>1</v>
      </c>
      <c r="K41" s="281">
        <f t="shared" ref="K41:L56" si="26">H41*J41</f>
        <v>0</v>
      </c>
      <c r="L41" s="282">
        <f t="shared" si="26"/>
        <v>0</v>
      </c>
      <c r="M41" s="287">
        <v>0</v>
      </c>
      <c r="N41" s="182">
        <v>496.96</v>
      </c>
      <c r="O41" s="296">
        <v>1</v>
      </c>
      <c r="P41" s="281">
        <f t="shared" ref="P41:Q56" si="27">M41*O41</f>
        <v>0</v>
      </c>
      <c r="Q41" s="282">
        <f t="shared" si="27"/>
        <v>0</v>
      </c>
      <c r="R41" s="314">
        <v>1736</v>
      </c>
      <c r="S41" s="315">
        <f t="shared" si="16"/>
        <v>525.29</v>
      </c>
      <c r="T41" s="316">
        <v>1</v>
      </c>
      <c r="U41" s="317">
        <f t="shared" si="20"/>
        <v>1736</v>
      </c>
      <c r="V41" s="318">
        <f t="shared" si="20"/>
        <v>911903.44</v>
      </c>
      <c r="W41" s="278" t="s">
        <v>773</v>
      </c>
      <c r="X41" s="313" t="s">
        <v>772</v>
      </c>
      <c r="Y41" s="284">
        <v>0</v>
      </c>
      <c r="Z41" s="182">
        <f t="shared" si="6"/>
        <v>546.83000000000004</v>
      </c>
      <c r="AA41" s="296">
        <v>1</v>
      </c>
      <c r="AB41" s="281">
        <f t="shared" si="21"/>
        <v>0</v>
      </c>
      <c r="AC41" s="282">
        <f t="shared" si="21"/>
        <v>0</v>
      </c>
      <c r="AD41" s="284">
        <v>0</v>
      </c>
      <c r="AE41" s="182">
        <f t="shared" si="8"/>
        <v>561.04999999999995</v>
      </c>
      <c r="AF41" s="296">
        <v>1</v>
      </c>
      <c r="AG41" s="281">
        <f t="shared" si="22"/>
        <v>0</v>
      </c>
      <c r="AH41" s="282">
        <f t="shared" si="22"/>
        <v>0</v>
      </c>
      <c r="AI41" s="285">
        <v>0</v>
      </c>
      <c r="AJ41" s="319">
        <f t="shared" si="10"/>
        <v>575.64</v>
      </c>
      <c r="AK41" s="296">
        <v>1</v>
      </c>
      <c r="AL41" s="281">
        <f t="shared" si="23"/>
        <v>0</v>
      </c>
      <c r="AM41" s="282">
        <f t="shared" si="23"/>
        <v>0</v>
      </c>
      <c r="AN41" s="285">
        <v>0</v>
      </c>
      <c r="AO41" s="319">
        <f t="shared" si="12"/>
        <v>587.73</v>
      </c>
      <c r="AP41" s="296">
        <v>1</v>
      </c>
      <c r="AQ41" s="281">
        <f t="shared" si="24"/>
        <v>0</v>
      </c>
      <c r="AR41" s="282">
        <f t="shared" si="24"/>
        <v>0</v>
      </c>
    </row>
    <row r="42" spans="1:44" ht="60.75" thickBot="1" x14ac:dyDescent="0.3">
      <c r="A42" s="262" t="s">
        <v>771</v>
      </c>
      <c r="B42" s="320" t="s">
        <v>770</v>
      </c>
      <c r="C42" s="328">
        <v>0</v>
      </c>
      <c r="D42" s="183">
        <v>496.96</v>
      </c>
      <c r="E42" s="293">
        <v>1</v>
      </c>
      <c r="F42" s="293">
        <f t="shared" si="25"/>
        <v>0</v>
      </c>
      <c r="G42" s="294">
        <f t="shared" si="25"/>
        <v>0</v>
      </c>
      <c r="H42" s="292">
        <v>0</v>
      </c>
      <c r="I42" s="183">
        <v>496.96</v>
      </c>
      <c r="J42" s="293">
        <v>1</v>
      </c>
      <c r="K42" s="293">
        <f t="shared" si="26"/>
        <v>0</v>
      </c>
      <c r="L42" s="294">
        <f t="shared" si="26"/>
        <v>0</v>
      </c>
      <c r="M42" s="328">
        <v>0</v>
      </c>
      <c r="N42" s="183">
        <v>496.96</v>
      </c>
      <c r="O42" s="293">
        <v>1</v>
      </c>
      <c r="P42" s="293">
        <f t="shared" si="27"/>
        <v>0</v>
      </c>
      <c r="Q42" s="294">
        <f t="shared" si="27"/>
        <v>0</v>
      </c>
      <c r="R42" s="321">
        <v>1408</v>
      </c>
      <c r="S42" s="322">
        <f t="shared" si="16"/>
        <v>525.29</v>
      </c>
      <c r="T42" s="323">
        <v>1</v>
      </c>
      <c r="U42" s="323">
        <f t="shared" si="20"/>
        <v>1408</v>
      </c>
      <c r="V42" s="324">
        <f t="shared" si="20"/>
        <v>739608.32</v>
      </c>
      <c r="W42" s="262" t="s">
        <v>771</v>
      </c>
      <c r="X42" s="320" t="s">
        <v>770</v>
      </c>
      <c r="Y42" s="292">
        <v>0</v>
      </c>
      <c r="Z42" s="183">
        <f t="shared" si="6"/>
        <v>546.83000000000004</v>
      </c>
      <c r="AA42" s="293">
        <v>1</v>
      </c>
      <c r="AB42" s="293">
        <f t="shared" si="21"/>
        <v>0</v>
      </c>
      <c r="AC42" s="294">
        <f t="shared" si="21"/>
        <v>0</v>
      </c>
      <c r="AD42" s="292">
        <v>0</v>
      </c>
      <c r="AE42" s="183">
        <f t="shared" si="8"/>
        <v>561.04999999999995</v>
      </c>
      <c r="AF42" s="293">
        <v>1</v>
      </c>
      <c r="AG42" s="293">
        <f t="shared" si="22"/>
        <v>0</v>
      </c>
      <c r="AH42" s="294">
        <f t="shared" si="22"/>
        <v>0</v>
      </c>
      <c r="AI42" s="325">
        <v>0</v>
      </c>
      <c r="AJ42" s="326">
        <f t="shared" si="10"/>
        <v>575.64</v>
      </c>
      <c r="AK42" s="293">
        <v>1</v>
      </c>
      <c r="AL42" s="293">
        <f t="shared" si="23"/>
        <v>0</v>
      </c>
      <c r="AM42" s="294">
        <f t="shared" si="23"/>
        <v>0</v>
      </c>
      <c r="AN42" s="325">
        <v>0</v>
      </c>
      <c r="AO42" s="326">
        <f t="shared" si="12"/>
        <v>587.73</v>
      </c>
      <c r="AP42" s="293">
        <v>1</v>
      </c>
      <c r="AQ42" s="293">
        <f t="shared" si="24"/>
        <v>0</v>
      </c>
      <c r="AR42" s="294">
        <f t="shared" si="24"/>
        <v>0</v>
      </c>
    </row>
    <row r="43" spans="1:44" ht="45" x14ac:dyDescent="0.25">
      <c r="A43" s="300" t="s">
        <v>215</v>
      </c>
      <c r="B43" s="301" t="s">
        <v>769</v>
      </c>
      <c r="C43" s="327">
        <v>0</v>
      </c>
      <c r="D43" s="185">
        <v>496.96</v>
      </c>
      <c r="E43" s="303">
        <v>1</v>
      </c>
      <c r="F43" s="304">
        <f t="shared" si="25"/>
        <v>0</v>
      </c>
      <c r="G43" s="305">
        <f t="shared" si="25"/>
        <v>0</v>
      </c>
      <c r="H43" s="302">
        <v>0</v>
      </c>
      <c r="I43" s="185">
        <v>496.96</v>
      </c>
      <c r="J43" s="303">
        <v>1</v>
      </c>
      <c r="K43" s="304">
        <f t="shared" si="26"/>
        <v>0</v>
      </c>
      <c r="L43" s="305">
        <f t="shared" si="26"/>
        <v>0</v>
      </c>
      <c r="M43" s="327">
        <v>0</v>
      </c>
      <c r="N43" s="185">
        <v>496.96</v>
      </c>
      <c r="O43" s="303">
        <v>1</v>
      </c>
      <c r="P43" s="304">
        <f t="shared" si="27"/>
        <v>0</v>
      </c>
      <c r="Q43" s="305">
        <f t="shared" si="27"/>
        <v>0</v>
      </c>
      <c r="R43" s="306">
        <v>498</v>
      </c>
      <c r="S43" s="307">
        <f t="shared" si="16"/>
        <v>525.29</v>
      </c>
      <c r="T43" s="308">
        <v>1</v>
      </c>
      <c r="U43" s="309">
        <f t="shared" ref="U43:V58" si="28">R43*T43</f>
        <v>498</v>
      </c>
      <c r="V43" s="310">
        <f t="shared" si="28"/>
        <v>261594.41999999998</v>
      </c>
      <c r="W43" s="300" t="s">
        <v>215</v>
      </c>
      <c r="X43" s="301" t="s">
        <v>769</v>
      </c>
      <c r="Y43" s="302">
        <v>0</v>
      </c>
      <c r="Z43" s="185">
        <f t="shared" si="6"/>
        <v>546.83000000000004</v>
      </c>
      <c r="AA43" s="303">
        <v>1</v>
      </c>
      <c r="AB43" s="304">
        <f t="shared" ref="AB43:AC58" si="29">Y43*AA43</f>
        <v>0</v>
      </c>
      <c r="AC43" s="305">
        <f t="shared" si="29"/>
        <v>0</v>
      </c>
      <c r="AD43" s="302">
        <v>0</v>
      </c>
      <c r="AE43" s="185">
        <f t="shared" si="8"/>
        <v>561.04999999999995</v>
      </c>
      <c r="AF43" s="303">
        <v>1</v>
      </c>
      <c r="AG43" s="304">
        <f t="shared" ref="AG43:AH58" si="30">AD43*AF43</f>
        <v>0</v>
      </c>
      <c r="AH43" s="305">
        <f t="shared" si="30"/>
        <v>0</v>
      </c>
      <c r="AI43" s="311">
        <v>0</v>
      </c>
      <c r="AJ43" s="312">
        <f t="shared" si="10"/>
        <v>575.64</v>
      </c>
      <c r="AK43" s="303">
        <v>1</v>
      </c>
      <c r="AL43" s="304">
        <f t="shared" ref="AL43:AM58" si="31">AI43*AK43</f>
        <v>0</v>
      </c>
      <c r="AM43" s="305">
        <f t="shared" si="31"/>
        <v>0</v>
      </c>
      <c r="AN43" s="311">
        <v>0</v>
      </c>
      <c r="AO43" s="312">
        <f t="shared" si="12"/>
        <v>587.73</v>
      </c>
      <c r="AP43" s="303">
        <v>1</v>
      </c>
      <c r="AQ43" s="304">
        <f t="shared" ref="AQ43:AR58" si="32">AN43*AP43</f>
        <v>0</v>
      </c>
      <c r="AR43" s="305">
        <f t="shared" si="32"/>
        <v>0</v>
      </c>
    </row>
    <row r="44" spans="1:44" ht="45" x14ac:dyDescent="0.25">
      <c r="A44" s="278" t="s">
        <v>216</v>
      </c>
      <c r="B44" s="313" t="s">
        <v>768</v>
      </c>
      <c r="C44" s="287">
        <v>0</v>
      </c>
      <c r="D44" s="184">
        <v>496.96</v>
      </c>
      <c r="E44" s="281">
        <v>1</v>
      </c>
      <c r="F44" s="281">
        <f t="shared" si="25"/>
        <v>0</v>
      </c>
      <c r="G44" s="282">
        <f t="shared" si="25"/>
        <v>0</v>
      </c>
      <c r="H44" s="284">
        <v>0</v>
      </c>
      <c r="I44" s="184">
        <v>496.96</v>
      </c>
      <c r="J44" s="281">
        <v>1</v>
      </c>
      <c r="K44" s="281">
        <f t="shared" si="26"/>
        <v>0</v>
      </c>
      <c r="L44" s="282">
        <f t="shared" si="26"/>
        <v>0</v>
      </c>
      <c r="M44" s="287">
        <v>0</v>
      </c>
      <c r="N44" s="182">
        <v>496.96</v>
      </c>
      <c r="O44" s="296">
        <v>1</v>
      </c>
      <c r="P44" s="281">
        <f t="shared" si="27"/>
        <v>0</v>
      </c>
      <c r="Q44" s="282">
        <f t="shared" si="27"/>
        <v>0</v>
      </c>
      <c r="R44" s="314">
        <v>389</v>
      </c>
      <c r="S44" s="315">
        <f t="shared" si="16"/>
        <v>525.29</v>
      </c>
      <c r="T44" s="316">
        <v>1</v>
      </c>
      <c r="U44" s="317">
        <f t="shared" si="28"/>
        <v>389</v>
      </c>
      <c r="V44" s="318">
        <f t="shared" si="28"/>
        <v>204337.81</v>
      </c>
      <c r="W44" s="278" t="s">
        <v>216</v>
      </c>
      <c r="X44" s="313" t="s">
        <v>768</v>
      </c>
      <c r="Y44" s="284">
        <v>0</v>
      </c>
      <c r="Z44" s="182">
        <f t="shared" si="6"/>
        <v>546.83000000000004</v>
      </c>
      <c r="AA44" s="296">
        <v>1</v>
      </c>
      <c r="AB44" s="281">
        <f t="shared" si="29"/>
        <v>0</v>
      </c>
      <c r="AC44" s="282">
        <f t="shared" si="29"/>
        <v>0</v>
      </c>
      <c r="AD44" s="284">
        <v>0</v>
      </c>
      <c r="AE44" s="182">
        <f t="shared" si="8"/>
        <v>561.04999999999995</v>
      </c>
      <c r="AF44" s="296">
        <v>1</v>
      </c>
      <c r="AG44" s="281">
        <f t="shared" si="30"/>
        <v>0</v>
      </c>
      <c r="AH44" s="282">
        <f t="shared" si="30"/>
        <v>0</v>
      </c>
      <c r="AI44" s="285">
        <v>0</v>
      </c>
      <c r="AJ44" s="319">
        <f t="shared" si="10"/>
        <v>575.64</v>
      </c>
      <c r="AK44" s="296">
        <v>1</v>
      </c>
      <c r="AL44" s="281">
        <f t="shared" si="31"/>
        <v>0</v>
      </c>
      <c r="AM44" s="282">
        <f t="shared" si="31"/>
        <v>0</v>
      </c>
      <c r="AN44" s="285">
        <v>0</v>
      </c>
      <c r="AO44" s="319">
        <f t="shared" si="12"/>
        <v>587.73</v>
      </c>
      <c r="AP44" s="296">
        <v>1</v>
      </c>
      <c r="AQ44" s="281">
        <f t="shared" si="32"/>
        <v>0</v>
      </c>
      <c r="AR44" s="282">
        <f t="shared" si="32"/>
        <v>0</v>
      </c>
    </row>
    <row r="45" spans="1:44" ht="42.95" customHeight="1" x14ac:dyDescent="0.25">
      <c r="A45" s="278" t="s">
        <v>767</v>
      </c>
      <c r="B45" s="313" t="s">
        <v>766</v>
      </c>
      <c r="C45" s="287">
        <v>0</v>
      </c>
      <c r="D45" s="184">
        <v>496.96</v>
      </c>
      <c r="E45" s="281">
        <v>1</v>
      </c>
      <c r="F45" s="281">
        <f t="shared" si="25"/>
        <v>0</v>
      </c>
      <c r="G45" s="282">
        <f t="shared" si="25"/>
        <v>0</v>
      </c>
      <c r="H45" s="284">
        <v>0</v>
      </c>
      <c r="I45" s="184">
        <v>496.96</v>
      </c>
      <c r="J45" s="281">
        <v>1</v>
      </c>
      <c r="K45" s="281">
        <f t="shared" si="26"/>
        <v>0</v>
      </c>
      <c r="L45" s="282">
        <f t="shared" si="26"/>
        <v>0</v>
      </c>
      <c r="M45" s="287">
        <v>0</v>
      </c>
      <c r="N45" s="182">
        <v>496.96</v>
      </c>
      <c r="O45" s="296">
        <v>1</v>
      </c>
      <c r="P45" s="281">
        <f t="shared" si="27"/>
        <v>0</v>
      </c>
      <c r="Q45" s="282">
        <f t="shared" si="27"/>
        <v>0</v>
      </c>
      <c r="R45" s="314">
        <v>1736</v>
      </c>
      <c r="S45" s="315">
        <f t="shared" si="16"/>
        <v>525.29</v>
      </c>
      <c r="T45" s="316">
        <v>1</v>
      </c>
      <c r="U45" s="317">
        <f t="shared" si="28"/>
        <v>1736</v>
      </c>
      <c r="V45" s="318">
        <f t="shared" si="28"/>
        <v>911903.44</v>
      </c>
      <c r="W45" s="278" t="s">
        <v>767</v>
      </c>
      <c r="X45" s="313" t="s">
        <v>766</v>
      </c>
      <c r="Y45" s="284">
        <v>0</v>
      </c>
      <c r="Z45" s="182">
        <f t="shared" si="6"/>
        <v>546.83000000000004</v>
      </c>
      <c r="AA45" s="296">
        <v>1</v>
      </c>
      <c r="AB45" s="281">
        <f t="shared" si="29"/>
        <v>0</v>
      </c>
      <c r="AC45" s="282">
        <f t="shared" si="29"/>
        <v>0</v>
      </c>
      <c r="AD45" s="284">
        <v>0</v>
      </c>
      <c r="AE45" s="182">
        <f t="shared" si="8"/>
        <v>561.04999999999995</v>
      </c>
      <c r="AF45" s="296">
        <v>1</v>
      </c>
      <c r="AG45" s="281">
        <f t="shared" si="30"/>
        <v>0</v>
      </c>
      <c r="AH45" s="282">
        <f t="shared" si="30"/>
        <v>0</v>
      </c>
      <c r="AI45" s="285">
        <v>0</v>
      </c>
      <c r="AJ45" s="319">
        <f t="shared" si="10"/>
        <v>575.64</v>
      </c>
      <c r="AK45" s="296">
        <v>1</v>
      </c>
      <c r="AL45" s="281">
        <f t="shared" si="31"/>
        <v>0</v>
      </c>
      <c r="AM45" s="282">
        <f t="shared" si="31"/>
        <v>0</v>
      </c>
      <c r="AN45" s="285">
        <v>0</v>
      </c>
      <c r="AO45" s="319">
        <f t="shared" si="12"/>
        <v>587.73</v>
      </c>
      <c r="AP45" s="296">
        <v>1</v>
      </c>
      <c r="AQ45" s="281">
        <f t="shared" si="32"/>
        <v>0</v>
      </c>
      <c r="AR45" s="282">
        <f t="shared" si="32"/>
        <v>0</v>
      </c>
    </row>
    <row r="46" spans="1:44" ht="60.75" thickBot="1" x14ac:dyDescent="0.3">
      <c r="A46" s="262" t="s">
        <v>765</v>
      </c>
      <c r="B46" s="320" t="s">
        <v>764</v>
      </c>
      <c r="C46" s="328">
        <v>0</v>
      </c>
      <c r="D46" s="183">
        <v>496.96</v>
      </c>
      <c r="E46" s="293">
        <v>1</v>
      </c>
      <c r="F46" s="293">
        <f t="shared" si="25"/>
        <v>0</v>
      </c>
      <c r="G46" s="294">
        <f t="shared" si="25"/>
        <v>0</v>
      </c>
      <c r="H46" s="292">
        <v>0</v>
      </c>
      <c r="I46" s="183">
        <v>496.96</v>
      </c>
      <c r="J46" s="293">
        <v>1</v>
      </c>
      <c r="K46" s="293">
        <f t="shared" si="26"/>
        <v>0</v>
      </c>
      <c r="L46" s="294">
        <f t="shared" si="26"/>
        <v>0</v>
      </c>
      <c r="M46" s="328">
        <v>0</v>
      </c>
      <c r="N46" s="183">
        <v>496.96</v>
      </c>
      <c r="O46" s="293">
        <v>1</v>
      </c>
      <c r="P46" s="293">
        <f t="shared" si="27"/>
        <v>0</v>
      </c>
      <c r="Q46" s="294">
        <f t="shared" si="27"/>
        <v>0</v>
      </c>
      <c r="R46" s="321">
        <v>1408</v>
      </c>
      <c r="S46" s="322">
        <f t="shared" si="16"/>
        <v>525.29</v>
      </c>
      <c r="T46" s="323">
        <v>1</v>
      </c>
      <c r="U46" s="323">
        <f t="shared" si="28"/>
        <v>1408</v>
      </c>
      <c r="V46" s="324">
        <f t="shared" si="28"/>
        <v>739608.32</v>
      </c>
      <c r="W46" s="262" t="s">
        <v>765</v>
      </c>
      <c r="X46" s="320" t="s">
        <v>764</v>
      </c>
      <c r="Y46" s="292">
        <v>0</v>
      </c>
      <c r="Z46" s="183">
        <f t="shared" si="6"/>
        <v>546.83000000000004</v>
      </c>
      <c r="AA46" s="293">
        <v>1</v>
      </c>
      <c r="AB46" s="293">
        <f t="shared" si="29"/>
        <v>0</v>
      </c>
      <c r="AC46" s="294">
        <f t="shared" si="29"/>
        <v>0</v>
      </c>
      <c r="AD46" s="292">
        <v>0</v>
      </c>
      <c r="AE46" s="183">
        <f t="shared" si="8"/>
        <v>561.04999999999995</v>
      </c>
      <c r="AF46" s="293">
        <v>1</v>
      </c>
      <c r="AG46" s="293">
        <f t="shared" si="30"/>
        <v>0</v>
      </c>
      <c r="AH46" s="294">
        <f t="shared" si="30"/>
        <v>0</v>
      </c>
      <c r="AI46" s="325">
        <v>0</v>
      </c>
      <c r="AJ46" s="326">
        <f t="shared" si="10"/>
        <v>575.64</v>
      </c>
      <c r="AK46" s="293">
        <v>1</v>
      </c>
      <c r="AL46" s="293">
        <f t="shared" si="31"/>
        <v>0</v>
      </c>
      <c r="AM46" s="294">
        <f t="shared" si="31"/>
        <v>0</v>
      </c>
      <c r="AN46" s="325">
        <v>0</v>
      </c>
      <c r="AO46" s="326">
        <f t="shared" si="12"/>
        <v>587.73</v>
      </c>
      <c r="AP46" s="293">
        <v>1</v>
      </c>
      <c r="AQ46" s="293">
        <f t="shared" si="32"/>
        <v>0</v>
      </c>
      <c r="AR46" s="294">
        <f t="shared" si="32"/>
        <v>0</v>
      </c>
    </row>
    <row r="47" spans="1:44" ht="45" x14ac:dyDescent="0.25">
      <c r="A47" s="300" t="s">
        <v>763</v>
      </c>
      <c r="B47" s="301" t="s">
        <v>762</v>
      </c>
      <c r="C47" s="327">
        <v>0</v>
      </c>
      <c r="D47" s="185">
        <v>496.96</v>
      </c>
      <c r="E47" s="303">
        <v>1</v>
      </c>
      <c r="F47" s="304">
        <f t="shared" si="25"/>
        <v>0</v>
      </c>
      <c r="G47" s="305">
        <f t="shared" si="25"/>
        <v>0</v>
      </c>
      <c r="H47" s="302">
        <v>0</v>
      </c>
      <c r="I47" s="185">
        <v>496.96</v>
      </c>
      <c r="J47" s="303">
        <v>1</v>
      </c>
      <c r="K47" s="304">
        <f t="shared" si="26"/>
        <v>0</v>
      </c>
      <c r="L47" s="305">
        <f t="shared" si="26"/>
        <v>0</v>
      </c>
      <c r="M47" s="327">
        <v>0</v>
      </c>
      <c r="N47" s="185">
        <v>496.96</v>
      </c>
      <c r="O47" s="303">
        <v>1</v>
      </c>
      <c r="P47" s="304">
        <f t="shared" si="27"/>
        <v>0</v>
      </c>
      <c r="Q47" s="305">
        <f t="shared" si="27"/>
        <v>0</v>
      </c>
      <c r="R47" s="306">
        <v>498</v>
      </c>
      <c r="S47" s="307">
        <f t="shared" si="16"/>
        <v>525.29</v>
      </c>
      <c r="T47" s="308">
        <v>1</v>
      </c>
      <c r="U47" s="309">
        <f t="shared" si="28"/>
        <v>498</v>
      </c>
      <c r="V47" s="310">
        <f t="shared" si="28"/>
        <v>261594.41999999998</v>
      </c>
      <c r="W47" s="300" t="s">
        <v>763</v>
      </c>
      <c r="X47" s="301" t="s">
        <v>762</v>
      </c>
      <c r="Y47" s="302">
        <v>0</v>
      </c>
      <c r="Z47" s="185">
        <f t="shared" si="6"/>
        <v>546.83000000000004</v>
      </c>
      <c r="AA47" s="303">
        <v>1</v>
      </c>
      <c r="AB47" s="304">
        <f t="shared" si="29"/>
        <v>0</v>
      </c>
      <c r="AC47" s="305">
        <f t="shared" si="29"/>
        <v>0</v>
      </c>
      <c r="AD47" s="302">
        <v>0</v>
      </c>
      <c r="AE47" s="185">
        <f t="shared" si="8"/>
        <v>561.04999999999995</v>
      </c>
      <c r="AF47" s="303">
        <v>1</v>
      </c>
      <c r="AG47" s="304">
        <f t="shared" si="30"/>
        <v>0</v>
      </c>
      <c r="AH47" s="305">
        <f t="shared" si="30"/>
        <v>0</v>
      </c>
      <c r="AI47" s="311">
        <v>0</v>
      </c>
      <c r="AJ47" s="312">
        <f t="shared" si="10"/>
        <v>575.64</v>
      </c>
      <c r="AK47" s="303">
        <v>1</v>
      </c>
      <c r="AL47" s="304">
        <f t="shared" si="31"/>
        <v>0</v>
      </c>
      <c r="AM47" s="305">
        <f t="shared" si="31"/>
        <v>0</v>
      </c>
      <c r="AN47" s="311">
        <v>0</v>
      </c>
      <c r="AO47" s="312">
        <f t="shared" si="12"/>
        <v>587.73</v>
      </c>
      <c r="AP47" s="303">
        <v>1</v>
      </c>
      <c r="AQ47" s="304">
        <f t="shared" si="32"/>
        <v>0</v>
      </c>
      <c r="AR47" s="305">
        <f t="shared" si="32"/>
        <v>0</v>
      </c>
    </row>
    <row r="48" spans="1:44" ht="45" x14ac:dyDescent="0.25">
      <c r="A48" s="278" t="s">
        <v>761</v>
      </c>
      <c r="B48" s="313" t="s">
        <v>760</v>
      </c>
      <c r="C48" s="287">
        <v>0</v>
      </c>
      <c r="D48" s="184">
        <v>496.96</v>
      </c>
      <c r="E48" s="281">
        <v>1</v>
      </c>
      <c r="F48" s="281">
        <f t="shared" si="25"/>
        <v>0</v>
      </c>
      <c r="G48" s="282">
        <f t="shared" si="25"/>
        <v>0</v>
      </c>
      <c r="H48" s="284">
        <v>0</v>
      </c>
      <c r="I48" s="184">
        <v>496.96</v>
      </c>
      <c r="J48" s="281">
        <v>1</v>
      </c>
      <c r="K48" s="281">
        <f t="shared" si="26"/>
        <v>0</v>
      </c>
      <c r="L48" s="282">
        <f t="shared" si="26"/>
        <v>0</v>
      </c>
      <c r="M48" s="287">
        <v>0</v>
      </c>
      <c r="N48" s="182">
        <v>496.96</v>
      </c>
      <c r="O48" s="296">
        <v>1</v>
      </c>
      <c r="P48" s="281">
        <f t="shared" si="27"/>
        <v>0</v>
      </c>
      <c r="Q48" s="282">
        <f t="shared" si="27"/>
        <v>0</v>
      </c>
      <c r="R48" s="314">
        <v>389</v>
      </c>
      <c r="S48" s="315">
        <f t="shared" si="16"/>
        <v>525.29</v>
      </c>
      <c r="T48" s="316">
        <v>1</v>
      </c>
      <c r="U48" s="317">
        <f t="shared" si="28"/>
        <v>389</v>
      </c>
      <c r="V48" s="318">
        <f t="shared" si="28"/>
        <v>204337.81</v>
      </c>
      <c r="W48" s="278" t="s">
        <v>761</v>
      </c>
      <c r="X48" s="313" t="s">
        <v>760</v>
      </c>
      <c r="Y48" s="284">
        <v>0</v>
      </c>
      <c r="Z48" s="182">
        <f t="shared" si="6"/>
        <v>546.83000000000004</v>
      </c>
      <c r="AA48" s="296">
        <v>1</v>
      </c>
      <c r="AB48" s="281">
        <f t="shared" si="29"/>
        <v>0</v>
      </c>
      <c r="AC48" s="282">
        <f t="shared" si="29"/>
        <v>0</v>
      </c>
      <c r="AD48" s="284">
        <v>0</v>
      </c>
      <c r="AE48" s="182">
        <f t="shared" si="8"/>
        <v>561.04999999999995</v>
      </c>
      <c r="AF48" s="296">
        <v>1</v>
      </c>
      <c r="AG48" s="281">
        <f t="shared" si="30"/>
        <v>0</v>
      </c>
      <c r="AH48" s="282">
        <f t="shared" si="30"/>
        <v>0</v>
      </c>
      <c r="AI48" s="285">
        <v>0</v>
      </c>
      <c r="AJ48" s="319">
        <f t="shared" si="10"/>
        <v>575.64</v>
      </c>
      <c r="AK48" s="296">
        <v>1</v>
      </c>
      <c r="AL48" s="281">
        <f t="shared" si="31"/>
        <v>0</v>
      </c>
      <c r="AM48" s="282">
        <f t="shared" si="31"/>
        <v>0</v>
      </c>
      <c r="AN48" s="285">
        <v>0</v>
      </c>
      <c r="AO48" s="319">
        <f t="shared" si="12"/>
        <v>587.73</v>
      </c>
      <c r="AP48" s="296">
        <v>1</v>
      </c>
      <c r="AQ48" s="281">
        <f t="shared" si="32"/>
        <v>0</v>
      </c>
      <c r="AR48" s="282">
        <f t="shared" si="32"/>
        <v>0</v>
      </c>
    </row>
    <row r="49" spans="1:44" ht="45.95" customHeight="1" x14ac:dyDescent="0.25">
      <c r="A49" s="278" t="s">
        <v>759</v>
      </c>
      <c r="B49" s="313" t="s">
        <v>758</v>
      </c>
      <c r="C49" s="287">
        <v>0</v>
      </c>
      <c r="D49" s="184">
        <v>496.96</v>
      </c>
      <c r="E49" s="281">
        <v>1</v>
      </c>
      <c r="F49" s="281">
        <f t="shared" si="25"/>
        <v>0</v>
      </c>
      <c r="G49" s="282">
        <f t="shared" si="25"/>
        <v>0</v>
      </c>
      <c r="H49" s="284">
        <v>0</v>
      </c>
      <c r="I49" s="184">
        <v>496.96</v>
      </c>
      <c r="J49" s="281">
        <v>1</v>
      </c>
      <c r="K49" s="281">
        <f t="shared" si="26"/>
        <v>0</v>
      </c>
      <c r="L49" s="282">
        <f t="shared" si="26"/>
        <v>0</v>
      </c>
      <c r="M49" s="287">
        <v>0</v>
      </c>
      <c r="N49" s="182">
        <v>496.96</v>
      </c>
      <c r="O49" s="296">
        <v>1</v>
      </c>
      <c r="P49" s="281">
        <f t="shared" si="27"/>
        <v>0</v>
      </c>
      <c r="Q49" s="282">
        <f t="shared" si="27"/>
        <v>0</v>
      </c>
      <c r="R49" s="314">
        <v>1736</v>
      </c>
      <c r="S49" s="315">
        <f t="shared" si="16"/>
        <v>525.29</v>
      </c>
      <c r="T49" s="316">
        <v>1</v>
      </c>
      <c r="U49" s="317">
        <f t="shared" si="28"/>
        <v>1736</v>
      </c>
      <c r="V49" s="318">
        <f t="shared" si="28"/>
        <v>911903.44</v>
      </c>
      <c r="W49" s="278" t="s">
        <v>759</v>
      </c>
      <c r="X49" s="313" t="s">
        <v>758</v>
      </c>
      <c r="Y49" s="284">
        <v>0</v>
      </c>
      <c r="Z49" s="182">
        <f t="shared" si="6"/>
        <v>546.83000000000004</v>
      </c>
      <c r="AA49" s="296">
        <v>1</v>
      </c>
      <c r="AB49" s="281">
        <f t="shared" si="29"/>
        <v>0</v>
      </c>
      <c r="AC49" s="282">
        <f t="shared" si="29"/>
        <v>0</v>
      </c>
      <c r="AD49" s="284">
        <v>0</v>
      </c>
      <c r="AE49" s="182">
        <f t="shared" si="8"/>
        <v>561.04999999999995</v>
      </c>
      <c r="AF49" s="296">
        <v>1</v>
      </c>
      <c r="AG49" s="281">
        <f t="shared" si="30"/>
        <v>0</v>
      </c>
      <c r="AH49" s="282">
        <f t="shared" si="30"/>
        <v>0</v>
      </c>
      <c r="AI49" s="285">
        <v>0</v>
      </c>
      <c r="AJ49" s="319">
        <f t="shared" si="10"/>
        <v>575.64</v>
      </c>
      <c r="AK49" s="296">
        <v>1</v>
      </c>
      <c r="AL49" s="281">
        <f t="shared" si="31"/>
        <v>0</v>
      </c>
      <c r="AM49" s="282">
        <f t="shared" si="31"/>
        <v>0</v>
      </c>
      <c r="AN49" s="285">
        <v>0</v>
      </c>
      <c r="AO49" s="319">
        <f t="shared" si="12"/>
        <v>587.73</v>
      </c>
      <c r="AP49" s="296">
        <v>1</v>
      </c>
      <c r="AQ49" s="281">
        <f t="shared" si="32"/>
        <v>0</v>
      </c>
      <c r="AR49" s="282">
        <f t="shared" si="32"/>
        <v>0</v>
      </c>
    </row>
    <row r="50" spans="1:44" ht="60.75" thickBot="1" x14ac:dyDescent="0.3">
      <c r="A50" s="262" t="s">
        <v>757</v>
      </c>
      <c r="B50" s="320" t="s">
        <v>756</v>
      </c>
      <c r="C50" s="328">
        <v>0</v>
      </c>
      <c r="D50" s="183">
        <v>496.96</v>
      </c>
      <c r="E50" s="293">
        <v>1</v>
      </c>
      <c r="F50" s="293">
        <f t="shared" si="25"/>
        <v>0</v>
      </c>
      <c r="G50" s="294">
        <f t="shared" si="25"/>
        <v>0</v>
      </c>
      <c r="H50" s="292">
        <v>0</v>
      </c>
      <c r="I50" s="183">
        <v>496.96</v>
      </c>
      <c r="J50" s="293">
        <v>1</v>
      </c>
      <c r="K50" s="293">
        <f t="shared" si="26"/>
        <v>0</v>
      </c>
      <c r="L50" s="294">
        <f t="shared" si="26"/>
        <v>0</v>
      </c>
      <c r="M50" s="328">
        <v>0</v>
      </c>
      <c r="N50" s="183">
        <v>496.96</v>
      </c>
      <c r="O50" s="293">
        <v>1</v>
      </c>
      <c r="P50" s="293">
        <f t="shared" si="27"/>
        <v>0</v>
      </c>
      <c r="Q50" s="294">
        <f t="shared" si="27"/>
        <v>0</v>
      </c>
      <c r="R50" s="321">
        <v>1408</v>
      </c>
      <c r="S50" s="322">
        <f t="shared" si="16"/>
        <v>525.29</v>
      </c>
      <c r="T50" s="323">
        <v>1</v>
      </c>
      <c r="U50" s="323">
        <f t="shared" si="28"/>
        <v>1408</v>
      </c>
      <c r="V50" s="324">
        <f t="shared" si="28"/>
        <v>739608.32</v>
      </c>
      <c r="W50" s="262" t="s">
        <v>757</v>
      </c>
      <c r="X50" s="320" t="s">
        <v>756</v>
      </c>
      <c r="Y50" s="292">
        <v>0</v>
      </c>
      <c r="Z50" s="183">
        <f t="shared" si="6"/>
        <v>546.83000000000004</v>
      </c>
      <c r="AA50" s="293">
        <v>1</v>
      </c>
      <c r="AB50" s="293">
        <f t="shared" si="29"/>
        <v>0</v>
      </c>
      <c r="AC50" s="294">
        <f t="shared" si="29"/>
        <v>0</v>
      </c>
      <c r="AD50" s="292">
        <v>0</v>
      </c>
      <c r="AE50" s="183">
        <f t="shared" si="8"/>
        <v>561.04999999999995</v>
      </c>
      <c r="AF50" s="293">
        <v>1</v>
      </c>
      <c r="AG50" s="293">
        <f t="shared" si="30"/>
        <v>0</v>
      </c>
      <c r="AH50" s="294">
        <f t="shared" si="30"/>
        <v>0</v>
      </c>
      <c r="AI50" s="325">
        <v>0</v>
      </c>
      <c r="AJ50" s="326">
        <f t="shared" si="10"/>
        <v>575.64</v>
      </c>
      <c r="AK50" s="293">
        <v>1</v>
      </c>
      <c r="AL50" s="293">
        <f t="shared" si="31"/>
        <v>0</v>
      </c>
      <c r="AM50" s="294">
        <f t="shared" si="31"/>
        <v>0</v>
      </c>
      <c r="AN50" s="325">
        <v>0</v>
      </c>
      <c r="AO50" s="326">
        <f t="shared" si="12"/>
        <v>587.73</v>
      </c>
      <c r="AP50" s="293">
        <v>1</v>
      </c>
      <c r="AQ50" s="293">
        <f t="shared" si="32"/>
        <v>0</v>
      </c>
      <c r="AR50" s="294">
        <f t="shared" si="32"/>
        <v>0</v>
      </c>
    </row>
    <row r="51" spans="1:44" ht="45" x14ac:dyDescent="0.25">
      <c r="A51" s="300" t="s">
        <v>755</v>
      </c>
      <c r="B51" s="301" t="s">
        <v>754</v>
      </c>
      <c r="C51" s="327">
        <v>0</v>
      </c>
      <c r="D51" s="185">
        <v>496.96</v>
      </c>
      <c r="E51" s="303">
        <v>1</v>
      </c>
      <c r="F51" s="304">
        <f t="shared" si="25"/>
        <v>0</v>
      </c>
      <c r="G51" s="305">
        <f t="shared" si="25"/>
        <v>0</v>
      </c>
      <c r="H51" s="302">
        <v>0</v>
      </c>
      <c r="I51" s="185">
        <v>496.96</v>
      </c>
      <c r="J51" s="303">
        <v>1</v>
      </c>
      <c r="K51" s="304">
        <f t="shared" si="26"/>
        <v>0</v>
      </c>
      <c r="L51" s="305">
        <f t="shared" si="26"/>
        <v>0</v>
      </c>
      <c r="M51" s="327">
        <v>0</v>
      </c>
      <c r="N51" s="185">
        <v>496.96</v>
      </c>
      <c r="O51" s="303">
        <v>1</v>
      </c>
      <c r="P51" s="304">
        <f t="shared" si="27"/>
        <v>0</v>
      </c>
      <c r="Q51" s="305">
        <f t="shared" si="27"/>
        <v>0</v>
      </c>
      <c r="R51" s="306">
        <v>498</v>
      </c>
      <c r="S51" s="307">
        <f t="shared" si="16"/>
        <v>525.29</v>
      </c>
      <c r="T51" s="308">
        <v>1</v>
      </c>
      <c r="U51" s="309">
        <f t="shared" si="28"/>
        <v>498</v>
      </c>
      <c r="V51" s="310">
        <f t="shared" si="28"/>
        <v>261594.41999999998</v>
      </c>
      <c r="W51" s="300" t="s">
        <v>755</v>
      </c>
      <c r="X51" s="301" t="s">
        <v>754</v>
      </c>
      <c r="Y51" s="302">
        <v>0</v>
      </c>
      <c r="Z51" s="185">
        <f t="shared" si="6"/>
        <v>546.83000000000004</v>
      </c>
      <c r="AA51" s="303">
        <v>1</v>
      </c>
      <c r="AB51" s="304">
        <f t="shared" si="29"/>
        <v>0</v>
      </c>
      <c r="AC51" s="305">
        <f t="shared" si="29"/>
        <v>0</v>
      </c>
      <c r="AD51" s="302">
        <v>0</v>
      </c>
      <c r="AE51" s="185">
        <f t="shared" si="8"/>
        <v>561.04999999999995</v>
      </c>
      <c r="AF51" s="303">
        <v>1</v>
      </c>
      <c r="AG51" s="304">
        <f t="shared" si="30"/>
        <v>0</v>
      </c>
      <c r="AH51" s="305">
        <f t="shared" si="30"/>
        <v>0</v>
      </c>
      <c r="AI51" s="311">
        <v>0</v>
      </c>
      <c r="AJ51" s="312">
        <f t="shared" si="10"/>
        <v>575.64</v>
      </c>
      <c r="AK51" s="303">
        <v>1</v>
      </c>
      <c r="AL51" s="304">
        <f t="shared" si="31"/>
        <v>0</v>
      </c>
      <c r="AM51" s="305">
        <f t="shared" si="31"/>
        <v>0</v>
      </c>
      <c r="AN51" s="311">
        <v>0</v>
      </c>
      <c r="AO51" s="312">
        <f t="shared" si="12"/>
        <v>587.73</v>
      </c>
      <c r="AP51" s="303">
        <v>1</v>
      </c>
      <c r="AQ51" s="304">
        <f t="shared" si="32"/>
        <v>0</v>
      </c>
      <c r="AR51" s="305">
        <f t="shared" si="32"/>
        <v>0</v>
      </c>
    </row>
    <row r="52" spans="1:44" ht="45" x14ac:dyDescent="0.25">
      <c r="A52" s="278" t="s">
        <v>753</v>
      </c>
      <c r="B52" s="313" t="s">
        <v>752</v>
      </c>
      <c r="C52" s="287">
        <v>0</v>
      </c>
      <c r="D52" s="184">
        <v>496.96</v>
      </c>
      <c r="E52" s="281">
        <v>1</v>
      </c>
      <c r="F52" s="281">
        <f t="shared" si="25"/>
        <v>0</v>
      </c>
      <c r="G52" s="282">
        <f t="shared" si="25"/>
        <v>0</v>
      </c>
      <c r="H52" s="284">
        <v>0</v>
      </c>
      <c r="I52" s="184">
        <v>496.96</v>
      </c>
      <c r="J52" s="281">
        <v>1</v>
      </c>
      <c r="K52" s="281">
        <f t="shared" si="26"/>
        <v>0</v>
      </c>
      <c r="L52" s="282">
        <f t="shared" si="26"/>
        <v>0</v>
      </c>
      <c r="M52" s="287">
        <v>0</v>
      </c>
      <c r="N52" s="182">
        <v>496.96</v>
      </c>
      <c r="O52" s="296">
        <v>1</v>
      </c>
      <c r="P52" s="281">
        <f t="shared" si="27"/>
        <v>0</v>
      </c>
      <c r="Q52" s="282">
        <f t="shared" si="27"/>
        <v>0</v>
      </c>
      <c r="R52" s="314">
        <v>389</v>
      </c>
      <c r="S52" s="315">
        <f t="shared" si="16"/>
        <v>525.29</v>
      </c>
      <c r="T52" s="316">
        <v>1</v>
      </c>
      <c r="U52" s="317">
        <f t="shared" si="28"/>
        <v>389</v>
      </c>
      <c r="V52" s="318">
        <f t="shared" si="28"/>
        <v>204337.81</v>
      </c>
      <c r="W52" s="278" t="s">
        <v>753</v>
      </c>
      <c r="X52" s="313" t="s">
        <v>752</v>
      </c>
      <c r="Y52" s="284">
        <v>0</v>
      </c>
      <c r="Z52" s="182">
        <f t="shared" si="6"/>
        <v>546.83000000000004</v>
      </c>
      <c r="AA52" s="296">
        <v>1</v>
      </c>
      <c r="AB52" s="281">
        <f t="shared" si="29"/>
        <v>0</v>
      </c>
      <c r="AC52" s="282">
        <f t="shared" si="29"/>
        <v>0</v>
      </c>
      <c r="AD52" s="284">
        <v>0</v>
      </c>
      <c r="AE52" s="182">
        <f t="shared" si="8"/>
        <v>561.04999999999995</v>
      </c>
      <c r="AF52" s="296">
        <v>1</v>
      </c>
      <c r="AG52" s="281">
        <f t="shared" si="30"/>
        <v>0</v>
      </c>
      <c r="AH52" s="282">
        <f t="shared" si="30"/>
        <v>0</v>
      </c>
      <c r="AI52" s="285">
        <v>0</v>
      </c>
      <c r="AJ52" s="319">
        <f t="shared" si="10"/>
        <v>575.64</v>
      </c>
      <c r="AK52" s="296">
        <v>1</v>
      </c>
      <c r="AL52" s="281">
        <f t="shared" si="31"/>
        <v>0</v>
      </c>
      <c r="AM52" s="282">
        <f t="shared" si="31"/>
        <v>0</v>
      </c>
      <c r="AN52" s="285">
        <v>0</v>
      </c>
      <c r="AO52" s="319">
        <f t="shared" si="12"/>
        <v>587.73</v>
      </c>
      <c r="AP52" s="296">
        <v>1</v>
      </c>
      <c r="AQ52" s="281">
        <f t="shared" si="32"/>
        <v>0</v>
      </c>
      <c r="AR52" s="282">
        <f t="shared" si="32"/>
        <v>0</v>
      </c>
    </row>
    <row r="53" spans="1:44" ht="44.1" customHeight="1" x14ac:dyDescent="0.25">
      <c r="A53" s="278" t="s">
        <v>751</v>
      </c>
      <c r="B53" s="313" t="s">
        <v>750</v>
      </c>
      <c r="C53" s="287">
        <v>0</v>
      </c>
      <c r="D53" s="184">
        <v>496.96</v>
      </c>
      <c r="E53" s="281">
        <v>1</v>
      </c>
      <c r="F53" s="281">
        <f t="shared" si="25"/>
        <v>0</v>
      </c>
      <c r="G53" s="282">
        <f t="shared" si="25"/>
        <v>0</v>
      </c>
      <c r="H53" s="284">
        <v>0</v>
      </c>
      <c r="I53" s="184">
        <v>496.96</v>
      </c>
      <c r="J53" s="281">
        <v>1</v>
      </c>
      <c r="K53" s="281">
        <f t="shared" si="26"/>
        <v>0</v>
      </c>
      <c r="L53" s="282">
        <f t="shared" si="26"/>
        <v>0</v>
      </c>
      <c r="M53" s="287">
        <v>0</v>
      </c>
      <c r="N53" s="182">
        <v>496.96</v>
      </c>
      <c r="O53" s="296">
        <v>1</v>
      </c>
      <c r="P53" s="281">
        <f t="shared" si="27"/>
        <v>0</v>
      </c>
      <c r="Q53" s="282">
        <f t="shared" si="27"/>
        <v>0</v>
      </c>
      <c r="R53" s="314">
        <v>1736</v>
      </c>
      <c r="S53" s="315">
        <f t="shared" si="16"/>
        <v>525.29</v>
      </c>
      <c r="T53" s="316">
        <v>1</v>
      </c>
      <c r="U53" s="317">
        <f t="shared" si="28"/>
        <v>1736</v>
      </c>
      <c r="V53" s="318">
        <f t="shared" si="28"/>
        <v>911903.44</v>
      </c>
      <c r="W53" s="278" t="s">
        <v>751</v>
      </c>
      <c r="X53" s="313" t="s">
        <v>750</v>
      </c>
      <c r="Y53" s="284">
        <v>0</v>
      </c>
      <c r="Z53" s="182">
        <f t="shared" si="6"/>
        <v>546.83000000000004</v>
      </c>
      <c r="AA53" s="296">
        <v>1</v>
      </c>
      <c r="AB53" s="281">
        <f t="shared" si="29"/>
        <v>0</v>
      </c>
      <c r="AC53" s="282">
        <f t="shared" si="29"/>
        <v>0</v>
      </c>
      <c r="AD53" s="284">
        <v>0</v>
      </c>
      <c r="AE53" s="182">
        <f t="shared" si="8"/>
        <v>561.04999999999995</v>
      </c>
      <c r="AF53" s="296">
        <v>1</v>
      </c>
      <c r="AG53" s="281">
        <f t="shared" si="30"/>
        <v>0</v>
      </c>
      <c r="AH53" s="282">
        <f t="shared" si="30"/>
        <v>0</v>
      </c>
      <c r="AI53" s="285">
        <v>0</v>
      </c>
      <c r="AJ53" s="319">
        <f t="shared" si="10"/>
        <v>575.64</v>
      </c>
      <c r="AK53" s="296">
        <v>1</v>
      </c>
      <c r="AL53" s="281">
        <f t="shared" si="31"/>
        <v>0</v>
      </c>
      <c r="AM53" s="282">
        <f t="shared" si="31"/>
        <v>0</v>
      </c>
      <c r="AN53" s="285">
        <v>0</v>
      </c>
      <c r="AO53" s="319">
        <f t="shared" si="12"/>
        <v>587.73</v>
      </c>
      <c r="AP53" s="296">
        <v>1</v>
      </c>
      <c r="AQ53" s="281">
        <f t="shared" si="32"/>
        <v>0</v>
      </c>
      <c r="AR53" s="282">
        <f t="shared" si="32"/>
        <v>0</v>
      </c>
    </row>
    <row r="54" spans="1:44" ht="60.75" thickBot="1" x14ac:dyDescent="0.3">
      <c r="A54" s="262" t="s">
        <v>749</v>
      </c>
      <c r="B54" s="320" t="s">
        <v>748</v>
      </c>
      <c r="C54" s="328">
        <v>0</v>
      </c>
      <c r="D54" s="183">
        <v>496.96</v>
      </c>
      <c r="E54" s="293">
        <v>1</v>
      </c>
      <c r="F54" s="293">
        <f t="shared" si="25"/>
        <v>0</v>
      </c>
      <c r="G54" s="294">
        <f t="shared" si="25"/>
        <v>0</v>
      </c>
      <c r="H54" s="292">
        <v>0</v>
      </c>
      <c r="I54" s="183">
        <v>496.96</v>
      </c>
      <c r="J54" s="293">
        <v>1</v>
      </c>
      <c r="K54" s="293">
        <f t="shared" si="26"/>
        <v>0</v>
      </c>
      <c r="L54" s="294">
        <f t="shared" si="26"/>
        <v>0</v>
      </c>
      <c r="M54" s="328">
        <v>0</v>
      </c>
      <c r="N54" s="183">
        <v>496.96</v>
      </c>
      <c r="O54" s="293">
        <v>1</v>
      </c>
      <c r="P54" s="293">
        <f t="shared" si="27"/>
        <v>0</v>
      </c>
      <c r="Q54" s="294">
        <f t="shared" si="27"/>
        <v>0</v>
      </c>
      <c r="R54" s="321">
        <v>1408</v>
      </c>
      <c r="S54" s="322">
        <f t="shared" si="16"/>
        <v>525.29</v>
      </c>
      <c r="T54" s="323">
        <v>1</v>
      </c>
      <c r="U54" s="323">
        <f t="shared" si="28"/>
        <v>1408</v>
      </c>
      <c r="V54" s="324">
        <f t="shared" si="28"/>
        <v>739608.32</v>
      </c>
      <c r="W54" s="262" t="s">
        <v>749</v>
      </c>
      <c r="X54" s="320" t="s">
        <v>748</v>
      </c>
      <c r="Y54" s="292">
        <v>2369</v>
      </c>
      <c r="Z54" s="183">
        <f t="shared" si="6"/>
        <v>546.83000000000004</v>
      </c>
      <c r="AA54" s="293">
        <v>1</v>
      </c>
      <c r="AB54" s="293">
        <f t="shared" si="29"/>
        <v>2369</v>
      </c>
      <c r="AC54" s="294">
        <f t="shared" si="29"/>
        <v>1295440.27</v>
      </c>
      <c r="AD54" s="292">
        <v>0</v>
      </c>
      <c r="AE54" s="183">
        <f t="shared" si="8"/>
        <v>561.04999999999995</v>
      </c>
      <c r="AF54" s="293">
        <v>1</v>
      </c>
      <c r="AG54" s="293">
        <f t="shared" si="30"/>
        <v>0</v>
      </c>
      <c r="AH54" s="294">
        <f t="shared" si="30"/>
        <v>0</v>
      </c>
      <c r="AI54" s="325">
        <v>0</v>
      </c>
      <c r="AJ54" s="326">
        <f t="shared" si="10"/>
        <v>575.64</v>
      </c>
      <c r="AK54" s="293">
        <v>1</v>
      </c>
      <c r="AL54" s="293">
        <f t="shared" si="31"/>
        <v>0</v>
      </c>
      <c r="AM54" s="294">
        <f t="shared" si="31"/>
        <v>0</v>
      </c>
      <c r="AN54" s="325">
        <v>0</v>
      </c>
      <c r="AO54" s="326">
        <f t="shared" si="12"/>
        <v>587.73</v>
      </c>
      <c r="AP54" s="293">
        <v>1</v>
      </c>
      <c r="AQ54" s="293">
        <f t="shared" si="32"/>
        <v>0</v>
      </c>
      <c r="AR54" s="294">
        <f t="shared" si="32"/>
        <v>0</v>
      </c>
    </row>
    <row r="55" spans="1:44" ht="45" x14ac:dyDescent="0.25">
      <c r="A55" s="300" t="s">
        <v>747</v>
      </c>
      <c r="B55" s="301" t="s">
        <v>925</v>
      </c>
      <c r="C55" s="327">
        <v>0</v>
      </c>
      <c r="D55" s="185">
        <v>496.96</v>
      </c>
      <c r="E55" s="303">
        <v>1</v>
      </c>
      <c r="F55" s="304">
        <f t="shared" si="25"/>
        <v>0</v>
      </c>
      <c r="G55" s="305">
        <f t="shared" si="25"/>
        <v>0</v>
      </c>
      <c r="H55" s="302">
        <v>0</v>
      </c>
      <c r="I55" s="185">
        <v>496.96</v>
      </c>
      <c r="J55" s="303">
        <v>1</v>
      </c>
      <c r="K55" s="304">
        <f t="shared" si="26"/>
        <v>0</v>
      </c>
      <c r="L55" s="305">
        <f t="shared" si="26"/>
        <v>0</v>
      </c>
      <c r="M55" s="327">
        <v>0</v>
      </c>
      <c r="N55" s="185">
        <v>496.96</v>
      </c>
      <c r="O55" s="303">
        <v>1</v>
      </c>
      <c r="P55" s="304">
        <f t="shared" si="27"/>
        <v>0</v>
      </c>
      <c r="Q55" s="305">
        <f t="shared" si="27"/>
        <v>0</v>
      </c>
      <c r="R55" s="306">
        <v>498</v>
      </c>
      <c r="S55" s="307">
        <f t="shared" si="16"/>
        <v>525.29</v>
      </c>
      <c r="T55" s="308">
        <v>1</v>
      </c>
      <c r="U55" s="309">
        <f t="shared" si="28"/>
        <v>498</v>
      </c>
      <c r="V55" s="310">
        <f t="shared" si="28"/>
        <v>261594.41999999998</v>
      </c>
      <c r="W55" s="300" t="s">
        <v>747</v>
      </c>
      <c r="X55" s="301" t="s">
        <v>746</v>
      </c>
      <c r="Y55" s="302">
        <v>0</v>
      </c>
      <c r="Z55" s="185">
        <f t="shared" si="6"/>
        <v>546.83000000000004</v>
      </c>
      <c r="AA55" s="303">
        <v>1</v>
      </c>
      <c r="AB55" s="304">
        <f t="shared" si="29"/>
        <v>0</v>
      </c>
      <c r="AC55" s="305">
        <f t="shared" si="29"/>
        <v>0</v>
      </c>
      <c r="AD55" s="302">
        <v>0</v>
      </c>
      <c r="AE55" s="185">
        <f t="shared" si="8"/>
        <v>561.04999999999995</v>
      </c>
      <c r="AF55" s="303">
        <v>1</v>
      </c>
      <c r="AG55" s="304">
        <f t="shared" si="30"/>
        <v>0</v>
      </c>
      <c r="AH55" s="305">
        <f t="shared" si="30"/>
        <v>0</v>
      </c>
      <c r="AI55" s="311">
        <v>0</v>
      </c>
      <c r="AJ55" s="312">
        <f t="shared" si="10"/>
        <v>575.64</v>
      </c>
      <c r="AK55" s="303">
        <v>1</v>
      </c>
      <c r="AL55" s="304">
        <f t="shared" si="31"/>
        <v>0</v>
      </c>
      <c r="AM55" s="305">
        <f t="shared" si="31"/>
        <v>0</v>
      </c>
      <c r="AN55" s="311">
        <v>0</v>
      </c>
      <c r="AO55" s="312">
        <f t="shared" si="12"/>
        <v>587.73</v>
      </c>
      <c r="AP55" s="303">
        <v>1</v>
      </c>
      <c r="AQ55" s="304">
        <f t="shared" si="32"/>
        <v>0</v>
      </c>
      <c r="AR55" s="305">
        <f t="shared" si="32"/>
        <v>0</v>
      </c>
    </row>
    <row r="56" spans="1:44" ht="45" x14ac:dyDescent="0.25">
      <c r="A56" s="278" t="s">
        <v>745</v>
      </c>
      <c r="B56" s="313" t="s">
        <v>744</v>
      </c>
      <c r="C56" s="287">
        <v>0</v>
      </c>
      <c r="D56" s="184">
        <v>496.96</v>
      </c>
      <c r="E56" s="281">
        <v>1</v>
      </c>
      <c r="F56" s="281">
        <f t="shared" si="25"/>
        <v>0</v>
      </c>
      <c r="G56" s="282">
        <f t="shared" si="25"/>
        <v>0</v>
      </c>
      <c r="H56" s="284">
        <v>0</v>
      </c>
      <c r="I56" s="184">
        <v>496.96</v>
      </c>
      <c r="J56" s="281">
        <v>1</v>
      </c>
      <c r="K56" s="281">
        <f t="shared" si="26"/>
        <v>0</v>
      </c>
      <c r="L56" s="282">
        <f t="shared" si="26"/>
        <v>0</v>
      </c>
      <c r="M56" s="287">
        <v>0</v>
      </c>
      <c r="N56" s="182">
        <v>496.96</v>
      </c>
      <c r="O56" s="296">
        <v>1</v>
      </c>
      <c r="P56" s="281">
        <f t="shared" si="27"/>
        <v>0</v>
      </c>
      <c r="Q56" s="282">
        <f t="shared" si="27"/>
        <v>0</v>
      </c>
      <c r="R56" s="314">
        <v>389</v>
      </c>
      <c r="S56" s="315">
        <f t="shared" si="16"/>
        <v>525.29</v>
      </c>
      <c r="T56" s="316">
        <v>1</v>
      </c>
      <c r="U56" s="317">
        <f t="shared" si="28"/>
        <v>389</v>
      </c>
      <c r="V56" s="318">
        <f t="shared" si="28"/>
        <v>204337.81</v>
      </c>
      <c r="W56" s="278" t="s">
        <v>745</v>
      </c>
      <c r="X56" s="313" t="s">
        <v>744</v>
      </c>
      <c r="Y56" s="284">
        <v>0</v>
      </c>
      <c r="Z56" s="182">
        <f t="shared" si="6"/>
        <v>546.83000000000004</v>
      </c>
      <c r="AA56" s="296">
        <v>1</v>
      </c>
      <c r="AB56" s="281">
        <f t="shared" si="29"/>
        <v>0</v>
      </c>
      <c r="AC56" s="282">
        <f t="shared" si="29"/>
        <v>0</v>
      </c>
      <c r="AD56" s="284">
        <v>0</v>
      </c>
      <c r="AE56" s="182">
        <f t="shared" si="8"/>
        <v>561.04999999999995</v>
      </c>
      <c r="AF56" s="296">
        <v>1</v>
      </c>
      <c r="AG56" s="281">
        <f t="shared" si="30"/>
        <v>0</v>
      </c>
      <c r="AH56" s="282">
        <f t="shared" si="30"/>
        <v>0</v>
      </c>
      <c r="AI56" s="285">
        <v>0</v>
      </c>
      <c r="AJ56" s="319">
        <f t="shared" si="10"/>
        <v>575.64</v>
      </c>
      <c r="AK56" s="296">
        <v>1</v>
      </c>
      <c r="AL56" s="281">
        <f t="shared" si="31"/>
        <v>0</v>
      </c>
      <c r="AM56" s="282">
        <f t="shared" si="31"/>
        <v>0</v>
      </c>
      <c r="AN56" s="285">
        <v>0</v>
      </c>
      <c r="AO56" s="319">
        <f t="shared" si="12"/>
        <v>587.73</v>
      </c>
      <c r="AP56" s="296">
        <v>1</v>
      </c>
      <c r="AQ56" s="281">
        <f t="shared" si="32"/>
        <v>0</v>
      </c>
      <c r="AR56" s="282">
        <f t="shared" si="32"/>
        <v>0</v>
      </c>
    </row>
    <row r="57" spans="1:44" ht="44.1" customHeight="1" x14ac:dyDescent="0.25">
      <c r="A57" s="278" t="s">
        <v>743</v>
      </c>
      <c r="B57" s="313" t="s">
        <v>742</v>
      </c>
      <c r="C57" s="287">
        <v>0</v>
      </c>
      <c r="D57" s="184">
        <v>496.96</v>
      </c>
      <c r="E57" s="281">
        <v>1</v>
      </c>
      <c r="F57" s="281">
        <f t="shared" ref="F57:G72" si="33">C57*E57</f>
        <v>0</v>
      </c>
      <c r="G57" s="282">
        <f t="shared" si="33"/>
        <v>0</v>
      </c>
      <c r="H57" s="284">
        <v>0</v>
      </c>
      <c r="I57" s="184">
        <v>496.96</v>
      </c>
      <c r="J57" s="281">
        <v>1</v>
      </c>
      <c r="K57" s="281">
        <f t="shared" ref="K57:L72" si="34">H57*J57</f>
        <v>0</v>
      </c>
      <c r="L57" s="282">
        <f t="shared" si="34"/>
        <v>0</v>
      </c>
      <c r="M57" s="287">
        <v>0</v>
      </c>
      <c r="N57" s="182">
        <v>496.96</v>
      </c>
      <c r="O57" s="296">
        <v>1</v>
      </c>
      <c r="P57" s="281">
        <f t="shared" ref="P57:Q72" si="35">M57*O57</f>
        <v>0</v>
      </c>
      <c r="Q57" s="282">
        <f t="shared" si="35"/>
        <v>0</v>
      </c>
      <c r="R57" s="314">
        <v>1736</v>
      </c>
      <c r="S57" s="315">
        <f t="shared" si="16"/>
        <v>525.29</v>
      </c>
      <c r="T57" s="316">
        <v>1</v>
      </c>
      <c r="U57" s="317">
        <f t="shared" si="28"/>
        <v>1736</v>
      </c>
      <c r="V57" s="318">
        <f t="shared" si="28"/>
        <v>911903.44</v>
      </c>
      <c r="W57" s="278" t="s">
        <v>743</v>
      </c>
      <c r="X57" s="313" t="s">
        <v>742</v>
      </c>
      <c r="Y57" s="284">
        <v>2710</v>
      </c>
      <c r="Z57" s="182">
        <f t="shared" si="6"/>
        <v>546.83000000000004</v>
      </c>
      <c r="AA57" s="296">
        <v>1</v>
      </c>
      <c r="AB57" s="281">
        <f t="shared" si="29"/>
        <v>2710</v>
      </c>
      <c r="AC57" s="282">
        <f t="shared" si="29"/>
        <v>1481909.3</v>
      </c>
      <c r="AD57" s="284">
        <v>0</v>
      </c>
      <c r="AE57" s="182">
        <f t="shared" si="8"/>
        <v>561.04999999999995</v>
      </c>
      <c r="AF57" s="296">
        <v>1</v>
      </c>
      <c r="AG57" s="281">
        <f t="shared" si="30"/>
        <v>0</v>
      </c>
      <c r="AH57" s="282">
        <f t="shared" si="30"/>
        <v>0</v>
      </c>
      <c r="AI57" s="285">
        <v>0</v>
      </c>
      <c r="AJ57" s="319">
        <f t="shared" si="10"/>
        <v>575.64</v>
      </c>
      <c r="AK57" s="296">
        <v>1</v>
      </c>
      <c r="AL57" s="281">
        <f t="shared" si="31"/>
        <v>0</v>
      </c>
      <c r="AM57" s="282">
        <f t="shared" si="31"/>
        <v>0</v>
      </c>
      <c r="AN57" s="285">
        <v>0</v>
      </c>
      <c r="AO57" s="319">
        <f t="shared" si="12"/>
        <v>587.73</v>
      </c>
      <c r="AP57" s="296">
        <v>1</v>
      </c>
      <c r="AQ57" s="281">
        <f t="shared" si="32"/>
        <v>0</v>
      </c>
      <c r="AR57" s="282">
        <f t="shared" si="32"/>
        <v>0</v>
      </c>
    </row>
    <row r="58" spans="1:44" ht="60.75" thickBot="1" x14ac:dyDescent="0.3">
      <c r="A58" s="262" t="s">
        <v>741</v>
      </c>
      <c r="B58" s="320" t="s">
        <v>740</v>
      </c>
      <c r="C58" s="328">
        <v>0</v>
      </c>
      <c r="D58" s="183">
        <v>496.96</v>
      </c>
      <c r="E58" s="293">
        <v>1</v>
      </c>
      <c r="F58" s="293">
        <f t="shared" si="33"/>
        <v>0</v>
      </c>
      <c r="G58" s="294">
        <f t="shared" si="33"/>
        <v>0</v>
      </c>
      <c r="H58" s="292">
        <v>0</v>
      </c>
      <c r="I58" s="183">
        <v>496.96</v>
      </c>
      <c r="J58" s="293">
        <v>1</v>
      </c>
      <c r="K58" s="293">
        <f t="shared" si="34"/>
        <v>0</v>
      </c>
      <c r="L58" s="294">
        <f t="shared" si="34"/>
        <v>0</v>
      </c>
      <c r="M58" s="328">
        <v>0</v>
      </c>
      <c r="N58" s="183">
        <v>496.96</v>
      </c>
      <c r="O58" s="293">
        <v>1</v>
      </c>
      <c r="P58" s="293">
        <f t="shared" si="35"/>
        <v>0</v>
      </c>
      <c r="Q58" s="294">
        <f t="shared" si="35"/>
        <v>0</v>
      </c>
      <c r="R58" s="321">
        <v>1408</v>
      </c>
      <c r="S58" s="322">
        <f t="shared" si="16"/>
        <v>525.29</v>
      </c>
      <c r="T58" s="323">
        <v>1</v>
      </c>
      <c r="U58" s="323">
        <f t="shared" si="28"/>
        <v>1408</v>
      </c>
      <c r="V58" s="324">
        <f t="shared" si="28"/>
        <v>739608.32</v>
      </c>
      <c r="W58" s="262" t="s">
        <v>741</v>
      </c>
      <c r="X58" s="320" t="s">
        <v>740</v>
      </c>
      <c r="Y58" s="292">
        <v>2369</v>
      </c>
      <c r="Z58" s="183">
        <f t="shared" si="6"/>
        <v>546.83000000000004</v>
      </c>
      <c r="AA58" s="293">
        <v>1</v>
      </c>
      <c r="AB58" s="293">
        <f t="shared" si="29"/>
        <v>2369</v>
      </c>
      <c r="AC58" s="294">
        <f t="shared" si="29"/>
        <v>1295440.27</v>
      </c>
      <c r="AD58" s="292">
        <v>0</v>
      </c>
      <c r="AE58" s="183">
        <f t="shared" si="8"/>
        <v>561.04999999999995</v>
      </c>
      <c r="AF58" s="293">
        <v>1</v>
      </c>
      <c r="AG58" s="293">
        <f t="shared" si="30"/>
        <v>0</v>
      </c>
      <c r="AH58" s="294">
        <f t="shared" si="30"/>
        <v>0</v>
      </c>
      <c r="AI58" s="325">
        <v>0</v>
      </c>
      <c r="AJ58" s="326">
        <f t="shared" si="10"/>
        <v>575.64</v>
      </c>
      <c r="AK58" s="293">
        <v>1</v>
      </c>
      <c r="AL58" s="293">
        <f t="shared" si="31"/>
        <v>0</v>
      </c>
      <c r="AM58" s="294">
        <f t="shared" si="31"/>
        <v>0</v>
      </c>
      <c r="AN58" s="325">
        <v>0</v>
      </c>
      <c r="AO58" s="326">
        <f t="shared" si="12"/>
        <v>587.73</v>
      </c>
      <c r="AP58" s="293">
        <v>1</v>
      </c>
      <c r="AQ58" s="293">
        <f t="shared" si="32"/>
        <v>0</v>
      </c>
      <c r="AR58" s="294">
        <f t="shared" si="32"/>
        <v>0</v>
      </c>
    </row>
    <row r="59" spans="1:44" ht="45" x14ac:dyDescent="0.25">
      <c r="A59" s="300" t="s">
        <v>739</v>
      </c>
      <c r="B59" s="301" t="s">
        <v>738</v>
      </c>
      <c r="C59" s="327">
        <v>0</v>
      </c>
      <c r="D59" s="185">
        <v>496.96</v>
      </c>
      <c r="E59" s="303">
        <v>1</v>
      </c>
      <c r="F59" s="304">
        <f t="shared" si="33"/>
        <v>0</v>
      </c>
      <c r="G59" s="305">
        <f t="shared" si="33"/>
        <v>0</v>
      </c>
      <c r="H59" s="302">
        <v>0</v>
      </c>
      <c r="I59" s="185">
        <v>496.96</v>
      </c>
      <c r="J59" s="303">
        <v>1</v>
      </c>
      <c r="K59" s="304">
        <f t="shared" si="34"/>
        <v>0</v>
      </c>
      <c r="L59" s="305">
        <f t="shared" si="34"/>
        <v>0</v>
      </c>
      <c r="M59" s="327">
        <v>0</v>
      </c>
      <c r="N59" s="185">
        <v>496.96</v>
      </c>
      <c r="O59" s="303">
        <v>1</v>
      </c>
      <c r="P59" s="304">
        <f t="shared" si="35"/>
        <v>0</v>
      </c>
      <c r="Q59" s="305">
        <f t="shared" si="35"/>
        <v>0</v>
      </c>
      <c r="R59" s="302">
        <v>498</v>
      </c>
      <c r="S59" s="185">
        <f t="shared" si="16"/>
        <v>525.29</v>
      </c>
      <c r="T59" s="303">
        <v>1</v>
      </c>
      <c r="U59" s="304">
        <f t="shared" ref="U59:V74" si="36">R59*T59</f>
        <v>498</v>
      </c>
      <c r="V59" s="305">
        <f t="shared" si="36"/>
        <v>261594.41999999998</v>
      </c>
      <c r="W59" s="300" t="s">
        <v>739</v>
      </c>
      <c r="X59" s="301" t="s">
        <v>738</v>
      </c>
      <c r="Y59" s="306">
        <v>498</v>
      </c>
      <c r="Z59" s="307">
        <f t="shared" si="6"/>
        <v>546.83000000000004</v>
      </c>
      <c r="AA59" s="308">
        <v>1</v>
      </c>
      <c r="AB59" s="309">
        <f t="shared" ref="AB59:AC74" si="37">Y59*AA59</f>
        <v>498</v>
      </c>
      <c r="AC59" s="310">
        <f t="shared" si="37"/>
        <v>272321.34000000003</v>
      </c>
      <c r="AD59" s="302">
        <v>0</v>
      </c>
      <c r="AE59" s="185">
        <f t="shared" si="8"/>
        <v>561.04999999999995</v>
      </c>
      <c r="AF59" s="303">
        <v>1</v>
      </c>
      <c r="AG59" s="304">
        <f t="shared" ref="AG59:AH74" si="38">AD59*AF59</f>
        <v>0</v>
      </c>
      <c r="AH59" s="305">
        <f t="shared" si="38"/>
        <v>0</v>
      </c>
      <c r="AI59" s="311">
        <v>0</v>
      </c>
      <c r="AJ59" s="312">
        <f t="shared" si="10"/>
        <v>575.64</v>
      </c>
      <c r="AK59" s="303">
        <v>1</v>
      </c>
      <c r="AL59" s="304">
        <f t="shared" ref="AL59:AM74" si="39">AI59*AK59</f>
        <v>0</v>
      </c>
      <c r="AM59" s="305">
        <f t="shared" si="39"/>
        <v>0</v>
      </c>
      <c r="AN59" s="311">
        <v>0</v>
      </c>
      <c r="AO59" s="312">
        <f t="shared" si="12"/>
        <v>587.73</v>
      </c>
      <c r="AP59" s="303">
        <v>1</v>
      </c>
      <c r="AQ59" s="304">
        <f t="shared" ref="AQ59:AR74" si="40">AN59*AP59</f>
        <v>0</v>
      </c>
      <c r="AR59" s="305">
        <f t="shared" si="40"/>
        <v>0</v>
      </c>
    </row>
    <row r="60" spans="1:44" ht="45" x14ac:dyDescent="0.25">
      <c r="A60" s="278" t="s">
        <v>737</v>
      </c>
      <c r="B60" s="313" t="s">
        <v>736</v>
      </c>
      <c r="C60" s="287">
        <v>0</v>
      </c>
      <c r="D60" s="184">
        <v>496.96</v>
      </c>
      <c r="E60" s="281">
        <v>1</v>
      </c>
      <c r="F60" s="281">
        <f t="shared" si="33"/>
        <v>0</v>
      </c>
      <c r="G60" s="282">
        <f t="shared" si="33"/>
        <v>0</v>
      </c>
      <c r="H60" s="284">
        <v>0</v>
      </c>
      <c r="I60" s="184">
        <v>496.96</v>
      </c>
      <c r="J60" s="281">
        <v>1</v>
      </c>
      <c r="K60" s="281">
        <f t="shared" si="34"/>
        <v>0</v>
      </c>
      <c r="L60" s="282">
        <f t="shared" si="34"/>
        <v>0</v>
      </c>
      <c r="M60" s="287">
        <v>0</v>
      </c>
      <c r="N60" s="182">
        <v>496.96</v>
      </c>
      <c r="O60" s="296">
        <v>1</v>
      </c>
      <c r="P60" s="281">
        <f t="shared" si="35"/>
        <v>0</v>
      </c>
      <c r="Q60" s="282">
        <f t="shared" si="35"/>
        <v>0</v>
      </c>
      <c r="R60" s="284">
        <v>389</v>
      </c>
      <c r="S60" s="182">
        <f t="shared" si="16"/>
        <v>525.29</v>
      </c>
      <c r="T60" s="296">
        <v>1</v>
      </c>
      <c r="U60" s="281">
        <f t="shared" si="36"/>
        <v>389</v>
      </c>
      <c r="V60" s="282">
        <f t="shared" si="36"/>
        <v>204337.81</v>
      </c>
      <c r="W60" s="278" t="s">
        <v>737</v>
      </c>
      <c r="X60" s="313" t="s">
        <v>736</v>
      </c>
      <c r="Y60" s="314">
        <v>389</v>
      </c>
      <c r="Z60" s="315">
        <f t="shared" si="6"/>
        <v>546.83000000000004</v>
      </c>
      <c r="AA60" s="316">
        <v>1</v>
      </c>
      <c r="AB60" s="317">
        <f t="shared" si="37"/>
        <v>389</v>
      </c>
      <c r="AC60" s="318">
        <f t="shared" si="37"/>
        <v>212716.87000000002</v>
      </c>
      <c r="AD60" s="284">
        <v>0</v>
      </c>
      <c r="AE60" s="182">
        <f t="shared" si="8"/>
        <v>561.04999999999995</v>
      </c>
      <c r="AF60" s="296">
        <v>1</v>
      </c>
      <c r="AG60" s="281">
        <f t="shared" si="38"/>
        <v>0</v>
      </c>
      <c r="AH60" s="282">
        <f t="shared" si="38"/>
        <v>0</v>
      </c>
      <c r="AI60" s="285">
        <v>0</v>
      </c>
      <c r="AJ60" s="319">
        <f t="shared" si="10"/>
        <v>575.64</v>
      </c>
      <c r="AK60" s="296">
        <v>1</v>
      </c>
      <c r="AL60" s="281">
        <f t="shared" si="39"/>
        <v>0</v>
      </c>
      <c r="AM60" s="282">
        <f t="shared" si="39"/>
        <v>0</v>
      </c>
      <c r="AN60" s="285">
        <v>0</v>
      </c>
      <c r="AO60" s="319">
        <f t="shared" si="12"/>
        <v>587.73</v>
      </c>
      <c r="AP60" s="296">
        <v>1</v>
      </c>
      <c r="AQ60" s="281">
        <f t="shared" si="40"/>
        <v>0</v>
      </c>
      <c r="AR60" s="282">
        <f t="shared" si="40"/>
        <v>0</v>
      </c>
    </row>
    <row r="61" spans="1:44" ht="45" customHeight="1" x14ac:dyDescent="0.25">
      <c r="A61" s="278" t="s">
        <v>735</v>
      </c>
      <c r="B61" s="313" t="s">
        <v>734</v>
      </c>
      <c r="C61" s="287">
        <v>0</v>
      </c>
      <c r="D61" s="184">
        <v>496.96</v>
      </c>
      <c r="E61" s="281">
        <v>1</v>
      </c>
      <c r="F61" s="281">
        <f t="shared" si="33"/>
        <v>0</v>
      </c>
      <c r="G61" s="282">
        <f t="shared" si="33"/>
        <v>0</v>
      </c>
      <c r="H61" s="284">
        <v>0</v>
      </c>
      <c r="I61" s="184">
        <v>496.96</v>
      </c>
      <c r="J61" s="281">
        <v>1</v>
      </c>
      <c r="K61" s="281">
        <f t="shared" si="34"/>
        <v>0</v>
      </c>
      <c r="L61" s="282">
        <f t="shared" si="34"/>
        <v>0</v>
      </c>
      <c r="M61" s="287">
        <v>0</v>
      </c>
      <c r="N61" s="182">
        <v>496.96</v>
      </c>
      <c r="O61" s="296">
        <v>1</v>
      </c>
      <c r="P61" s="281">
        <f t="shared" si="35"/>
        <v>0</v>
      </c>
      <c r="Q61" s="282">
        <f t="shared" si="35"/>
        <v>0</v>
      </c>
      <c r="R61" s="284">
        <v>2184</v>
      </c>
      <c r="S61" s="182">
        <f t="shared" si="16"/>
        <v>525.29</v>
      </c>
      <c r="T61" s="296">
        <v>1</v>
      </c>
      <c r="U61" s="281">
        <f t="shared" si="36"/>
        <v>2184</v>
      </c>
      <c r="V61" s="282">
        <f t="shared" si="36"/>
        <v>1147233.3599999999</v>
      </c>
      <c r="W61" s="278" t="s">
        <v>735</v>
      </c>
      <c r="X61" s="313" t="s">
        <v>734</v>
      </c>
      <c r="Y61" s="314">
        <v>1736</v>
      </c>
      <c r="Z61" s="315">
        <f t="shared" si="6"/>
        <v>546.83000000000004</v>
      </c>
      <c r="AA61" s="316">
        <v>1</v>
      </c>
      <c r="AB61" s="317">
        <f t="shared" si="37"/>
        <v>1736</v>
      </c>
      <c r="AC61" s="318">
        <f t="shared" si="37"/>
        <v>949296.88000000012</v>
      </c>
      <c r="AD61" s="284">
        <v>0</v>
      </c>
      <c r="AE61" s="182">
        <f t="shared" si="8"/>
        <v>561.04999999999995</v>
      </c>
      <c r="AF61" s="296">
        <v>1</v>
      </c>
      <c r="AG61" s="281">
        <f t="shared" si="38"/>
        <v>0</v>
      </c>
      <c r="AH61" s="282">
        <f t="shared" si="38"/>
        <v>0</v>
      </c>
      <c r="AI61" s="285">
        <v>0</v>
      </c>
      <c r="AJ61" s="319">
        <f t="shared" si="10"/>
        <v>575.64</v>
      </c>
      <c r="AK61" s="296">
        <v>1</v>
      </c>
      <c r="AL61" s="281">
        <f t="shared" si="39"/>
        <v>0</v>
      </c>
      <c r="AM61" s="282">
        <f t="shared" si="39"/>
        <v>0</v>
      </c>
      <c r="AN61" s="285">
        <v>0</v>
      </c>
      <c r="AO61" s="319">
        <f t="shared" si="12"/>
        <v>587.73</v>
      </c>
      <c r="AP61" s="296">
        <v>1</v>
      </c>
      <c r="AQ61" s="281">
        <f t="shared" si="40"/>
        <v>0</v>
      </c>
      <c r="AR61" s="282">
        <f t="shared" si="40"/>
        <v>0</v>
      </c>
    </row>
    <row r="62" spans="1:44" ht="60.75" thickBot="1" x14ac:dyDescent="0.3">
      <c r="A62" s="262" t="s">
        <v>733</v>
      </c>
      <c r="B62" s="320" t="s">
        <v>732</v>
      </c>
      <c r="C62" s="328">
        <v>0</v>
      </c>
      <c r="D62" s="183">
        <v>496.96</v>
      </c>
      <c r="E62" s="293">
        <v>1</v>
      </c>
      <c r="F62" s="293">
        <f t="shared" si="33"/>
        <v>0</v>
      </c>
      <c r="G62" s="294">
        <f t="shared" si="33"/>
        <v>0</v>
      </c>
      <c r="H62" s="292">
        <v>0</v>
      </c>
      <c r="I62" s="183">
        <v>496.96</v>
      </c>
      <c r="J62" s="293">
        <v>1</v>
      </c>
      <c r="K62" s="293">
        <f t="shared" si="34"/>
        <v>0</v>
      </c>
      <c r="L62" s="294">
        <f t="shared" si="34"/>
        <v>0</v>
      </c>
      <c r="M62" s="328">
        <v>0</v>
      </c>
      <c r="N62" s="183">
        <v>496.96</v>
      </c>
      <c r="O62" s="293">
        <v>1</v>
      </c>
      <c r="P62" s="293">
        <f t="shared" si="35"/>
        <v>0</v>
      </c>
      <c r="Q62" s="294">
        <f t="shared" si="35"/>
        <v>0</v>
      </c>
      <c r="R62" s="292">
        <v>1408</v>
      </c>
      <c r="S62" s="183">
        <f t="shared" si="16"/>
        <v>525.29</v>
      </c>
      <c r="T62" s="293">
        <v>1</v>
      </c>
      <c r="U62" s="293">
        <f t="shared" si="36"/>
        <v>1408</v>
      </c>
      <c r="V62" s="294">
        <f t="shared" si="36"/>
        <v>739608.32</v>
      </c>
      <c r="W62" s="262" t="s">
        <v>733</v>
      </c>
      <c r="X62" s="320" t="s">
        <v>732</v>
      </c>
      <c r="Y62" s="321">
        <v>1408</v>
      </c>
      <c r="Z62" s="322">
        <f t="shared" si="6"/>
        <v>546.83000000000004</v>
      </c>
      <c r="AA62" s="323">
        <v>1</v>
      </c>
      <c r="AB62" s="323">
        <f t="shared" si="37"/>
        <v>1408</v>
      </c>
      <c r="AC62" s="324">
        <f t="shared" si="37"/>
        <v>769936.64</v>
      </c>
      <c r="AD62" s="292">
        <v>0</v>
      </c>
      <c r="AE62" s="183">
        <f t="shared" si="8"/>
        <v>561.04999999999995</v>
      </c>
      <c r="AF62" s="293">
        <v>1</v>
      </c>
      <c r="AG62" s="293">
        <f t="shared" si="38"/>
        <v>0</v>
      </c>
      <c r="AH62" s="294">
        <f t="shared" si="38"/>
        <v>0</v>
      </c>
      <c r="AI62" s="325">
        <v>0</v>
      </c>
      <c r="AJ62" s="326">
        <f t="shared" si="10"/>
        <v>575.64</v>
      </c>
      <c r="AK62" s="293">
        <v>1</v>
      </c>
      <c r="AL62" s="293">
        <f t="shared" si="39"/>
        <v>0</v>
      </c>
      <c r="AM62" s="294">
        <f t="shared" si="39"/>
        <v>0</v>
      </c>
      <c r="AN62" s="325">
        <v>0</v>
      </c>
      <c r="AO62" s="326">
        <f t="shared" si="12"/>
        <v>587.73</v>
      </c>
      <c r="AP62" s="293">
        <v>1</v>
      </c>
      <c r="AQ62" s="293">
        <f t="shared" si="40"/>
        <v>0</v>
      </c>
      <c r="AR62" s="294">
        <f t="shared" si="40"/>
        <v>0</v>
      </c>
    </row>
    <row r="63" spans="1:44" ht="45" x14ac:dyDescent="0.25">
      <c r="A63" s="300" t="s">
        <v>731</v>
      </c>
      <c r="B63" s="301" t="s">
        <v>730</v>
      </c>
      <c r="C63" s="327">
        <v>0</v>
      </c>
      <c r="D63" s="185">
        <v>496.96</v>
      </c>
      <c r="E63" s="303">
        <v>1</v>
      </c>
      <c r="F63" s="304">
        <f t="shared" si="33"/>
        <v>0</v>
      </c>
      <c r="G63" s="305">
        <f t="shared" si="33"/>
        <v>0</v>
      </c>
      <c r="H63" s="302">
        <v>0</v>
      </c>
      <c r="I63" s="185">
        <v>496.96</v>
      </c>
      <c r="J63" s="303">
        <v>1</v>
      </c>
      <c r="K63" s="304">
        <f t="shared" si="34"/>
        <v>0</v>
      </c>
      <c r="L63" s="305">
        <f t="shared" si="34"/>
        <v>0</v>
      </c>
      <c r="M63" s="327">
        <v>0</v>
      </c>
      <c r="N63" s="185">
        <v>496.96</v>
      </c>
      <c r="O63" s="303">
        <v>1</v>
      </c>
      <c r="P63" s="304">
        <f t="shared" si="35"/>
        <v>0</v>
      </c>
      <c r="Q63" s="305">
        <f t="shared" si="35"/>
        <v>0</v>
      </c>
      <c r="R63" s="302">
        <v>498</v>
      </c>
      <c r="S63" s="185">
        <f t="shared" si="16"/>
        <v>525.29</v>
      </c>
      <c r="T63" s="303">
        <v>1</v>
      </c>
      <c r="U63" s="304">
        <f t="shared" si="36"/>
        <v>498</v>
      </c>
      <c r="V63" s="305">
        <f t="shared" si="36"/>
        <v>261594.41999999998</v>
      </c>
      <c r="W63" s="300" t="s">
        <v>731</v>
      </c>
      <c r="X63" s="301" t="s">
        <v>730</v>
      </c>
      <c r="Y63" s="306">
        <v>498</v>
      </c>
      <c r="Z63" s="307">
        <f t="shared" si="6"/>
        <v>546.83000000000004</v>
      </c>
      <c r="AA63" s="308">
        <v>1</v>
      </c>
      <c r="AB63" s="309">
        <f t="shared" si="37"/>
        <v>498</v>
      </c>
      <c r="AC63" s="310">
        <f t="shared" si="37"/>
        <v>272321.34000000003</v>
      </c>
      <c r="AD63" s="302">
        <v>0</v>
      </c>
      <c r="AE63" s="185">
        <f t="shared" si="8"/>
        <v>561.04999999999995</v>
      </c>
      <c r="AF63" s="303">
        <v>1</v>
      </c>
      <c r="AG63" s="304">
        <f t="shared" si="38"/>
        <v>0</v>
      </c>
      <c r="AH63" s="305">
        <f t="shared" si="38"/>
        <v>0</v>
      </c>
      <c r="AI63" s="311">
        <v>0</v>
      </c>
      <c r="AJ63" s="312">
        <f t="shared" si="10"/>
        <v>575.64</v>
      </c>
      <c r="AK63" s="303">
        <v>1</v>
      </c>
      <c r="AL63" s="304">
        <f t="shared" si="39"/>
        <v>0</v>
      </c>
      <c r="AM63" s="305">
        <f t="shared" si="39"/>
        <v>0</v>
      </c>
      <c r="AN63" s="311">
        <v>0</v>
      </c>
      <c r="AO63" s="312">
        <f t="shared" si="12"/>
        <v>587.73</v>
      </c>
      <c r="AP63" s="303">
        <v>1</v>
      </c>
      <c r="AQ63" s="304">
        <f t="shared" si="40"/>
        <v>0</v>
      </c>
      <c r="AR63" s="305">
        <f t="shared" si="40"/>
        <v>0</v>
      </c>
    </row>
    <row r="64" spans="1:44" ht="45" x14ac:dyDescent="0.25">
      <c r="A64" s="278" t="s">
        <v>729</v>
      </c>
      <c r="B64" s="313" t="s">
        <v>728</v>
      </c>
      <c r="C64" s="287">
        <v>0</v>
      </c>
      <c r="D64" s="184">
        <v>496.96</v>
      </c>
      <c r="E64" s="281">
        <v>1</v>
      </c>
      <c r="F64" s="281">
        <f t="shared" si="33"/>
        <v>0</v>
      </c>
      <c r="G64" s="282">
        <f t="shared" si="33"/>
        <v>0</v>
      </c>
      <c r="H64" s="284">
        <v>0</v>
      </c>
      <c r="I64" s="184">
        <v>496.96</v>
      </c>
      <c r="J64" s="281">
        <v>1</v>
      </c>
      <c r="K64" s="281">
        <f t="shared" si="34"/>
        <v>0</v>
      </c>
      <c r="L64" s="282">
        <f t="shared" si="34"/>
        <v>0</v>
      </c>
      <c r="M64" s="287">
        <v>0</v>
      </c>
      <c r="N64" s="182">
        <v>496.96</v>
      </c>
      <c r="O64" s="296">
        <v>1</v>
      </c>
      <c r="P64" s="281">
        <f t="shared" si="35"/>
        <v>0</v>
      </c>
      <c r="Q64" s="282">
        <f t="shared" si="35"/>
        <v>0</v>
      </c>
      <c r="R64" s="284">
        <v>0</v>
      </c>
      <c r="S64" s="182">
        <f t="shared" si="16"/>
        <v>525.29</v>
      </c>
      <c r="T64" s="296">
        <v>1</v>
      </c>
      <c r="U64" s="281">
        <f t="shared" si="36"/>
        <v>0</v>
      </c>
      <c r="V64" s="282">
        <f t="shared" si="36"/>
        <v>0</v>
      </c>
      <c r="W64" s="278" t="s">
        <v>729</v>
      </c>
      <c r="X64" s="313" t="s">
        <v>728</v>
      </c>
      <c r="Y64" s="314">
        <v>389</v>
      </c>
      <c r="Z64" s="315">
        <f t="shared" si="6"/>
        <v>546.83000000000004</v>
      </c>
      <c r="AA64" s="316">
        <v>1</v>
      </c>
      <c r="AB64" s="317">
        <f t="shared" si="37"/>
        <v>389</v>
      </c>
      <c r="AC64" s="318">
        <f t="shared" si="37"/>
        <v>212716.87000000002</v>
      </c>
      <c r="AD64" s="284">
        <v>0</v>
      </c>
      <c r="AE64" s="182">
        <f t="shared" si="8"/>
        <v>561.04999999999995</v>
      </c>
      <c r="AF64" s="296">
        <v>1</v>
      </c>
      <c r="AG64" s="281">
        <f t="shared" si="38"/>
        <v>0</v>
      </c>
      <c r="AH64" s="282">
        <f t="shared" si="38"/>
        <v>0</v>
      </c>
      <c r="AI64" s="285">
        <v>0</v>
      </c>
      <c r="AJ64" s="319">
        <f t="shared" si="10"/>
        <v>575.64</v>
      </c>
      <c r="AK64" s="296">
        <v>1</v>
      </c>
      <c r="AL64" s="281">
        <f t="shared" si="39"/>
        <v>0</v>
      </c>
      <c r="AM64" s="282">
        <f t="shared" si="39"/>
        <v>0</v>
      </c>
      <c r="AN64" s="285">
        <v>0</v>
      </c>
      <c r="AO64" s="319">
        <f t="shared" si="12"/>
        <v>587.73</v>
      </c>
      <c r="AP64" s="296">
        <v>1</v>
      </c>
      <c r="AQ64" s="281">
        <f t="shared" si="40"/>
        <v>0</v>
      </c>
      <c r="AR64" s="282">
        <f t="shared" si="40"/>
        <v>0</v>
      </c>
    </row>
    <row r="65" spans="1:44" ht="45" customHeight="1" x14ac:dyDescent="0.25">
      <c r="A65" s="278" t="s">
        <v>727</v>
      </c>
      <c r="B65" s="313" t="s">
        <v>726</v>
      </c>
      <c r="C65" s="287">
        <v>0</v>
      </c>
      <c r="D65" s="184">
        <v>496.96</v>
      </c>
      <c r="E65" s="281">
        <v>1</v>
      </c>
      <c r="F65" s="281">
        <f t="shared" si="33"/>
        <v>0</v>
      </c>
      <c r="G65" s="282">
        <f t="shared" si="33"/>
        <v>0</v>
      </c>
      <c r="H65" s="284">
        <v>0</v>
      </c>
      <c r="I65" s="184">
        <v>496.96</v>
      </c>
      <c r="J65" s="281">
        <v>1</v>
      </c>
      <c r="K65" s="281">
        <f t="shared" si="34"/>
        <v>0</v>
      </c>
      <c r="L65" s="282">
        <f t="shared" si="34"/>
        <v>0</v>
      </c>
      <c r="M65" s="287">
        <v>0</v>
      </c>
      <c r="N65" s="182">
        <v>496.96</v>
      </c>
      <c r="O65" s="296">
        <v>1</v>
      </c>
      <c r="P65" s="281">
        <f t="shared" si="35"/>
        <v>0</v>
      </c>
      <c r="Q65" s="282">
        <f t="shared" si="35"/>
        <v>0</v>
      </c>
      <c r="R65" s="284">
        <v>0</v>
      </c>
      <c r="S65" s="182">
        <f t="shared" si="16"/>
        <v>525.29</v>
      </c>
      <c r="T65" s="296">
        <v>1</v>
      </c>
      <c r="U65" s="281">
        <f t="shared" si="36"/>
        <v>0</v>
      </c>
      <c r="V65" s="282">
        <f t="shared" si="36"/>
        <v>0</v>
      </c>
      <c r="W65" s="278" t="s">
        <v>727</v>
      </c>
      <c r="X65" s="313" t="s">
        <v>726</v>
      </c>
      <c r="Y65" s="314">
        <v>1736</v>
      </c>
      <c r="Z65" s="315">
        <f t="shared" si="6"/>
        <v>546.83000000000004</v>
      </c>
      <c r="AA65" s="316">
        <v>1</v>
      </c>
      <c r="AB65" s="317">
        <f t="shared" si="37"/>
        <v>1736</v>
      </c>
      <c r="AC65" s="318">
        <f t="shared" si="37"/>
        <v>949296.88000000012</v>
      </c>
      <c r="AD65" s="284">
        <v>0</v>
      </c>
      <c r="AE65" s="182">
        <f t="shared" si="8"/>
        <v>561.04999999999995</v>
      </c>
      <c r="AF65" s="296">
        <v>1</v>
      </c>
      <c r="AG65" s="281">
        <f t="shared" si="38"/>
        <v>0</v>
      </c>
      <c r="AH65" s="282">
        <f t="shared" si="38"/>
        <v>0</v>
      </c>
      <c r="AI65" s="285">
        <v>0</v>
      </c>
      <c r="AJ65" s="319">
        <f t="shared" si="10"/>
        <v>575.64</v>
      </c>
      <c r="AK65" s="296">
        <v>1</v>
      </c>
      <c r="AL65" s="281">
        <f t="shared" si="39"/>
        <v>0</v>
      </c>
      <c r="AM65" s="282">
        <f t="shared" si="39"/>
        <v>0</v>
      </c>
      <c r="AN65" s="285">
        <v>0</v>
      </c>
      <c r="AO65" s="319">
        <f t="shared" si="12"/>
        <v>587.73</v>
      </c>
      <c r="AP65" s="296">
        <v>1</v>
      </c>
      <c r="AQ65" s="281">
        <f t="shared" si="40"/>
        <v>0</v>
      </c>
      <c r="AR65" s="282">
        <f t="shared" si="40"/>
        <v>0</v>
      </c>
    </row>
    <row r="66" spans="1:44" ht="60.75" thickBot="1" x14ac:dyDescent="0.3">
      <c r="A66" s="262" t="s">
        <v>725</v>
      </c>
      <c r="B66" s="320" t="s">
        <v>724</v>
      </c>
      <c r="C66" s="328">
        <v>0</v>
      </c>
      <c r="D66" s="183">
        <v>496.96</v>
      </c>
      <c r="E66" s="293">
        <v>1</v>
      </c>
      <c r="F66" s="293">
        <f t="shared" si="33"/>
        <v>0</v>
      </c>
      <c r="G66" s="294">
        <f t="shared" si="33"/>
        <v>0</v>
      </c>
      <c r="H66" s="292">
        <v>0</v>
      </c>
      <c r="I66" s="183">
        <v>496.96</v>
      </c>
      <c r="J66" s="293">
        <v>1</v>
      </c>
      <c r="K66" s="293">
        <f t="shared" si="34"/>
        <v>0</v>
      </c>
      <c r="L66" s="294">
        <f t="shared" si="34"/>
        <v>0</v>
      </c>
      <c r="M66" s="328">
        <v>0</v>
      </c>
      <c r="N66" s="183">
        <v>496.96</v>
      </c>
      <c r="O66" s="293">
        <v>1</v>
      </c>
      <c r="P66" s="293">
        <f t="shared" si="35"/>
        <v>0</v>
      </c>
      <c r="Q66" s="294">
        <f t="shared" si="35"/>
        <v>0</v>
      </c>
      <c r="R66" s="292">
        <v>0</v>
      </c>
      <c r="S66" s="183">
        <f t="shared" si="16"/>
        <v>525.29</v>
      </c>
      <c r="T66" s="293">
        <v>1</v>
      </c>
      <c r="U66" s="293">
        <f t="shared" si="36"/>
        <v>0</v>
      </c>
      <c r="V66" s="294">
        <f t="shared" si="36"/>
        <v>0</v>
      </c>
      <c r="W66" s="262" t="s">
        <v>725</v>
      </c>
      <c r="X66" s="320" t="s">
        <v>724</v>
      </c>
      <c r="Y66" s="321">
        <v>1408</v>
      </c>
      <c r="Z66" s="322">
        <f t="shared" si="6"/>
        <v>546.83000000000004</v>
      </c>
      <c r="AA66" s="323">
        <v>1</v>
      </c>
      <c r="AB66" s="323">
        <f t="shared" si="37"/>
        <v>1408</v>
      </c>
      <c r="AC66" s="324">
        <f t="shared" si="37"/>
        <v>769936.64</v>
      </c>
      <c r="AD66" s="292">
        <v>0</v>
      </c>
      <c r="AE66" s="183">
        <f t="shared" si="8"/>
        <v>561.04999999999995</v>
      </c>
      <c r="AF66" s="293">
        <v>1</v>
      </c>
      <c r="AG66" s="293">
        <f t="shared" si="38"/>
        <v>0</v>
      </c>
      <c r="AH66" s="294">
        <f t="shared" si="38"/>
        <v>0</v>
      </c>
      <c r="AI66" s="325">
        <v>0</v>
      </c>
      <c r="AJ66" s="326">
        <f t="shared" si="10"/>
        <v>575.64</v>
      </c>
      <c r="AK66" s="293">
        <v>1</v>
      </c>
      <c r="AL66" s="293">
        <f t="shared" si="39"/>
        <v>0</v>
      </c>
      <c r="AM66" s="294">
        <f t="shared" si="39"/>
        <v>0</v>
      </c>
      <c r="AN66" s="325">
        <v>0</v>
      </c>
      <c r="AO66" s="326">
        <f t="shared" si="12"/>
        <v>587.73</v>
      </c>
      <c r="AP66" s="293">
        <v>1</v>
      </c>
      <c r="AQ66" s="293">
        <f t="shared" si="40"/>
        <v>0</v>
      </c>
      <c r="AR66" s="294">
        <f t="shared" si="40"/>
        <v>0</v>
      </c>
    </row>
    <row r="67" spans="1:44" ht="45" x14ac:dyDescent="0.25">
      <c r="A67" s="300" t="s">
        <v>723</v>
      </c>
      <c r="B67" s="301" t="s">
        <v>722</v>
      </c>
      <c r="C67" s="327">
        <v>0</v>
      </c>
      <c r="D67" s="185">
        <v>496.96</v>
      </c>
      <c r="E67" s="303">
        <v>1</v>
      </c>
      <c r="F67" s="304">
        <f t="shared" si="33"/>
        <v>0</v>
      </c>
      <c r="G67" s="305">
        <f t="shared" si="33"/>
        <v>0</v>
      </c>
      <c r="H67" s="302">
        <v>0</v>
      </c>
      <c r="I67" s="185">
        <v>496.96</v>
      </c>
      <c r="J67" s="303">
        <v>1</v>
      </c>
      <c r="K67" s="304">
        <f t="shared" si="34"/>
        <v>0</v>
      </c>
      <c r="L67" s="305">
        <f t="shared" si="34"/>
        <v>0</v>
      </c>
      <c r="M67" s="327">
        <v>0</v>
      </c>
      <c r="N67" s="185">
        <v>496.96</v>
      </c>
      <c r="O67" s="303">
        <v>1</v>
      </c>
      <c r="P67" s="304">
        <f t="shared" si="35"/>
        <v>0</v>
      </c>
      <c r="Q67" s="305">
        <f t="shared" si="35"/>
        <v>0</v>
      </c>
      <c r="R67" s="302">
        <v>0</v>
      </c>
      <c r="S67" s="185">
        <f t="shared" si="16"/>
        <v>525.29</v>
      </c>
      <c r="T67" s="303">
        <v>1</v>
      </c>
      <c r="U67" s="304">
        <f t="shared" si="36"/>
        <v>0</v>
      </c>
      <c r="V67" s="305">
        <f t="shared" si="36"/>
        <v>0</v>
      </c>
      <c r="W67" s="300" t="s">
        <v>723</v>
      </c>
      <c r="X67" s="301" t="s">
        <v>722</v>
      </c>
      <c r="Y67" s="306">
        <v>498</v>
      </c>
      <c r="Z67" s="307">
        <f t="shared" si="6"/>
        <v>546.83000000000004</v>
      </c>
      <c r="AA67" s="308">
        <v>1</v>
      </c>
      <c r="AB67" s="309">
        <f t="shared" si="37"/>
        <v>498</v>
      </c>
      <c r="AC67" s="310">
        <f t="shared" si="37"/>
        <v>272321.34000000003</v>
      </c>
      <c r="AD67" s="302">
        <v>0</v>
      </c>
      <c r="AE67" s="185">
        <f t="shared" si="8"/>
        <v>561.04999999999995</v>
      </c>
      <c r="AF67" s="303">
        <v>1</v>
      </c>
      <c r="AG67" s="304">
        <f t="shared" si="38"/>
        <v>0</v>
      </c>
      <c r="AH67" s="305">
        <f t="shared" si="38"/>
        <v>0</v>
      </c>
      <c r="AI67" s="311">
        <v>0</v>
      </c>
      <c r="AJ67" s="312">
        <f t="shared" si="10"/>
        <v>575.64</v>
      </c>
      <c r="AK67" s="303">
        <v>1</v>
      </c>
      <c r="AL67" s="304">
        <f t="shared" si="39"/>
        <v>0</v>
      </c>
      <c r="AM67" s="305">
        <f t="shared" si="39"/>
        <v>0</v>
      </c>
      <c r="AN67" s="311">
        <v>0</v>
      </c>
      <c r="AO67" s="312">
        <f t="shared" si="12"/>
        <v>587.73</v>
      </c>
      <c r="AP67" s="303">
        <v>1</v>
      </c>
      <c r="AQ67" s="304">
        <f t="shared" si="40"/>
        <v>0</v>
      </c>
      <c r="AR67" s="305">
        <f t="shared" si="40"/>
        <v>0</v>
      </c>
    </row>
    <row r="68" spans="1:44" ht="45" x14ac:dyDescent="0.25">
      <c r="A68" s="278" t="s">
        <v>721</v>
      </c>
      <c r="B68" s="313" t="s">
        <v>720</v>
      </c>
      <c r="C68" s="287">
        <v>0</v>
      </c>
      <c r="D68" s="184">
        <v>496.96</v>
      </c>
      <c r="E68" s="281">
        <v>1</v>
      </c>
      <c r="F68" s="281">
        <f t="shared" si="33"/>
        <v>0</v>
      </c>
      <c r="G68" s="282">
        <f t="shared" si="33"/>
        <v>0</v>
      </c>
      <c r="H68" s="284">
        <v>0</v>
      </c>
      <c r="I68" s="184">
        <v>496.96</v>
      </c>
      <c r="J68" s="281">
        <v>1</v>
      </c>
      <c r="K68" s="281">
        <f t="shared" si="34"/>
        <v>0</v>
      </c>
      <c r="L68" s="282">
        <f t="shared" si="34"/>
        <v>0</v>
      </c>
      <c r="M68" s="287">
        <v>0</v>
      </c>
      <c r="N68" s="182">
        <v>496.96</v>
      </c>
      <c r="O68" s="296">
        <v>1</v>
      </c>
      <c r="P68" s="281">
        <f t="shared" si="35"/>
        <v>0</v>
      </c>
      <c r="Q68" s="282">
        <f t="shared" si="35"/>
        <v>0</v>
      </c>
      <c r="R68" s="284">
        <v>0</v>
      </c>
      <c r="S68" s="182">
        <f t="shared" si="16"/>
        <v>525.29</v>
      </c>
      <c r="T68" s="296">
        <v>1</v>
      </c>
      <c r="U68" s="281">
        <f t="shared" si="36"/>
        <v>0</v>
      </c>
      <c r="V68" s="282">
        <f t="shared" si="36"/>
        <v>0</v>
      </c>
      <c r="W68" s="278" t="s">
        <v>721</v>
      </c>
      <c r="X68" s="313" t="s">
        <v>720</v>
      </c>
      <c r="Y68" s="314">
        <v>389</v>
      </c>
      <c r="Z68" s="315">
        <f t="shared" si="6"/>
        <v>546.83000000000004</v>
      </c>
      <c r="AA68" s="316">
        <v>1</v>
      </c>
      <c r="AB68" s="317">
        <f t="shared" si="37"/>
        <v>389</v>
      </c>
      <c r="AC68" s="318">
        <f t="shared" si="37"/>
        <v>212716.87000000002</v>
      </c>
      <c r="AD68" s="284">
        <v>0</v>
      </c>
      <c r="AE68" s="182">
        <f t="shared" si="8"/>
        <v>561.04999999999995</v>
      </c>
      <c r="AF68" s="296">
        <v>1</v>
      </c>
      <c r="AG68" s="281">
        <f t="shared" si="38"/>
        <v>0</v>
      </c>
      <c r="AH68" s="282">
        <f t="shared" si="38"/>
        <v>0</v>
      </c>
      <c r="AI68" s="285">
        <v>0</v>
      </c>
      <c r="AJ68" s="319">
        <f t="shared" si="10"/>
        <v>575.64</v>
      </c>
      <c r="AK68" s="296">
        <v>1</v>
      </c>
      <c r="AL68" s="281">
        <f t="shared" si="39"/>
        <v>0</v>
      </c>
      <c r="AM68" s="282">
        <f t="shared" si="39"/>
        <v>0</v>
      </c>
      <c r="AN68" s="285">
        <v>0</v>
      </c>
      <c r="AO68" s="319">
        <f t="shared" si="12"/>
        <v>587.73</v>
      </c>
      <c r="AP68" s="296">
        <v>1</v>
      </c>
      <c r="AQ68" s="281">
        <f t="shared" si="40"/>
        <v>0</v>
      </c>
      <c r="AR68" s="282">
        <f t="shared" si="40"/>
        <v>0</v>
      </c>
    </row>
    <row r="69" spans="1:44" ht="44.1" customHeight="1" x14ac:dyDescent="0.25">
      <c r="A69" s="278" t="s">
        <v>719</v>
      </c>
      <c r="B69" s="313" t="s">
        <v>718</v>
      </c>
      <c r="C69" s="287">
        <v>0</v>
      </c>
      <c r="D69" s="184">
        <v>496.96</v>
      </c>
      <c r="E69" s="281">
        <v>1</v>
      </c>
      <c r="F69" s="281">
        <f t="shared" si="33"/>
        <v>0</v>
      </c>
      <c r="G69" s="282">
        <f t="shared" si="33"/>
        <v>0</v>
      </c>
      <c r="H69" s="284">
        <v>0</v>
      </c>
      <c r="I69" s="184">
        <v>496.96</v>
      </c>
      <c r="J69" s="281">
        <v>1</v>
      </c>
      <c r="K69" s="281">
        <f t="shared" si="34"/>
        <v>0</v>
      </c>
      <c r="L69" s="282">
        <f t="shared" si="34"/>
        <v>0</v>
      </c>
      <c r="M69" s="287">
        <v>0</v>
      </c>
      <c r="N69" s="182">
        <v>496.96</v>
      </c>
      <c r="O69" s="296">
        <v>1</v>
      </c>
      <c r="P69" s="281">
        <f t="shared" si="35"/>
        <v>0</v>
      </c>
      <c r="Q69" s="282">
        <f t="shared" si="35"/>
        <v>0</v>
      </c>
      <c r="R69" s="284">
        <v>0</v>
      </c>
      <c r="S69" s="182">
        <f t="shared" si="16"/>
        <v>525.29</v>
      </c>
      <c r="T69" s="296">
        <v>1</v>
      </c>
      <c r="U69" s="281">
        <f t="shared" si="36"/>
        <v>0</v>
      </c>
      <c r="V69" s="282">
        <f t="shared" si="36"/>
        <v>0</v>
      </c>
      <c r="W69" s="278" t="s">
        <v>719</v>
      </c>
      <c r="X69" s="313" t="s">
        <v>718</v>
      </c>
      <c r="Y69" s="314">
        <v>1736</v>
      </c>
      <c r="Z69" s="315">
        <f t="shared" si="6"/>
        <v>546.83000000000004</v>
      </c>
      <c r="AA69" s="316">
        <v>1</v>
      </c>
      <c r="AB69" s="317">
        <f t="shared" si="37"/>
        <v>1736</v>
      </c>
      <c r="AC69" s="318">
        <f t="shared" si="37"/>
        <v>949296.88000000012</v>
      </c>
      <c r="AD69" s="284">
        <v>0</v>
      </c>
      <c r="AE69" s="182">
        <f t="shared" si="8"/>
        <v>561.04999999999995</v>
      </c>
      <c r="AF69" s="296">
        <v>1</v>
      </c>
      <c r="AG69" s="281">
        <f t="shared" si="38"/>
        <v>0</v>
      </c>
      <c r="AH69" s="282">
        <f t="shared" si="38"/>
        <v>0</v>
      </c>
      <c r="AI69" s="285">
        <v>0</v>
      </c>
      <c r="AJ69" s="319">
        <f t="shared" si="10"/>
        <v>575.64</v>
      </c>
      <c r="AK69" s="296">
        <v>1</v>
      </c>
      <c r="AL69" s="281">
        <f t="shared" si="39"/>
        <v>0</v>
      </c>
      <c r="AM69" s="282">
        <f t="shared" si="39"/>
        <v>0</v>
      </c>
      <c r="AN69" s="285">
        <v>0</v>
      </c>
      <c r="AO69" s="319">
        <f t="shared" si="12"/>
        <v>587.73</v>
      </c>
      <c r="AP69" s="296">
        <v>1</v>
      </c>
      <c r="AQ69" s="281">
        <f t="shared" si="40"/>
        <v>0</v>
      </c>
      <c r="AR69" s="282">
        <f t="shared" si="40"/>
        <v>0</v>
      </c>
    </row>
    <row r="70" spans="1:44" ht="60.75" thickBot="1" x14ac:dyDescent="0.3">
      <c r="A70" s="262" t="s">
        <v>717</v>
      </c>
      <c r="B70" s="320" t="s">
        <v>716</v>
      </c>
      <c r="C70" s="328">
        <v>0</v>
      </c>
      <c r="D70" s="183">
        <v>496.96</v>
      </c>
      <c r="E70" s="293">
        <v>1</v>
      </c>
      <c r="F70" s="293">
        <f t="shared" si="33"/>
        <v>0</v>
      </c>
      <c r="G70" s="294">
        <f t="shared" si="33"/>
        <v>0</v>
      </c>
      <c r="H70" s="292">
        <v>0</v>
      </c>
      <c r="I70" s="183">
        <v>496.96</v>
      </c>
      <c r="J70" s="293">
        <v>1</v>
      </c>
      <c r="K70" s="293">
        <f t="shared" si="34"/>
        <v>0</v>
      </c>
      <c r="L70" s="294">
        <f t="shared" si="34"/>
        <v>0</v>
      </c>
      <c r="M70" s="328">
        <v>0</v>
      </c>
      <c r="N70" s="183">
        <v>496.96</v>
      </c>
      <c r="O70" s="293">
        <v>1</v>
      </c>
      <c r="P70" s="293">
        <f t="shared" si="35"/>
        <v>0</v>
      </c>
      <c r="Q70" s="294">
        <f t="shared" si="35"/>
        <v>0</v>
      </c>
      <c r="R70" s="292">
        <v>0</v>
      </c>
      <c r="S70" s="183">
        <f t="shared" si="16"/>
        <v>525.29</v>
      </c>
      <c r="T70" s="293">
        <v>1</v>
      </c>
      <c r="U70" s="293">
        <f t="shared" si="36"/>
        <v>0</v>
      </c>
      <c r="V70" s="294">
        <f t="shared" si="36"/>
        <v>0</v>
      </c>
      <c r="W70" s="262" t="s">
        <v>717</v>
      </c>
      <c r="X70" s="320" t="s">
        <v>716</v>
      </c>
      <c r="Y70" s="321">
        <v>1408</v>
      </c>
      <c r="Z70" s="322">
        <f t="shared" si="6"/>
        <v>546.83000000000004</v>
      </c>
      <c r="AA70" s="323">
        <v>1</v>
      </c>
      <c r="AB70" s="323">
        <f t="shared" si="37"/>
        <v>1408</v>
      </c>
      <c r="AC70" s="324">
        <f t="shared" si="37"/>
        <v>769936.64</v>
      </c>
      <c r="AD70" s="292">
        <v>0</v>
      </c>
      <c r="AE70" s="183">
        <f t="shared" si="8"/>
        <v>561.04999999999995</v>
      </c>
      <c r="AF70" s="293">
        <v>1</v>
      </c>
      <c r="AG70" s="293">
        <f t="shared" si="38"/>
        <v>0</v>
      </c>
      <c r="AH70" s="294">
        <f t="shared" si="38"/>
        <v>0</v>
      </c>
      <c r="AI70" s="325">
        <v>0</v>
      </c>
      <c r="AJ70" s="326">
        <f t="shared" si="10"/>
        <v>575.64</v>
      </c>
      <c r="AK70" s="293">
        <v>1</v>
      </c>
      <c r="AL70" s="293">
        <f t="shared" si="39"/>
        <v>0</v>
      </c>
      <c r="AM70" s="294">
        <f t="shared" si="39"/>
        <v>0</v>
      </c>
      <c r="AN70" s="325">
        <v>0</v>
      </c>
      <c r="AO70" s="326">
        <f t="shared" si="12"/>
        <v>587.73</v>
      </c>
      <c r="AP70" s="293">
        <v>1</v>
      </c>
      <c r="AQ70" s="293">
        <f t="shared" si="40"/>
        <v>0</v>
      </c>
      <c r="AR70" s="294">
        <f t="shared" si="40"/>
        <v>0</v>
      </c>
    </row>
    <row r="71" spans="1:44" ht="45" x14ac:dyDescent="0.25">
      <c r="A71" s="300" t="s">
        <v>715</v>
      </c>
      <c r="B71" s="301" t="s">
        <v>714</v>
      </c>
      <c r="C71" s="327">
        <v>0</v>
      </c>
      <c r="D71" s="185">
        <v>496.96</v>
      </c>
      <c r="E71" s="303">
        <v>1</v>
      </c>
      <c r="F71" s="304">
        <f t="shared" si="33"/>
        <v>0</v>
      </c>
      <c r="G71" s="305">
        <f t="shared" si="33"/>
        <v>0</v>
      </c>
      <c r="H71" s="302">
        <v>0</v>
      </c>
      <c r="I71" s="185">
        <v>496.96</v>
      </c>
      <c r="J71" s="303">
        <v>1</v>
      </c>
      <c r="K71" s="304">
        <f t="shared" si="34"/>
        <v>0</v>
      </c>
      <c r="L71" s="305">
        <f t="shared" si="34"/>
        <v>0</v>
      </c>
      <c r="M71" s="327">
        <v>0</v>
      </c>
      <c r="N71" s="185">
        <v>496.96</v>
      </c>
      <c r="O71" s="303">
        <v>1</v>
      </c>
      <c r="P71" s="304">
        <f t="shared" si="35"/>
        <v>0</v>
      </c>
      <c r="Q71" s="305">
        <f t="shared" si="35"/>
        <v>0</v>
      </c>
      <c r="R71" s="302">
        <v>0</v>
      </c>
      <c r="S71" s="185">
        <f t="shared" si="16"/>
        <v>525.29</v>
      </c>
      <c r="T71" s="303">
        <v>1</v>
      </c>
      <c r="U71" s="304">
        <f t="shared" si="36"/>
        <v>0</v>
      </c>
      <c r="V71" s="305">
        <f t="shared" si="36"/>
        <v>0</v>
      </c>
      <c r="W71" s="300" t="s">
        <v>715</v>
      </c>
      <c r="X71" s="301" t="s">
        <v>714</v>
      </c>
      <c r="Y71" s="306">
        <v>498</v>
      </c>
      <c r="Z71" s="307">
        <f t="shared" si="6"/>
        <v>546.83000000000004</v>
      </c>
      <c r="AA71" s="308">
        <v>1</v>
      </c>
      <c r="AB71" s="309">
        <f t="shared" si="37"/>
        <v>498</v>
      </c>
      <c r="AC71" s="310">
        <f t="shared" si="37"/>
        <v>272321.34000000003</v>
      </c>
      <c r="AD71" s="302">
        <v>0</v>
      </c>
      <c r="AE71" s="185">
        <f t="shared" si="8"/>
        <v>561.04999999999995</v>
      </c>
      <c r="AF71" s="303">
        <v>1</v>
      </c>
      <c r="AG71" s="304">
        <f t="shared" si="38"/>
        <v>0</v>
      </c>
      <c r="AH71" s="305">
        <f t="shared" si="38"/>
        <v>0</v>
      </c>
      <c r="AI71" s="311">
        <v>0</v>
      </c>
      <c r="AJ71" s="312">
        <f t="shared" si="10"/>
        <v>575.64</v>
      </c>
      <c r="AK71" s="303">
        <v>1</v>
      </c>
      <c r="AL71" s="304">
        <f t="shared" si="39"/>
        <v>0</v>
      </c>
      <c r="AM71" s="305">
        <f t="shared" si="39"/>
        <v>0</v>
      </c>
      <c r="AN71" s="311">
        <v>0</v>
      </c>
      <c r="AO71" s="312">
        <f t="shared" si="12"/>
        <v>587.73</v>
      </c>
      <c r="AP71" s="303">
        <v>1</v>
      </c>
      <c r="AQ71" s="304">
        <f t="shared" si="40"/>
        <v>0</v>
      </c>
      <c r="AR71" s="305">
        <f t="shared" si="40"/>
        <v>0</v>
      </c>
    </row>
    <row r="72" spans="1:44" ht="45" x14ac:dyDescent="0.25">
      <c r="A72" s="278" t="s">
        <v>713</v>
      </c>
      <c r="B72" s="313" t="s">
        <v>712</v>
      </c>
      <c r="C72" s="287">
        <v>0</v>
      </c>
      <c r="D72" s="184">
        <v>496.96</v>
      </c>
      <c r="E72" s="281">
        <v>1</v>
      </c>
      <c r="F72" s="281">
        <f t="shared" si="33"/>
        <v>0</v>
      </c>
      <c r="G72" s="282">
        <f t="shared" si="33"/>
        <v>0</v>
      </c>
      <c r="H72" s="284">
        <v>0</v>
      </c>
      <c r="I72" s="184">
        <v>496.96</v>
      </c>
      <c r="J72" s="281">
        <v>1</v>
      </c>
      <c r="K72" s="281">
        <f t="shared" si="34"/>
        <v>0</v>
      </c>
      <c r="L72" s="282">
        <f t="shared" si="34"/>
        <v>0</v>
      </c>
      <c r="M72" s="287">
        <v>0</v>
      </c>
      <c r="N72" s="182">
        <v>496.96</v>
      </c>
      <c r="O72" s="296">
        <v>1</v>
      </c>
      <c r="P72" s="281">
        <f t="shared" si="35"/>
        <v>0</v>
      </c>
      <c r="Q72" s="282">
        <f t="shared" si="35"/>
        <v>0</v>
      </c>
      <c r="R72" s="284">
        <v>0</v>
      </c>
      <c r="S72" s="182">
        <f t="shared" si="16"/>
        <v>525.29</v>
      </c>
      <c r="T72" s="296">
        <v>1</v>
      </c>
      <c r="U72" s="281">
        <f t="shared" si="36"/>
        <v>0</v>
      </c>
      <c r="V72" s="282">
        <f t="shared" si="36"/>
        <v>0</v>
      </c>
      <c r="W72" s="278" t="s">
        <v>713</v>
      </c>
      <c r="X72" s="313" t="s">
        <v>712</v>
      </c>
      <c r="Y72" s="314">
        <v>389</v>
      </c>
      <c r="Z72" s="315">
        <f t="shared" si="6"/>
        <v>546.83000000000004</v>
      </c>
      <c r="AA72" s="316">
        <v>1</v>
      </c>
      <c r="AB72" s="317">
        <f t="shared" si="37"/>
        <v>389</v>
      </c>
      <c r="AC72" s="318">
        <f t="shared" si="37"/>
        <v>212716.87000000002</v>
      </c>
      <c r="AD72" s="284">
        <v>0</v>
      </c>
      <c r="AE72" s="182">
        <f t="shared" si="8"/>
        <v>561.04999999999995</v>
      </c>
      <c r="AF72" s="296">
        <v>1</v>
      </c>
      <c r="AG72" s="281">
        <f t="shared" si="38"/>
        <v>0</v>
      </c>
      <c r="AH72" s="282">
        <f t="shared" si="38"/>
        <v>0</v>
      </c>
      <c r="AI72" s="285">
        <v>0</v>
      </c>
      <c r="AJ72" s="319">
        <f t="shared" si="10"/>
        <v>575.64</v>
      </c>
      <c r="AK72" s="296">
        <v>1</v>
      </c>
      <c r="AL72" s="281">
        <f t="shared" si="39"/>
        <v>0</v>
      </c>
      <c r="AM72" s="282">
        <f t="shared" si="39"/>
        <v>0</v>
      </c>
      <c r="AN72" s="285">
        <v>0</v>
      </c>
      <c r="AO72" s="319">
        <f t="shared" si="12"/>
        <v>587.73</v>
      </c>
      <c r="AP72" s="296">
        <v>1</v>
      </c>
      <c r="AQ72" s="281">
        <f t="shared" si="40"/>
        <v>0</v>
      </c>
      <c r="AR72" s="282">
        <f t="shared" si="40"/>
        <v>0</v>
      </c>
    </row>
    <row r="73" spans="1:44" ht="45" customHeight="1" x14ac:dyDescent="0.25">
      <c r="A73" s="278" t="s">
        <v>711</v>
      </c>
      <c r="B73" s="313" t="s">
        <v>710</v>
      </c>
      <c r="C73" s="287">
        <v>0</v>
      </c>
      <c r="D73" s="184">
        <v>496.96</v>
      </c>
      <c r="E73" s="281">
        <v>1</v>
      </c>
      <c r="F73" s="281">
        <f t="shared" ref="F73:G88" si="41">C73*E73</f>
        <v>0</v>
      </c>
      <c r="G73" s="282">
        <f t="shared" si="41"/>
        <v>0</v>
      </c>
      <c r="H73" s="284">
        <v>0</v>
      </c>
      <c r="I73" s="184">
        <v>496.96</v>
      </c>
      <c r="J73" s="281">
        <v>1</v>
      </c>
      <c r="K73" s="281">
        <f t="shared" ref="K73:L88" si="42">H73*J73</f>
        <v>0</v>
      </c>
      <c r="L73" s="282">
        <f t="shared" si="42"/>
        <v>0</v>
      </c>
      <c r="M73" s="287">
        <v>0</v>
      </c>
      <c r="N73" s="182">
        <v>496.96</v>
      </c>
      <c r="O73" s="296">
        <v>1</v>
      </c>
      <c r="P73" s="281">
        <f t="shared" ref="P73:Q88" si="43">M73*O73</f>
        <v>0</v>
      </c>
      <c r="Q73" s="282">
        <f t="shared" si="43"/>
        <v>0</v>
      </c>
      <c r="R73" s="284">
        <v>0</v>
      </c>
      <c r="S73" s="182">
        <f t="shared" si="16"/>
        <v>525.29</v>
      </c>
      <c r="T73" s="296">
        <v>1</v>
      </c>
      <c r="U73" s="281">
        <f t="shared" si="36"/>
        <v>0</v>
      </c>
      <c r="V73" s="282">
        <f t="shared" si="36"/>
        <v>0</v>
      </c>
      <c r="W73" s="278" t="s">
        <v>711</v>
      </c>
      <c r="X73" s="313" t="s">
        <v>710</v>
      </c>
      <c r="Y73" s="314">
        <v>1736</v>
      </c>
      <c r="Z73" s="315">
        <f t="shared" si="6"/>
        <v>546.83000000000004</v>
      </c>
      <c r="AA73" s="316">
        <v>1</v>
      </c>
      <c r="AB73" s="317">
        <f t="shared" si="37"/>
        <v>1736</v>
      </c>
      <c r="AC73" s="318">
        <f t="shared" si="37"/>
        <v>949296.88000000012</v>
      </c>
      <c r="AD73" s="284">
        <v>0</v>
      </c>
      <c r="AE73" s="182">
        <f t="shared" si="8"/>
        <v>561.04999999999995</v>
      </c>
      <c r="AF73" s="296">
        <v>1</v>
      </c>
      <c r="AG73" s="281">
        <f t="shared" si="38"/>
        <v>0</v>
      </c>
      <c r="AH73" s="282">
        <f t="shared" si="38"/>
        <v>0</v>
      </c>
      <c r="AI73" s="285">
        <v>0</v>
      </c>
      <c r="AJ73" s="319">
        <f t="shared" si="10"/>
        <v>575.64</v>
      </c>
      <c r="AK73" s="296">
        <v>1</v>
      </c>
      <c r="AL73" s="281">
        <f t="shared" si="39"/>
        <v>0</v>
      </c>
      <c r="AM73" s="282">
        <f t="shared" si="39"/>
        <v>0</v>
      </c>
      <c r="AN73" s="285">
        <v>0</v>
      </c>
      <c r="AO73" s="319">
        <f t="shared" si="12"/>
        <v>587.73</v>
      </c>
      <c r="AP73" s="296">
        <v>1</v>
      </c>
      <c r="AQ73" s="281">
        <f t="shared" si="40"/>
        <v>0</v>
      </c>
      <c r="AR73" s="282">
        <f t="shared" si="40"/>
        <v>0</v>
      </c>
    </row>
    <row r="74" spans="1:44" ht="60.75" thickBot="1" x14ac:dyDescent="0.3">
      <c r="A74" s="262" t="s">
        <v>709</v>
      </c>
      <c r="B74" s="320" t="s">
        <v>708</v>
      </c>
      <c r="C74" s="328">
        <v>0</v>
      </c>
      <c r="D74" s="183">
        <v>496.96</v>
      </c>
      <c r="E74" s="293">
        <v>1</v>
      </c>
      <c r="F74" s="293">
        <f t="shared" si="41"/>
        <v>0</v>
      </c>
      <c r="G74" s="294">
        <f t="shared" si="41"/>
        <v>0</v>
      </c>
      <c r="H74" s="292">
        <v>0</v>
      </c>
      <c r="I74" s="183">
        <v>496.96</v>
      </c>
      <c r="J74" s="293">
        <v>1</v>
      </c>
      <c r="K74" s="293">
        <f t="shared" si="42"/>
        <v>0</v>
      </c>
      <c r="L74" s="294">
        <f t="shared" si="42"/>
        <v>0</v>
      </c>
      <c r="M74" s="328">
        <v>0</v>
      </c>
      <c r="N74" s="183">
        <v>496.96</v>
      </c>
      <c r="O74" s="293">
        <v>1</v>
      </c>
      <c r="P74" s="293">
        <f t="shared" si="43"/>
        <v>0</v>
      </c>
      <c r="Q74" s="294">
        <f t="shared" si="43"/>
        <v>0</v>
      </c>
      <c r="R74" s="292">
        <v>0</v>
      </c>
      <c r="S74" s="183">
        <f t="shared" si="16"/>
        <v>525.29</v>
      </c>
      <c r="T74" s="293">
        <v>1</v>
      </c>
      <c r="U74" s="293">
        <f t="shared" si="36"/>
        <v>0</v>
      </c>
      <c r="V74" s="294">
        <f t="shared" si="36"/>
        <v>0</v>
      </c>
      <c r="W74" s="262" t="s">
        <v>709</v>
      </c>
      <c r="X74" s="320" t="s">
        <v>708</v>
      </c>
      <c r="Y74" s="321">
        <v>1408</v>
      </c>
      <c r="Z74" s="322">
        <f t="shared" ref="Z74:Z118" si="44">Z73</f>
        <v>546.83000000000004</v>
      </c>
      <c r="AA74" s="323">
        <v>1</v>
      </c>
      <c r="AB74" s="323">
        <f t="shared" si="37"/>
        <v>1408</v>
      </c>
      <c r="AC74" s="324">
        <f t="shared" si="37"/>
        <v>769936.64</v>
      </c>
      <c r="AD74" s="292">
        <v>0</v>
      </c>
      <c r="AE74" s="183">
        <f t="shared" ref="AE74:AE118" si="45">AE73</f>
        <v>561.04999999999995</v>
      </c>
      <c r="AF74" s="293">
        <v>1</v>
      </c>
      <c r="AG74" s="293">
        <f t="shared" si="38"/>
        <v>0</v>
      </c>
      <c r="AH74" s="294">
        <f t="shared" si="38"/>
        <v>0</v>
      </c>
      <c r="AI74" s="325">
        <v>0</v>
      </c>
      <c r="AJ74" s="326">
        <f t="shared" ref="AJ74:AJ118" si="46">AJ73</f>
        <v>575.64</v>
      </c>
      <c r="AK74" s="293">
        <v>1</v>
      </c>
      <c r="AL74" s="293">
        <f t="shared" si="39"/>
        <v>0</v>
      </c>
      <c r="AM74" s="294">
        <f t="shared" si="39"/>
        <v>0</v>
      </c>
      <c r="AN74" s="325">
        <v>0</v>
      </c>
      <c r="AO74" s="326">
        <f t="shared" ref="AO74:AO118" si="47">AO73</f>
        <v>587.73</v>
      </c>
      <c r="AP74" s="293">
        <v>1</v>
      </c>
      <c r="AQ74" s="293">
        <f t="shared" si="40"/>
        <v>0</v>
      </c>
      <c r="AR74" s="294">
        <f t="shared" si="40"/>
        <v>0</v>
      </c>
    </row>
    <row r="75" spans="1:44" ht="45" x14ac:dyDescent="0.25">
      <c r="A75" s="300" t="s">
        <v>707</v>
      </c>
      <c r="B75" s="301" t="s">
        <v>706</v>
      </c>
      <c r="C75" s="327">
        <v>0</v>
      </c>
      <c r="D75" s="185">
        <v>496.96</v>
      </c>
      <c r="E75" s="303">
        <v>1</v>
      </c>
      <c r="F75" s="304">
        <f t="shared" si="41"/>
        <v>0</v>
      </c>
      <c r="G75" s="305">
        <f t="shared" si="41"/>
        <v>0</v>
      </c>
      <c r="H75" s="302">
        <v>0</v>
      </c>
      <c r="I75" s="185">
        <v>496.96</v>
      </c>
      <c r="J75" s="303">
        <v>1</v>
      </c>
      <c r="K75" s="304">
        <f t="shared" si="42"/>
        <v>0</v>
      </c>
      <c r="L75" s="305">
        <f t="shared" si="42"/>
        <v>0</v>
      </c>
      <c r="M75" s="327">
        <v>0</v>
      </c>
      <c r="N75" s="185">
        <v>496.96</v>
      </c>
      <c r="O75" s="303">
        <v>1</v>
      </c>
      <c r="P75" s="304">
        <f t="shared" si="43"/>
        <v>0</v>
      </c>
      <c r="Q75" s="305">
        <f t="shared" si="43"/>
        <v>0</v>
      </c>
      <c r="R75" s="302">
        <v>0</v>
      </c>
      <c r="S75" s="185">
        <f t="shared" si="16"/>
        <v>525.29</v>
      </c>
      <c r="T75" s="303">
        <v>1</v>
      </c>
      <c r="U75" s="304">
        <f t="shared" ref="U75:V90" si="48">R75*T75</f>
        <v>0</v>
      </c>
      <c r="V75" s="305">
        <f t="shared" si="48"/>
        <v>0</v>
      </c>
      <c r="W75" s="300" t="s">
        <v>707</v>
      </c>
      <c r="X75" s="301" t="s">
        <v>706</v>
      </c>
      <c r="Y75" s="306">
        <v>498</v>
      </c>
      <c r="Z75" s="307">
        <f t="shared" si="44"/>
        <v>546.83000000000004</v>
      </c>
      <c r="AA75" s="308">
        <v>1</v>
      </c>
      <c r="AB75" s="309">
        <f t="shared" ref="AB75:AC90" si="49">Y75*AA75</f>
        <v>498</v>
      </c>
      <c r="AC75" s="310">
        <f t="shared" si="49"/>
        <v>272321.34000000003</v>
      </c>
      <c r="AD75" s="302">
        <v>0</v>
      </c>
      <c r="AE75" s="185">
        <f t="shared" si="45"/>
        <v>561.04999999999995</v>
      </c>
      <c r="AF75" s="303">
        <v>1</v>
      </c>
      <c r="AG75" s="304">
        <f t="shared" ref="AG75:AH90" si="50">AD75*AF75</f>
        <v>0</v>
      </c>
      <c r="AH75" s="305">
        <f t="shared" si="50"/>
        <v>0</v>
      </c>
      <c r="AI75" s="311">
        <v>0</v>
      </c>
      <c r="AJ75" s="312">
        <f t="shared" si="46"/>
        <v>575.64</v>
      </c>
      <c r="AK75" s="303">
        <v>1</v>
      </c>
      <c r="AL75" s="304">
        <f t="shared" ref="AL75:AM90" si="51">AI75*AK75</f>
        <v>0</v>
      </c>
      <c r="AM75" s="305">
        <f t="shared" si="51"/>
        <v>0</v>
      </c>
      <c r="AN75" s="311">
        <v>0</v>
      </c>
      <c r="AO75" s="312">
        <f t="shared" si="47"/>
        <v>587.73</v>
      </c>
      <c r="AP75" s="303">
        <v>1</v>
      </c>
      <c r="AQ75" s="304">
        <f t="shared" ref="AQ75:AR90" si="52">AN75*AP75</f>
        <v>0</v>
      </c>
      <c r="AR75" s="305">
        <f t="shared" si="52"/>
        <v>0</v>
      </c>
    </row>
    <row r="76" spans="1:44" ht="45" x14ac:dyDescent="0.25">
      <c r="A76" s="278" t="s">
        <v>705</v>
      </c>
      <c r="B76" s="313" t="s">
        <v>704</v>
      </c>
      <c r="C76" s="287">
        <v>0</v>
      </c>
      <c r="D76" s="184">
        <v>496.96</v>
      </c>
      <c r="E76" s="281">
        <v>1</v>
      </c>
      <c r="F76" s="281">
        <f t="shared" si="41"/>
        <v>0</v>
      </c>
      <c r="G76" s="282">
        <f t="shared" si="41"/>
        <v>0</v>
      </c>
      <c r="H76" s="284">
        <v>0</v>
      </c>
      <c r="I76" s="184">
        <v>496.96</v>
      </c>
      <c r="J76" s="281">
        <v>1</v>
      </c>
      <c r="K76" s="281">
        <f t="shared" si="42"/>
        <v>0</v>
      </c>
      <c r="L76" s="282">
        <f t="shared" si="42"/>
        <v>0</v>
      </c>
      <c r="M76" s="287">
        <v>0</v>
      </c>
      <c r="N76" s="182">
        <v>496.96</v>
      </c>
      <c r="O76" s="296">
        <v>1</v>
      </c>
      <c r="P76" s="281">
        <f t="shared" si="43"/>
        <v>0</v>
      </c>
      <c r="Q76" s="282">
        <f t="shared" si="43"/>
        <v>0</v>
      </c>
      <c r="R76" s="284">
        <v>0</v>
      </c>
      <c r="S76" s="182">
        <f t="shared" ref="S76:S118" si="53">S75</f>
        <v>525.29</v>
      </c>
      <c r="T76" s="296">
        <v>1</v>
      </c>
      <c r="U76" s="281">
        <f t="shared" si="48"/>
        <v>0</v>
      </c>
      <c r="V76" s="282">
        <f t="shared" si="48"/>
        <v>0</v>
      </c>
      <c r="W76" s="278" t="s">
        <v>705</v>
      </c>
      <c r="X76" s="313" t="s">
        <v>704</v>
      </c>
      <c r="Y76" s="314">
        <v>389</v>
      </c>
      <c r="Z76" s="315">
        <f t="shared" si="44"/>
        <v>546.83000000000004</v>
      </c>
      <c r="AA76" s="316">
        <v>1</v>
      </c>
      <c r="AB76" s="317">
        <f t="shared" si="49"/>
        <v>389</v>
      </c>
      <c r="AC76" s="318">
        <f t="shared" si="49"/>
        <v>212716.87000000002</v>
      </c>
      <c r="AD76" s="284">
        <v>0</v>
      </c>
      <c r="AE76" s="182">
        <f t="shared" si="45"/>
        <v>561.04999999999995</v>
      </c>
      <c r="AF76" s="296">
        <v>1</v>
      </c>
      <c r="AG76" s="281">
        <f t="shared" si="50"/>
        <v>0</v>
      </c>
      <c r="AH76" s="282">
        <f t="shared" si="50"/>
        <v>0</v>
      </c>
      <c r="AI76" s="285">
        <v>0</v>
      </c>
      <c r="AJ76" s="319">
        <f t="shared" si="46"/>
        <v>575.64</v>
      </c>
      <c r="AK76" s="296">
        <v>1</v>
      </c>
      <c r="AL76" s="281">
        <f t="shared" si="51"/>
        <v>0</v>
      </c>
      <c r="AM76" s="282">
        <f t="shared" si="51"/>
        <v>0</v>
      </c>
      <c r="AN76" s="285">
        <v>0</v>
      </c>
      <c r="AO76" s="319">
        <f t="shared" si="47"/>
        <v>587.73</v>
      </c>
      <c r="AP76" s="296">
        <v>1</v>
      </c>
      <c r="AQ76" s="281">
        <f t="shared" si="52"/>
        <v>0</v>
      </c>
      <c r="AR76" s="282">
        <f t="shared" si="52"/>
        <v>0</v>
      </c>
    </row>
    <row r="77" spans="1:44" ht="45" customHeight="1" x14ac:dyDescent="0.25">
      <c r="A77" s="278" t="s">
        <v>703</v>
      </c>
      <c r="B77" s="313" t="s">
        <v>702</v>
      </c>
      <c r="C77" s="287">
        <v>0</v>
      </c>
      <c r="D77" s="184">
        <v>496.96</v>
      </c>
      <c r="E77" s="281">
        <v>1</v>
      </c>
      <c r="F77" s="281">
        <f t="shared" si="41"/>
        <v>0</v>
      </c>
      <c r="G77" s="282">
        <f t="shared" si="41"/>
        <v>0</v>
      </c>
      <c r="H77" s="284">
        <v>0</v>
      </c>
      <c r="I77" s="184">
        <v>496.96</v>
      </c>
      <c r="J77" s="281">
        <v>1</v>
      </c>
      <c r="K77" s="281">
        <f t="shared" si="42"/>
        <v>0</v>
      </c>
      <c r="L77" s="282">
        <f t="shared" si="42"/>
        <v>0</v>
      </c>
      <c r="M77" s="287">
        <v>0</v>
      </c>
      <c r="N77" s="182">
        <v>496.96</v>
      </c>
      <c r="O77" s="296">
        <v>1</v>
      </c>
      <c r="P77" s="281">
        <f t="shared" si="43"/>
        <v>0</v>
      </c>
      <c r="Q77" s="282">
        <f t="shared" si="43"/>
        <v>0</v>
      </c>
      <c r="R77" s="284">
        <v>0</v>
      </c>
      <c r="S77" s="182">
        <f t="shared" si="53"/>
        <v>525.29</v>
      </c>
      <c r="T77" s="296">
        <v>1</v>
      </c>
      <c r="U77" s="281">
        <f t="shared" si="48"/>
        <v>0</v>
      </c>
      <c r="V77" s="282">
        <f t="shared" si="48"/>
        <v>0</v>
      </c>
      <c r="W77" s="278" t="s">
        <v>703</v>
      </c>
      <c r="X77" s="313" t="s">
        <v>702</v>
      </c>
      <c r="Y77" s="314">
        <v>1736</v>
      </c>
      <c r="Z77" s="315">
        <f t="shared" si="44"/>
        <v>546.83000000000004</v>
      </c>
      <c r="AA77" s="316">
        <v>1</v>
      </c>
      <c r="AB77" s="317">
        <f t="shared" si="49"/>
        <v>1736</v>
      </c>
      <c r="AC77" s="318">
        <f t="shared" si="49"/>
        <v>949296.88000000012</v>
      </c>
      <c r="AD77" s="284">
        <v>0</v>
      </c>
      <c r="AE77" s="182">
        <f t="shared" si="45"/>
        <v>561.04999999999995</v>
      </c>
      <c r="AF77" s="296">
        <v>1</v>
      </c>
      <c r="AG77" s="281">
        <f t="shared" si="50"/>
        <v>0</v>
      </c>
      <c r="AH77" s="282">
        <f t="shared" si="50"/>
        <v>0</v>
      </c>
      <c r="AI77" s="285">
        <v>0</v>
      </c>
      <c r="AJ77" s="319">
        <f t="shared" si="46"/>
        <v>575.64</v>
      </c>
      <c r="AK77" s="296">
        <v>1</v>
      </c>
      <c r="AL77" s="281">
        <f t="shared" si="51"/>
        <v>0</v>
      </c>
      <c r="AM77" s="282">
        <f t="shared" si="51"/>
        <v>0</v>
      </c>
      <c r="AN77" s="285">
        <v>0</v>
      </c>
      <c r="AO77" s="319">
        <f t="shared" si="47"/>
        <v>587.73</v>
      </c>
      <c r="AP77" s="296">
        <v>1</v>
      </c>
      <c r="AQ77" s="281">
        <f t="shared" si="52"/>
        <v>0</v>
      </c>
      <c r="AR77" s="282">
        <f t="shared" si="52"/>
        <v>0</v>
      </c>
    </row>
    <row r="78" spans="1:44" ht="60.75" thickBot="1" x14ac:dyDescent="0.3">
      <c r="A78" s="262" t="s">
        <v>701</v>
      </c>
      <c r="B78" s="320" t="s">
        <v>700</v>
      </c>
      <c r="C78" s="328">
        <v>0</v>
      </c>
      <c r="D78" s="183">
        <v>496.96</v>
      </c>
      <c r="E78" s="293">
        <v>1</v>
      </c>
      <c r="F78" s="293">
        <f t="shared" si="41"/>
        <v>0</v>
      </c>
      <c r="G78" s="294">
        <f t="shared" si="41"/>
        <v>0</v>
      </c>
      <c r="H78" s="292">
        <v>0</v>
      </c>
      <c r="I78" s="183">
        <v>496.96</v>
      </c>
      <c r="J78" s="293">
        <v>1</v>
      </c>
      <c r="K78" s="293">
        <f t="shared" si="42"/>
        <v>0</v>
      </c>
      <c r="L78" s="294">
        <f t="shared" si="42"/>
        <v>0</v>
      </c>
      <c r="M78" s="328">
        <v>0</v>
      </c>
      <c r="N78" s="183">
        <v>496.96</v>
      </c>
      <c r="O78" s="293">
        <v>1</v>
      </c>
      <c r="P78" s="293">
        <f t="shared" si="43"/>
        <v>0</v>
      </c>
      <c r="Q78" s="294">
        <f t="shared" si="43"/>
        <v>0</v>
      </c>
      <c r="R78" s="292">
        <v>0</v>
      </c>
      <c r="S78" s="183">
        <f t="shared" si="53"/>
        <v>525.29</v>
      </c>
      <c r="T78" s="293">
        <v>1</v>
      </c>
      <c r="U78" s="293">
        <f t="shared" si="48"/>
        <v>0</v>
      </c>
      <c r="V78" s="294">
        <f t="shared" si="48"/>
        <v>0</v>
      </c>
      <c r="W78" s="262" t="s">
        <v>701</v>
      </c>
      <c r="X78" s="320" t="s">
        <v>700</v>
      </c>
      <c r="Y78" s="321">
        <v>1408</v>
      </c>
      <c r="Z78" s="322">
        <f t="shared" si="44"/>
        <v>546.83000000000004</v>
      </c>
      <c r="AA78" s="323">
        <v>1</v>
      </c>
      <c r="AB78" s="323">
        <f t="shared" si="49"/>
        <v>1408</v>
      </c>
      <c r="AC78" s="324">
        <f t="shared" si="49"/>
        <v>769936.64</v>
      </c>
      <c r="AD78" s="292">
        <v>0</v>
      </c>
      <c r="AE78" s="183">
        <f t="shared" si="45"/>
        <v>561.04999999999995</v>
      </c>
      <c r="AF78" s="293">
        <v>1</v>
      </c>
      <c r="AG78" s="293">
        <f t="shared" si="50"/>
        <v>0</v>
      </c>
      <c r="AH78" s="294">
        <f t="shared" si="50"/>
        <v>0</v>
      </c>
      <c r="AI78" s="325">
        <v>0</v>
      </c>
      <c r="AJ78" s="326">
        <f t="shared" si="46"/>
        <v>575.64</v>
      </c>
      <c r="AK78" s="293">
        <v>1</v>
      </c>
      <c r="AL78" s="293">
        <f t="shared" si="51"/>
        <v>0</v>
      </c>
      <c r="AM78" s="294">
        <f t="shared" si="51"/>
        <v>0</v>
      </c>
      <c r="AN78" s="325">
        <v>0</v>
      </c>
      <c r="AO78" s="326">
        <f t="shared" si="47"/>
        <v>587.73</v>
      </c>
      <c r="AP78" s="293">
        <v>1</v>
      </c>
      <c r="AQ78" s="293">
        <f t="shared" si="52"/>
        <v>0</v>
      </c>
      <c r="AR78" s="294">
        <f t="shared" si="52"/>
        <v>0</v>
      </c>
    </row>
    <row r="79" spans="1:44" ht="45" x14ac:dyDescent="0.25">
      <c r="A79" s="300" t="s">
        <v>699</v>
      </c>
      <c r="B79" s="301" t="s">
        <v>698</v>
      </c>
      <c r="C79" s="327">
        <v>0</v>
      </c>
      <c r="D79" s="185">
        <v>496.96</v>
      </c>
      <c r="E79" s="303">
        <v>1</v>
      </c>
      <c r="F79" s="304">
        <f t="shared" si="41"/>
        <v>0</v>
      </c>
      <c r="G79" s="305">
        <f t="shared" si="41"/>
        <v>0</v>
      </c>
      <c r="H79" s="302">
        <v>0</v>
      </c>
      <c r="I79" s="185">
        <v>496.96</v>
      </c>
      <c r="J79" s="303">
        <v>1</v>
      </c>
      <c r="K79" s="304">
        <f t="shared" si="42"/>
        <v>0</v>
      </c>
      <c r="L79" s="305">
        <f t="shared" si="42"/>
        <v>0</v>
      </c>
      <c r="M79" s="327">
        <v>0</v>
      </c>
      <c r="N79" s="185">
        <v>496.96</v>
      </c>
      <c r="O79" s="303">
        <v>1</v>
      </c>
      <c r="P79" s="304">
        <f t="shared" si="43"/>
        <v>0</v>
      </c>
      <c r="Q79" s="305">
        <f t="shared" si="43"/>
        <v>0</v>
      </c>
      <c r="R79" s="302">
        <v>0</v>
      </c>
      <c r="S79" s="185">
        <f t="shared" si="53"/>
        <v>525.29</v>
      </c>
      <c r="T79" s="303">
        <v>1</v>
      </c>
      <c r="U79" s="304">
        <f t="shared" si="48"/>
        <v>0</v>
      </c>
      <c r="V79" s="305">
        <f t="shared" si="48"/>
        <v>0</v>
      </c>
      <c r="W79" s="300" t="s">
        <v>699</v>
      </c>
      <c r="X79" s="301" t="s">
        <v>698</v>
      </c>
      <c r="Y79" s="306">
        <v>498</v>
      </c>
      <c r="Z79" s="307">
        <f t="shared" si="44"/>
        <v>546.83000000000004</v>
      </c>
      <c r="AA79" s="308">
        <v>1</v>
      </c>
      <c r="AB79" s="309">
        <f t="shared" si="49"/>
        <v>498</v>
      </c>
      <c r="AC79" s="310">
        <f t="shared" si="49"/>
        <v>272321.34000000003</v>
      </c>
      <c r="AD79" s="302">
        <v>0</v>
      </c>
      <c r="AE79" s="185">
        <f t="shared" si="45"/>
        <v>561.04999999999995</v>
      </c>
      <c r="AF79" s="303">
        <v>1</v>
      </c>
      <c r="AG79" s="304">
        <f t="shared" si="50"/>
        <v>0</v>
      </c>
      <c r="AH79" s="305">
        <f t="shared" si="50"/>
        <v>0</v>
      </c>
      <c r="AI79" s="311">
        <v>0</v>
      </c>
      <c r="AJ79" s="312">
        <f t="shared" si="46"/>
        <v>575.64</v>
      </c>
      <c r="AK79" s="303">
        <v>1</v>
      </c>
      <c r="AL79" s="304">
        <f t="shared" si="51"/>
        <v>0</v>
      </c>
      <c r="AM79" s="305">
        <f t="shared" si="51"/>
        <v>0</v>
      </c>
      <c r="AN79" s="311">
        <v>0</v>
      </c>
      <c r="AO79" s="312">
        <f t="shared" si="47"/>
        <v>587.73</v>
      </c>
      <c r="AP79" s="303">
        <v>1</v>
      </c>
      <c r="AQ79" s="304">
        <f t="shared" si="52"/>
        <v>0</v>
      </c>
      <c r="AR79" s="305">
        <f t="shared" si="52"/>
        <v>0</v>
      </c>
    </row>
    <row r="80" spans="1:44" ht="45" x14ac:dyDescent="0.25">
      <c r="A80" s="278" t="s">
        <v>697</v>
      </c>
      <c r="B80" s="313" t="s">
        <v>696</v>
      </c>
      <c r="C80" s="287">
        <v>0</v>
      </c>
      <c r="D80" s="184">
        <v>496.96</v>
      </c>
      <c r="E80" s="281">
        <v>1</v>
      </c>
      <c r="F80" s="281">
        <f t="shared" si="41"/>
        <v>0</v>
      </c>
      <c r="G80" s="282">
        <f t="shared" si="41"/>
        <v>0</v>
      </c>
      <c r="H80" s="284">
        <v>0</v>
      </c>
      <c r="I80" s="184">
        <v>496.96</v>
      </c>
      <c r="J80" s="281">
        <v>1</v>
      </c>
      <c r="K80" s="281">
        <f t="shared" si="42"/>
        <v>0</v>
      </c>
      <c r="L80" s="282">
        <f t="shared" si="42"/>
        <v>0</v>
      </c>
      <c r="M80" s="287">
        <v>0</v>
      </c>
      <c r="N80" s="182">
        <v>496.96</v>
      </c>
      <c r="O80" s="296">
        <v>1</v>
      </c>
      <c r="P80" s="281">
        <f t="shared" si="43"/>
        <v>0</v>
      </c>
      <c r="Q80" s="282">
        <f t="shared" si="43"/>
        <v>0</v>
      </c>
      <c r="R80" s="284">
        <v>0</v>
      </c>
      <c r="S80" s="182">
        <f t="shared" si="53"/>
        <v>525.29</v>
      </c>
      <c r="T80" s="296">
        <v>1</v>
      </c>
      <c r="U80" s="281">
        <f t="shared" si="48"/>
        <v>0</v>
      </c>
      <c r="V80" s="282">
        <f t="shared" si="48"/>
        <v>0</v>
      </c>
      <c r="W80" s="278" t="s">
        <v>697</v>
      </c>
      <c r="X80" s="313" t="s">
        <v>696</v>
      </c>
      <c r="Y80" s="314">
        <v>389</v>
      </c>
      <c r="Z80" s="315">
        <f t="shared" si="44"/>
        <v>546.83000000000004</v>
      </c>
      <c r="AA80" s="316">
        <v>1</v>
      </c>
      <c r="AB80" s="317">
        <f t="shared" si="49"/>
        <v>389</v>
      </c>
      <c r="AC80" s="318">
        <f t="shared" si="49"/>
        <v>212716.87000000002</v>
      </c>
      <c r="AD80" s="284">
        <v>0</v>
      </c>
      <c r="AE80" s="182">
        <f t="shared" si="45"/>
        <v>561.04999999999995</v>
      </c>
      <c r="AF80" s="296">
        <v>1</v>
      </c>
      <c r="AG80" s="281">
        <f t="shared" si="50"/>
        <v>0</v>
      </c>
      <c r="AH80" s="282">
        <f t="shared" si="50"/>
        <v>0</v>
      </c>
      <c r="AI80" s="285">
        <v>0</v>
      </c>
      <c r="AJ80" s="319">
        <f t="shared" si="46"/>
        <v>575.64</v>
      </c>
      <c r="AK80" s="296">
        <v>1</v>
      </c>
      <c r="AL80" s="281">
        <f t="shared" si="51"/>
        <v>0</v>
      </c>
      <c r="AM80" s="282">
        <f t="shared" si="51"/>
        <v>0</v>
      </c>
      <c r="AN80" s="285">
        <v>0</v>
      </c>
      <c r="AO80" s="319">
        <f t="shared" si="47"/>
        <v>587.73</v>
      </c>
      <c r="AP80" s="296">
        <v>1</v>
      </c>
      <c r="AQ80" s="281">
        <f t="shared" si="52"/>
        <v>0</v>
      </c>
      <c r="AR80" s="282">
        <f t="shared" si="52"/>
        <v>0</v>
      </c>
    </row>
    <row r="81" spans="1:44" ht="45" customHeight="1" x14ac:dyDescent="0.25">
      <c r="A81" s="278" t="s">
        <v>695</v>
      </c>
      <c r="B81" s="313" t="s">
        <v>694</v>
      </c>
      <c r="C81" s="287">
        <v>0</v>
      </c>
      <c r="D81" s="184">
        <v>496.96</v>
      </c>
      <c r="E81" s="281">
        <v>1</v>
      </c>
      <c r="F81" s="281">
        <f t="shared" si="41"/>
        <v>0</v>
      </c>
      <c r="G81" s="282">
        <f t="shared" si="41"/>
        <v>0</v>
      </c>
      <c r="H81" s="284">
        <v>0</v>
      </c>
      <c r="I81" s="184">
        <v>496.96</v>
      </c>
      <c r="J81" s="281">
        <v>1</v>
      </c>
      <c r="K81" s="281">
        <f t="shared" si="42"/>
        <v>0</v>
      </c>
      <c r="L81" s="282">
        <f t="shared" si="42"/>
        <v>0</v>
      </c>
      <c r="M81" s="287">
        <v>0</v>
      </c>
      <c r="N81" s="182">
        <v>496.96</v>
      </c>
      <c r="O81" s="296">
        <v>1</v>
      </c>
      <c r="P81" s="281">
        <f t="shared" si="43"/>
        <v>0</v>
      </c>
      <c r="Q81" s="282">
        <f t="shared" si="43"/>
        <v>0</v>
      </c>
      <c r="R81" s="284">
        <v>0</v>
      </c>
      <c r="S81" s="182">
        <f t="shared" si="53"/>
        <v>525.29</v>
      </c>
      <c r="T81" s="296">
        <v>1</v>
      </c>
      <c r="U81" s="281">
        <f t="shared" si="48"/>
        <v>0</v>
      </c>
      <c r="V81" s="282">
        <f t="shared" si="48"/>
        <v>0</v>
      </c>
      <c r="W81" s="278" t="s">
        <v>695</v>
      </c>
      <c r="X81" s="313" t="s">
        <v>694</v>
      </c>
      <c r="Y81" s="314">
        <v>1736</v>
      </c>
      <c r="Z81" s="315">
        <f t="shared" si="44"/>
        <v>546.83000000000004</v>
      </c>
      <c r="AA81" s="316">
        <v>1</v>
      </c>
      <c r="AB81" s="317">
        <f t="shared" si="49"/>
        <v>1736</v>
      </c>
      <c r="AC81" s="318">
        <f t="shared" si="49"/>
        <v>949296.88000000012</v>
      </c>
      <c r="AD81" s="284">
        <v>0</v>
      </c>
      <c r="AE81" s="182">
        <f t="shared" si="45"/>
        <v>561.04999999999995</v>
      </c>
      <c r="AF81" s="296">
        <v>1</v>
      </c>
      <c r="AG81" s="281">
        <f t="shared" si="50"/>
        <v>0</v>
      </c>
      <c r="AH81" s="282">
        <f t="shared" si="50"/>
        <v>0</v>
      </c>
      <c r="AI81" s="285">
        <v>0</v>
      </c>
      <c r="AJ81" s="319">
        <f t="shared" si="46"/>
        <v>575.64</v>
      </c>
      <c r="AK81" s="296">
        <v>1</v>
      </c>
      <c r="AL81" s="281">
        <f t="shared" si="51"/>
        <v>0</v>
      </c>
      <c r="AM81" s="282">
        <f t="shared" si="51"/>
        <v>0</v>
      </c>
      <c r="AN81" s="285">
        <v>0</v>
      </c>
      <c r="AO81" s="319">
        <f t="shared" si="47"/>
        <v>587.73</v>
      </c>
      <c r="AP81" s="296">
        <v>1</v>
      </c>
      <c r="AQ81" s="281">
        <f t="shared" si="52"/>
        <v>0</v>
      </c>
      <c r="AR81" s="282">
        <f t="shared" si="52"/>
        <v>0</v>
      </c>
    </row>
    <row r="82" spans="1:44" ht="60.75" thickBot="1" x14ac:dyDescent="0.3">
      <c r="A82" s="262" t="s">
        <v>693</v>
      </c>
      <c r="B82" s="320" t="s">
        <v>692</v>
      </c>
      <c r="C82" s="328">
        <v>0</v>
      </c>
      <c r="D82" s="183">
        <v>496.96</v>
      </c>
      <c r="E82" s="293">
        <v>1</v>
      </c>
      <c r="F82" s="293">
        <f t="shared" si="41"/>
        <v>0</v>
      </c>
      <c r="G82" s="294">
        <f t="shared" si="41"/>
        <v>0</v>
      </c>
      <c r="H82" s="292">
        <v>0</v>
      </c>
      <c r="I82" s="183">
        <v>496.96</v>
      </c>
      <c r="J82" s="293">
        <v>1</v>
      </c>
      <c r="K82" s="293">
        <f t="shared" si="42"/>
        <v>0</v>
      </c>
      <c r="L82" s="294">
        <f t="shared" si="42"/>
        <v>0</v>
      </c>
      <c r="M82" s="328">
        <v>0</v>
      </c>
      <c r="N82" s="183">
        <v>496.96</v>
      </c>
      <c r="O82" s="293">
        <v>1</v>
      </c>
      <c r="P82" s="293">
        <f t="shared" si="43"/>
        <v>0</v>
      </c>
      <c r="Q82" s="294">
        <f t="shared" si="43"/>
        <v>0</v>
      </c>
      <c r="R82" s="292">
        <v>0</v>
      </c>
      <c r="S82" s="183">
        <f t="shared" si="53"/>
        <v>525.29</v>
      </c>
      <c r="T82" s="293">
        <v>1</v>
      </c>
      <c r="U82" s="293">
        <f t="shared" si="48"/>
        <v>0</v>
      </c>
      <c r="V82" s="294">
        <f t="shared" si="48"/>
        <v>0</v>
      </c>
      <c r="W82" s="262" t="s">
        <v>693</v>
      </c>
      <c r="X82" s="320" t="s">
        <v>692</v>
      </c>
      <c r="Y82" s="321">
        <v>1408</v>
      </c>
      <c r="Z82" s="322">
        <f t="shared" si="44"/>
        <v>546.83000000000004</v>
      </c>
      <c r="AA82" s="323">
        <v>1</v>
      </c>
      <c r="AB82" s="323">
        <f t="shared" si="49"/>
        <v>1408</v>
      </c>
      <c r="AC82" s="324">
        <f t="shared" si="49"/>
        <v>769936.64</v>
      </c>
      <c r="AD82" s="292">
        <v>0</v>
      </c>
      <c r="AE82" s="183">
        <f t="shared" si="45"/>
        <v>561.04999999999995</v>
      </c>
      <c r="AF82" s="293">
        <v>1</v>
      </c>
      <c r="AG82" s="293">
        <f t="shared" si="50"/>
        <v>0</v>
      </c>
      <c r="AH82" s="294">
        <f t="shared" si="50"/>
        <v>0</v>
      </c>
      <c r="AI82" s="325">
        <v>0</v>
      </c>
      <c r="AJ82" s="326">
        <f t="shared" si="46"/>
        <v>575.64</v>
      </c>
      <c r="AK82" s="293">
        <v>1</v>
      </c>
      <c r="AL82" s="293">
        <f t="shared" si="51"/>
        <v>0</v>
      </c>
      <c r="AM82" s="294">
        <f t="shared" si="51"/>
        <v>0</v>
      </c>
      <c r="AN82" s="325">
        <v>0</v>
      </c>
      <c r="AO82" s="326">
        <f t="shared" si="47"/>
        <v>587.73</v>
      </c>
      <c r="AP82" s="293">
        <v>1</v>
      </c>
      <c r="AQ82" s="293">
        <f t="shared" si="52"/>
        <v>0</v>
      </c>
      <c r="AR82" s="294">
        <f t="shared" si="52"/>
        <v>0</v>
      </c>
    </row>
    <row r="83" spans="1:44" ht="45" x14ac:dyDescent="0.25">
      <c r="A83" s="300" t="s">
        <v>691</v>
      </c>
      <c r="B83" s="301" t="s">
        <v>690</v>
      </c>
      <c r="C83" s="327">
        <v>0</v>
      </c>
      <c r="D83" s="185">
        <v>496.96</v>
      </c>
      <c r="E83" s="303">
        <v>1</v>
      </c>
      <c r="F83" s="304">
        <f t="shared" si="41"/>
        <v>0</v>
      </c>
      <c r="G83" s="305">
        <f t="shared" si="41"/>
        <v>0</v>
      </c>
      <c r="H83" s="302">
        <v>0</v>
      </c>
      <c r="I83" s="185">
        <v>496.96</v>
      </c>
      <c r="J83" s="303">
        <v>1</v>
      </c>
      <c r="K83" s="304">
        <f t="shared" si="42"/>
        <v>0</v>
      </c>
      <c r="L83" s="305">
        <f t="shared" si="42"/>
        <v>0</v>
      </c>
      <c r="M83" s="327">
        <v>0</v>
      </c>
      <c r="N83" s="185">
        <v>496.96</v>
      </c>
      <c r="O83" s="303">
        <v>1</v>
      </c>
      <c r="P83" s="304">
        <f t="shared" si="43"/>
        <v>0</v>
      </c>
      <c r="Q83" s="305">
        <f t="shared" si="43"/>
        <v>0</v>
      </c>
      <c r="R83" s="302">
        <v>0</v>
      </c>
      <c r="S83" s="185">
        <f t="shared" si="53"/>
        <v>525.29</v>
      </c>
      <c r="T83" s="303">
        <v>1</v>
      </c>
      <c r="U83" s="304">
        <f t="shared" si="48"/>
        <v>0</v>
      </c>
      <c r="V83" s="305">
        <f t="shared" si="48"/>
        <v>0</v>
      </c>
      <c r="W83" s="300" t="s">
        <v>691</v>
      </c>
      <c r="X83" s="301" t="s">
        <v>690</v>
      </c>
      <c r="Y83" s="306">
        <v>498</v>
      </c>
      <c r="Z83" s="307">
        <f t="shared" si="44"/>
        <v>546.83000000000004</v>
      </c>
      <c r="AA83" s="308">
        <v>1</v>
      </c>
      <c r="AB83" s="309">
        <f t="shared" si="49"/>
        <v>498</v>
      </c>
      <c r="AC83" s="310">
        <f t="shared" si="49"/>
        <v>272321.34000000003</v>
      </c>
      <c r="AD83" s="302">
        <v>0</v>
      </c>
      <c r="AE83" s="185">
        <f t="shared" si="45"/>
        <v>561.04999999999995</v>
      </c>
      <c r="AF83" s="303">
        <v>1</v>
      </c>
      <c r="AG83" s="304">
        <f t="shared" si="50"/>
        <v>0</v>
      </c>
      <c r="AH83" s="305">
        <f t="shared" si="50"/>
        <v>0</v>
      </c>
      <c r="AI83" s="311">
        <v>0</v>
      </c>
      <c r="AJ83" s="312">
        <f t="shared" si="46"/>
        <v>575.64</v>
      </c>
      <c r="AK83" s="303">
        <v>1</v>
      </c>
      <c r="AL83" s="304">
        <f t="shared" si="51"/>
        <v>0</v>
      </c>
      <c r="AM83" s="305">
        <f t="shared" si="51"/>
        <v>0</v>
      </c>
      <c r="AN83" s="311">
        <v>0</v>
      </c>
      <c r="AO83" s="312">
        <f t="shared" si="47"/>
        <v>587.73</v>
      </c>
      <c r="AP83" s="303">
        <v>1</v>
      </c>
      <c r="AQ83" s="304">
        <f t="shared" si="52"/>
        <v>0</v>
      </c>
      <c r="AR83" s="305">
        <f t="shared" si="52"/>
        <v>0</v>
      </c>
    </row>
    <row r="84" spans="1:44" ht="45" x14ac:dyDescent="0.25">
      <c r="A84" s="278" t="s">
        <v>689</v>
      </c>
      <c r="B84" s="313" t="s">
        <v>688</v>
      </c>
      <c r="C84" s="287">
        <v>0</v>
      </c>
      <c r="D84" s="184">
        <v>496.96</v>
      </c>
      <c r="E84" s="281">
        <v>1</v>
      </c>
      <c r="F84" s="281">
        <f t="shared" si="41"/>
        <v>0</v>
      </c>
      <c r="G84" s="282">
        <f t="shared" si="41"/>
        <v>0</v>
      </c>
      <c r="H84" s="284">
        <v>0</v>
      </c>
      <c r="I84" s="184">
        <v>496.96</v>
      </c>
      <c r="J84" s="281">
        <v>1</v>
      </c>
      <c r="K84" s="281">
        <f t="shared" si="42"/>
        <v>0</v>
      </c>
      <c r="L84" s="282">
        <f t="shared" si="42"/>
        <v>0</v>
      </c>
      <c r="M84" s="287">
        <v>0</v>
      </c>
      <c r="N84" s="182">
        <v>496.96</v>
      </c>
      <c r="O84" s="296">
        <v>1</v>
      </c>
      <c r="P84" s="281">
        <f t="shared" si="43"/>
        <v>0</v>
      </c>
      <c r="Q84" s="282">
        <f t="shared" si="43"/>
        <v>0</v>
      </c>
      <c r="R84" s="284">
        <v>0</v>
      </c>
      <c r="S84" s="182">
        <f t="shared" si="53"/>
        <v>525.29</v>
      </c>
      <c r="T84" s="296">
        <v>1</v>
      </c>
      <c r="U84" s="281">
        <f t="shared" si="48"/>
        <v>0</v>
      </c>
      <c r="V84" s="282">
        <f t="shared" si="48"/>
        <v>0</v>
      </c>
      <c r="W84" s="278" t="s">
        <v>689</v>
      </c>
      <c r="X84" s="313" t="s">
        <v>688</v>
      </c>
      <c r="Y84" s="314">
        <v>389</v>
      </c>
      <c r="Z84" s="315">
        <f t="shared" si="44"/>
        <v>546.83000000000004</v>
      </c>
      <c r="AA84" s="316">
        <v>1</v>
      </c>
      <c r="AB84" s="317">
        <f t="shared" si="49"/>
        <v>389</v>
      </c>
      <c r="AC84" s="318">
        <f t="shared" si="49"/>
        <v>212716.87000000002</v>
      </c>
      <c r="AD84" s="284">
        <v>0</v>
      </c>
      <c r="AE84" s="182">
        <f t="shared" si="45"/>
        <v>561.04999999999995</v>
      </c>
      <c r="AF84" s="296">
        <v>1</v>
      </c>
      <c r="AG84" s="281">
        <f t="shared" si="50"/>
        <v>0</v>
      </c>
      <c r="AH84" s="282">
        <f t="shared" si="50"/>
        <v>0</v>
      </c>
      <c r="AI84" s="285">
        <v>0</v>
      </c>
      <c r="AJ84" s="319">
        <f t="shared" si="46"/>
        <v>575.64</v>
      </c>
      <c r="AK84" s="296">
        <v>1</v>
      </c>
      <c r="AL84" s="281">
        <f t="shared" si="51"/>
        <v>0</v>
      </c>
      <c r="AM84" s="282">
        <f t="shared" si="51"/>
        <v>0</v>
      </c>
      <c r="AN84" s="285">
        <v>0</v>
      </c>
      <c r="AO84" s="319">
        <f t="shared" si="47"/>
        <v>587.73</v>
      </c>
      <c r="AP84" s="296">
        <v>1</v>
      </c>
      <c r="AQ84" s="281">
        <f t="shared" si="52"/>
        <v>0</v>
      </c>
      <c r="AR84" s="282">
        <f t="shared" si="52"/>
        <v>0</v>
      </c>
    </row>
    <row r="85" spans="1:44" ht="42.95" customHeight="1" x14ac:dyDescent="0.25">
      <c r="A85" s="278" t="s">
        <v>687</v>
      </c>
      <c r="B85" s="313" t="s">
        <v>686</v>
      </c>
      <c r="C85" s="287">
        <v>0</v>
      </c>
      <c r="D85" s="184">
        <v>496.96</v>
      </c>
      <c r="E85" s="281">
        <v>1</v>
      </c>
      <c r="F85" s="281">
        <f t="shared" si="41"/>
        <v>0</v>
      </c>
      <c r="G85" s="282">
        <f t="shared" si="41"/>
        <v>0</v>
      </c>
      <c r="H85" s="284">
        <v>0</v>
      </c>
      <c r="I85" s="184">
        <v>496.96</v>
      </c>
      <c r="J85" s="281">
        <v>1</v>
      </c>
      <c r="K85" s="281">
        <f t="shared" si="42"/>
        <v>0</v>
      </c>
      <c r="L85" s="282">
        <f t="shared" si="42"/>
        <v>0</v>
      </c>
      <c r="M85" s="287">
        <v>0</v>
      </c>
      <c r="N85" s="182">
        <v>496.96</v>
      </c>
      <c r="O85" s="296">
        <v>1</v>
      </c>
      <c r="P85" s="281">
        <f t="shared" si="43"/>
        <v>0</v>
      </c>
      <c r="Q85" s="282">
        <f t="shared" si="43"/>
        <v>0</v>
      </c>
      <c r="R85" s="284">
        <v>0</v>
      </c>
      <c r="S85" s="182">
        <f t="shared" si="53"/>
        <v>525.29</v>
      </c>
      <c r="T85" s="296">
        <v>1</v>
      </c>
      <c r="U85" s="281">
        <f t="shared" si="48"/>
        <v>0</v>
      </c>
      <c r="V85" s="282">
        <f t="shared" si="48"/>
        <v>0</v>
      </c>
      <c r="W85" s="278" t="s">
        <v>687</v>
      </c>
      <c r="X85" s="313" t="s">
        <v>686</v>
      </c>
      <c r="Y85" s="314">
        <v>1736</v>
      </c>
      <c r="Z85" s="315">
        <f t="shared" si="44"/>
        <v>546.83000000000004</v>
      </c>
      <c r="AA85" s="316">
        <v>1</v>
      </c>
      <c r="AB85" s="317">
        <f t="shared" si="49"/>
        <v>1736</v>
      </c>
      <c r="AC85" s="318">
        <f t="shared" si="49"/>
        <v>949296.88000000012</v>
      </c>
      <c r="AD85" s="284">
        <v>0</v>
      </c>
      <c r="AE85" s="182">
        <f t="shared" si="45"/>
        <v>561.04999999999995</v>
      </c>
      <c r="AF85" s="296">
        <v>1</v>
      </c>
      <c r="AG85" s="281">
        <f t="shared" si="50"/>
        <v>0</v>
      </c>
      <c r="AH85" s="282">
        <f t="shared" si="50"/>
        <v>0</v>
      </c>
      <c r="AI85" s="285">
        <v>0</v>
      </c>
      <c r="AJ85" s="319">
        <f t="shared" si="46"/>
        <v>575.64</v>
      </c>
      <c r="AK85" s="296">
        <v>1</v>
      </c>
      <c r="AL85" s="281">
        <f t="shared" si="51"/>
        <v>0</v>
      </c>
      <c r="AM85" s="282">
        <f t="shared" si="51"/>
        <v>0</v>
      </c>
      <c r="AN85" s="285">
        <v>0</v>
      </c>
      <c r="AO85" s="319">
        <f t="shared" si="47"/>
        <v>587.73</v>
      </c>
      <c r="AP85" s="296">
        <v>1</v>
      </c>
      <c r="AQ85" s="281">
        <f t="shared" si="52"/>
        <v>0</v>
      </c>
      <c r="AR85" s="282">
        <f t="shared" si="52"/>
        <v>0</v>
      </c>
    </row>
    <row r="86" spans="1:44" ht="60.75" thickBot="1" x14ac:dyDescent="0.3">
      <c r="A86" s="262" t="s">
        <v>685</v>
      </c>
      <c r="B86" s="320" t="s">
        <v>684</v>
      </c>
      <c r="C86" s="328">
        <v>0</v>
      </c>
      <c r="D86" s="183">
        <v>496.96</v>
      </c>
      <c r="E86" s="293">
        <v>1</v>
      </c>
      <c r="F86" s="293">
        <f t="shared" si="41"/>
        <v>0</v>
      </c>
      <c r="G86" s="294">
        <f t="shared" si="41"/>
        <v>0</v>
      </c>
      <c r="H86" s="292">
        <v>0</v>
      </c>
      <c r="I86" s="183">
        <v>496.96</v>
      </c>
      <c r="J86" s="293">
        <v>1</v>
      </c>
      <c r="K86" s="293">
        <f t="shared" si="42"/>
        <v>0</v>
      </c>
      <c r="L86" s="294">
        <f t="shared" si="42"/>
        <v>0</v>
      </c>
      <c r="M86" s="328">
        <v>0</v>
      </c>
      <c r="N86" s="183">
        <v>496.96</v>
      </c>
      <c r="O86" s="293">
        <v>1</v>
      </c>
      <c r="P86" s="293">
        <f t="shared" si="43"/>
        <v>0</v>
      </c>
      <c r="Q86" s="294">
        <f t="shared" si="43"/>
        <v>0</v>
      </c>
      <c r="R86" s="292">
        <v>0</v>
      </c>
      <c r="S86" s="183">
        <f t="shared" si="53"/>
        <v>525.29</v>
      </c>
      <c r="T86" s="293">
        <v>1</v>
      </c>
      <c r="U86" s="293">
        <f t="shared" si="48"/>
        <v>0</v>
      </c>
      <c r="V86" s="294">
        <f t="shared" si="48"/>
        <v>0</v>
      </c>
      <c r="W86" s="262" t="s">
        <v>685</v>
      </c>
      <c r="X86" s="320" t="s">
        <v>684</v>
      </c>
      <c r="Y86" s="321">
        <v>1408</v>
      </c>
      <c r="Z86" s="322">
        <f t="shared" si="44"/>
        <v>546.83000000000004</v>
      </c>
      <c r="AA86" s="323">
        <v>1</v>
      </c>
      <c r="AB86" s="323">
        <f t="shared" si="49"/>
        <v>1408</v>
      </c>
      <c r="AC86" s="324">
        <f t="shared" si="49"/>
        <v>769936.64</v>
      </c>
      <c r="AD86" s="292">
        <v>0</v>
      </c>
      <c r="AE86" s="183">
        <f t="shared" si="45"/>
        <v>561.04999999999995</v>
      </c>
      <c r="AF86" s="293">
        <v>1</v>
      </c>
      <c r="AG86" s="293">
        <f t="shared" si="50"/>
        <v>0</v>
      </c>
      <c r="AH86" s="294">
        <f t="shared" si="50"/>
        <v>0</v>
      </c>
      <c r="AI86" s="325">
        <v>0</v>
      </c>
      <c r="AJ86" s="326">
        <f t="shared" si="46"/>
        <v>575.64</v>
      </c>
      <c r="AK86" s="293">
        <v>1</v>
      </c>
      <c r="AL86" s="293">
        <f t="shared" si="51"/>
        <v>0</v>
      </c>
      <c r="AM86" s="294">
        <f t="shared" si="51"/>
        <v>0</v>
      </c>
      <c r="AN86" s="325">
        <v>0</v>
      </c>
      <c r="AO86" s="326">
        <f t="shared" si="47"/>
        <v>587.73</v>
      </c>
      <c r="AP86" s="293">
        <v>1</v>
      </c>
      <c r="AQ86" s="293">
        <f t="shared" si="52"/>
        <v>0</v>
      </c>
      <c r="AR86" s="294">
        <f t="shared" si="52"/>
        <v>0</v>
      </c>
    </row>
    <row r="87" spans="1:44" ht="45" x14ac:dyDescent="0.25">
      <c r="A87" s="300" t="s">
        <v>683</v>
      </c>
      <c r="B87" s="301" t="s">
        <v>926</v>
      </c>
      <c r="C87" s="327">
        <v>0</v>
      </c>
      <c r="D87" s="185">
        <v>496.96</v>
      </c>
      <c r="E87" s="303">
        <v>1</v>
      </c>
      <c r="F87" s="304">
        <f t="shared" si="41"/>
        <v>0</v>
      </c>
      <c r="G87" s="305">
        <f t="shared" si="41"/>
        <v>0</v>
      </c>
      <c r="H87" s="302">
        <v>0</v>
      </c>
      <c r="I87" s="185">
        <v>496.96</v>
      </c>
      <c r="J87" s="303">
        <v>1</v>
      </c>
      <c r="K87" s="304">
        <f t="shared" si="42"/>
        <v>0</v>
      </c>
      <c r="L87" s="305">
        <f t="shared" si="42"/>
        <v>0</v>
      </c>
      <c r="M87" s="327">
        <v>0</v>
      </c>
      <c r="N87" s="185">
        <v>496.96</v>
      </c>
      <c r="O87" s="303">
        <v>1</v>
      </c>
      <c r="P87" s="304">
        <f t="shared" si="43"/>
        <v>0</v>
      </c>
      <c r="Q87" s="305">
        <f t="shared" si="43"/>
        <v>0</v>
      </c>
      <c r="R87" s="302">
        <v>0</v>
      </c>
      <c r="S87" s="185">
        <f t="shared" si="53"/>
        <v>525.29</v>
      </c>
      <c r="T87" s="303">
        <v>1</v>
      </c>
      <c r="U87" s="304">
        <f t="shared" si="48"/>
        <v>0</v>
      </c>
      <c r="V87" s="305">
        <f t="shared" si="48"/>
        <v>0</v>
      </c>
      <c r="W87" s="300" t="s">
        <v>683</v>
      </c>
      <c r="X87" s="301" t="s">
        <v>682</v>
      </c>
      <c r="Y87" s="306">
        <v>498</v>
      </c>
      <c r="Z87" s="307">
        <f t="shared" si="44"/>
        <v>546.83000000000004</v>
      </c>
      <c r="AA87" s="308">
        <v>1</v>
      </c>
      <c r="AB87" s="309">
        <f t="shared" si="49"/>
        <v>498</v>
      </c>
      <c r="AC87" s="310">
        <f t="shared" si="49"/>
        <v>272321.34000000003</v>
      </c>
      <c r="AD87" s="302">
        <v>0</v>
      </c>
      <c r="AE87" s="185">
        <f t="shared" si="45"/>
        <v>561.04999999999995</v>
      </c>
      <c r="AF87" s="303">
        <v>1</v>
      </c>
      <c r="AG87" s="304">
        <f t="shared" si="50"/>
        <v>0</v>
      </c>
      <c r="AH87" s="305">
        <f t="shared" si="50"/>
        <v>0</v>
      </c>
      <c r="AI87" s="311">
        <v>0</v>
      </c>
      <c r="AJ87" s="312">
        <f t="shared" si="46"/>
        <v>575.64</v>
      </c>
      <c r="AK87" s="303">
        <v>1</v>
      </c>
      <c r="AL87" s="304">
        <f t="shared" si="51"/>
        <v>0</v>
      </c>
      <c r="AM87" s="305">
        <f t="shared" si="51"/>
        <v>0</v>
      </c>
      <c r="AN87" s="311">
        <v>0</v>
      </c>
      <c r="AO87" s="312">
        <f t="shared" si="47"/>
        <v>587.73</v>
      </c>
      <c r="AP87" s="303">
        <v>1</v>
      </c>
      <c r="AQ87" s="304">
        <f t="shared" si="52"/>
        <v>0</v>
      </c>
      <c r="AR87" s="305">
        <f t="shared" si="52"/>
        <v>0</v>
      </c>
    </row>
    <row r="88" spans="1:44" ht="45" x14ac:dyDescent="0.25">
      <c r="A88" s="278" t="s">
        <v>681</v>
      </c>
      <c r="B88" s="313" t="s">
        <v>680</v>
      </c>
      <c r="C88" s="287">
        <v>0</v>
      </c>
      <c r="D88" s="184">
        <v>496.96</v>
      </c>
      <c r="E88" s="281">
        <v>1</v>
      </c>
      <c r="F88" s="281">
        <f t="shared" si="41"/>
        <v>0</v>
      </c>
      <c r="G88" s="282">
        <f t="shared" si="41"/>
        <v>0</v>
      </c>
      <c r="H88" s="284">
        <v>0</v>
      </c>
      <c r="I88" s="184">
        <v>496.96</v>
      </c>
      <c r="J88" s="281">
        <v>1</v>
      </c>
      <c r="K88" s="281">
        <f t="shared" si="42"/>
        <v>0</v>
      </c>
      <c r="L88" s="282">
        <f t="shared" si="42"/>
        <v>0</v>
      </c>
      <c r="M88" s="287">
        <v>0</v>
      </c>
      <c r="N88" s="182">
        <v>496.96</v>
      </c>
      <c r="O88" s="296">
        <v>1</v>
      </c>
      <c r="P88" s="281">
        <f t="shared" si="43"/>
        <v>0</v>
      </c>
      <c r="Q88" s="282">
        <f t="shared" si="43"/>
        <v>0</v>
      </c>
      <c r="R88" s="284">
        <v>0</v>
      </c>
      <c r="S88" s="182">
        <f t="shared" si="53"/>
        <v>525.29</v>
      </c>
      <c r="T88" s="296">
        <v>1</v>
      </c>
      <c r="U88" s="281">
        <f t="shared" si="48"/>
        <v>0</v>
      </c>
      <c r="V88" s="282">
        <f t="shared" si="48"/>
        <v>0</v>
      </c>
      <c r="W88" s="278" t="s">
        <v>681</v>
      </c>
      <c r="X88" s="313" t="s">
        <v>680</v>
      </c>
      <c r="Y88" s="314">
        <v>389</v>
      </c>
      <c r="Z88" s="315">
        <f t="shared" si="44"/>
        <v>546.83000000000004</v>
      </c>
      <c r="AA88" s="316">
        <v>1</v>
      </c>
      <c r="AB88" s="317">
        <f t="shared" si="49"/>
        <v>389</v>
      </c>
      <c r="AC88" s="318">
        <f t="shared" si="49"/>
        <v>212716.87000000002</v>
      </c>
      <c r="AD88" s="284">
        <v>0</v>
      </c>
      <c r="AE88" s="182">
        <f t="shared" si="45"/>
        <v>561.04999999999995</v>
      </c>
      <c r="AF88" s="296">
        <v>1</v>
      </c>
      <c r="AG88" s="281">
        <f t="shared" si="50"/>
        <v>0</v>
      </c>
      <c r="AH88" s="282">
        <f t="shared" si="50"/>
        <v>0</v>
      </c>
      <c r="AI88" s="285">
        <v>0</v>
      </c>
      <c r="AJ88" s="319">
        <f t="shared" si="46"/>
        <v>575.64</v>
      </c>
      <c r="AK88" s="296">
        <v>1</v>
      </c>
      <c r="AL88" s="281">
        <f t="shared" si="51"/>
        <v>0</v>
      </c>
      <c r="AM88" s="282">
        <f t="shared" si="51"/>
        <v>0</v>
      </c>
      <c r="AN88" s="285">
        <v>0</v>
      </c>
      <c r="AO88" s="319">
        <f t="shared" si="47"/>
        <v>587.73</v>
      </c>
      <c r="AP88" s="296">
        <v>1</v>
      </c>
      <c r="AQ88" s="281">
        <f t="shared" si="52"/>
        <v>0</v>
      </c>
      <c r="AR88" s="282">
        <f t="shared" si="52"/>
        <v>0</v>
      </c>
    </row>
    <row r="89" spans="1:44" ht="45" customHeight="1" x14ac:dyDescent="0.25">
      <c r="A89" s="278" t="s">
        <v>679</v>
      </c>
      <c r="B89" s="313" t="s">
        <v>678</v>
      </c>
      <c r="C89" s="287">
        <v>0</v>
      </c>
      <c r="D89" s="184">
        <v>496.96</v>
      </c>
      <c r="E89" s="281">
        <v>1</v>
      </c>
      <c r="F89" s="281">
        <f t="shared" ref="F89:G104" si="54">C89*E89</f>
        <v>0</v>
      </c>
      <c r="G89" s="282">
        <f t="shared" si="54"/>
        <v>0</v>
      </c>
      <c r="H89" s="284">
        <v>0</v>
      </c>
      <c r="I89" s="184">
        <v>496.96</v>
      </c>
      <c r="J89" s="281">
        <v>1</v>
      </c>
      <c r="K89" s="281">
        <f t="shared" ref="K89:L104" si="55">H89*J89</f>
        <v>0</v>
      </c>
      <c r="L89" s="282">
        <f t="shared" si="55"/>
        <v>0</v>
      </c>
      <c r="M89" s="287">
        <v>0</v>
      </c>
      <c r="N89" s="182">
        <v>496.96</v>
      </c>
      <c r="O89" s="296">
        <v>1</v>
      </c>
      <c r="P89" s="281">
        <f t="shared" ref="P89:Q104" si="56">M89*O89</f>
        <v>0</v>
      </c>
      <c r="Q89" s="282">
        <f t="shared" si="56"/>
        <v>0</v>
      </c>
      <c r="R89" s="284">
        <v>0</v>
      </c>
      <c r="S89" s="182">
        <f t="shared" si="53"/>
        <v>525.29</v>
      </c>
      <c r="T89" s="296">
        <v>1</v>
      </c>
      <c r="U89" s="281">
        <f t="shared" si="48"/>
        <v>0</v>
      </c>
      <c r="V89" s="282">
        <f t="shared" si="48"/>
        <v>0</v>
      </c>
      <c r="W89" s="278" t="s">
        <v>679</v>
      </c>
      <c r="X89" s="313" t="s">
        <v>678</v>
      </c>
      <c r="Y89" s="314">
        <v>1736</v>
      </c>
      <c r="Z89" s="315">
        <f t="shared" si="44"/>
        <v>546.83000000000004</v>
      </c>
      <c r="AA89" s="316">
        <v>1</v>
      </c>
      <c r="AB89" s="317">
        <f t="shared" si="49"/>
        <v>1736</v>
      </c>
      <c r="AC89" s="318">
        <f t="shared" si="49"/>
        <v>949296.88000000012</v>
      </c>
      <c r="AD89" s="284">
        <v>0</v>
      </c>
      <c r="AE89" s="182">
        <f t="shared" si="45"/>
        <v>561.04999999999995</v>
      </c>
      <c r="AF89" s="296">
        <v>1</v>
      </c>
      <c r="AG89" s="281">
        <f t="shared" si="50"/>
        <v>0</v>
      </c>
      <c r="AH89" s="282">
        <f t="shared" si="50"/>
        <v>0</v>
      </c>
      <c r="AI89" s="285">
        <v>0</v>
      </c>
      <c r="AJ89" s="319">
        <f t="shared" si="46"/>
        <v>575.64</v>
      </c>
      <c r="AK89" s="296">
        <v>1</v>
      </c>
      <c r="AL89" s="281">
        <f t="shared" si="51"/>
        <v>0</v>
      </c>
      <c r="AM89" s="282">
        <f t="shared" si="51"/>
        <v>0</v>
      </c>
      <c r="AN89" s="285">
        <v>0</v>
      </c>
      <c r="AO89" s="319">
        <f t="shared" si="47"/>
        <v>587.73</v>
      </c>
      <c r="AP89" s="296">
        <v>1</v>
      </c>
      <c r="AQ89" s="281">
        <f t="shared" si="52"/>
        <v>0</v>
      </c>
      <c r="AR89" s="282">
        <f t="shared" si="52"/>
        <v>0</v>
      </c>
    </row>
    <row r="90" spans="1:44" ht="60.75" thickBot="1" x14ac:dyDescent="0.3">
      <c r="A90" s="262" t="s">
        <v>677</v>
      </c>
      <c r="B90" s="320" t="s">
        <v>676</v>
      </c>
      <c r="C90" s="328">
        <v>0</v>
      </c>
      <c r="D90" s="183">
        <v>496.96</v>
      </c>
      <c r="E90" s="293">
        <v>1</v>
      </c>
      <c r="F90" s="293">
        <f t="shared" si="54"/>
        <v>0</v>
      </c>
      <c r="G90" s="294">
        <f t="shared" si="54"/>
        <v>0</v>
      </c>
      <c r="H90" s="292">
        <v>0</v>
      </c>
      <c r="I90" s="183">
        <v>496.96</v>
      </c>
      <c r="J90" s="293">
        <v>1</v>
      </c>
      <c r="K90" s="293">
        <f t="shared" si="55"/>
        <v>0</v>
      </c>
      <c r="L90" s="294">
        <f t="shared" si="55"/>
        <v>0</v>
      </c>
      <c r="M90" s="328">
        <v>0</v>
      </c>
      <c r="N90" s="183">
        <v>496.96</v>
      </c>
      <c r="O90" s="293">
        <v>1</v>
      </c>
      <c r="P90" s="293">
        <f t="shared" si="56"/>
        <v>0</v>
      </c>
      <c r="Q90" s="294">
        <f t="shared" si="56"/>
        <v>0</v>
      </c>
      <c r="R90" s="292">
        <v>0</v>
      </c>
      <c r="S90" s="183">
        <f t="shared" si="53"/>
        <v>525.29</v>
      </c>
      <c r="T90" s="293">
        <v>1</v>
      </c>
      <c r="U90" s="293">
        <f t="shared" si="48"/>
        <v>0</v>
      </c>
      <c r="V90" s="294">
        <f t="shared" si="48"/>
        <v>0</v>
      </c>
      <c r="W90" s="262" t="s">
        <v>677</v>
      </c>
      <c r="X90" s="320" t="s">
        <v>676</v>
      </c>
      <c r="Y90" s="321">
        <v>1408</v>
      </c>
      <c r="Z90" s="322">
        <f t="shared" si="44"/>
        <v>546.83000000000004</v>
      </c>
      <c r="AA90" s="323">
        <v>1</v>
      </c>
      <c r="AB90" s="323">
        <f t="shared" si="49"/>
        <v>1408</v>
      </c>
      <c r="AC90" s="324">
        <f t="shared" si="49"/>
        <v>769936.64</v>
      </c>
      <c r="AD90" s="292">
        <v>0</v>
      </c>
      <c r="AE90" s="183">
        <f t="shared" si="45"/>
        <v>561.04999999999995</v>
      </c>
      <c r="AF90" s="293">
        <v>1</v>
      </c>
      <c r="AG90" s="293">
        <f t="shared" si="50"/>
        <v>0</v>
      </c>
      <c r="AH90" s="294">
        <f t="shared" si="50"/>
        <v>0</v>
      </c>
      <c r="AI90" s="325">
        <v>0</v>
      </c>
      <c r="AJ90" s="326">
        <f t="shared" si="46"/>
        <v>575.64</v>
      </c>
      <c r="AK90" s="293">
        <v>1</v>
      </c>
      <c r="AL90" s="293">
        <f t="shared" si="51"/>
        <v>0</v>
      </c>
      <c r="AM90" s="294">
        <f t="shared" si="51"/>
        <v>0</v>
      </c>
      <c r="AN90" s="325">
        <v>0</v>
      </c>
      <c r="AO90" s="326">
        <f t="shared" si="47"/>
        <v>587.73</v>
      </c>
      <c r="AP90" s="293">
        <v>1</v>
      </c>
      <c r="AQ90" s="293">
        <f t="shared" si="52"/>
        <v>0</v>
      </c>
      <c r="AR90" s="294">
        <f t="shared" si="52"/>
        <v>0</v>
      </c>
    </row>
    <row r="91" spans="1:44" ht="45" x14ac:dyDescent="0.25">
      <c r="A91" s="300" t="s">
        <v>675</v>
      </c>
      <c r="B91" s="301" t="s">
        <v>674</v>
      </c>
      <c r="C91" s="327">
        <v>0</v>
      </c>
      <c r="D91" s="185">
        <v>496.96</v>
      </c>
      <c r="E91" s="303">
        <v>1</v>
      </c>
      <c r="F91" s="304">
        <f t="shared" si="54"/>
        <v>0</v>
      </c>
      <c r="G91" s="305">
        <f t="shared" si="54"/>
        <v>0</v>
      </c>
      <c r="H91" s="302">
        <v>0</v>
      </c>
      <c r="I91" s="185">
        <v>496.96</v>
      </c>
      <c r="J91" s="303">
        <v>1</v>
      </c>
      <c r="K91" s="304">
        <f t="shared" si="55"/>
        <v>0</v>
      </c>
      <c r="L91" s="305">
        <f t="shared" si="55"/>
        <v>0</v>
      </c>
      <c r="M91" s="327">
        <v>0</v>
      </c>
      <c r="N91" s="185">
        <v>496.96</v>
      </c>
      <c r="O91" s="303">
        <v>1</v>
      </c>
      <c r="P91" s="304">
        <f t="shared" si="56"/>
        <v>0</v>
      </c>
      <c r="Q91" s="305">
        <f t="shared" si="56"/>
        <v>0</v>
      </c>
      <c r="R91" s="302">
        <v>0</v>
      </c>
      <c r="S91" s="185">
        <f t="shared" si="53"/>
        <v>525.29</v>
      </c>
      <c r="T91" s="303">
        <v>1</v>
      </c>
      <c r="U91" s="304">
        <f t="shared" ref="U91:V106" si="57">R91*T91</f>
        <v>0</v>
      </c>
      <c r="V91" s="305">
        <f t="shared" si="57"/>
        <v>0</v>
      </c>
      <c r="W91" s="300" t="s">
        <v>675</v>
      </c>
      <c r="X91" s="301" t="s">
        <v>674</v>
      </c>
      <c r="Y91" s="302">
        <v>0</v>
      </c>
      <c r="Z91" s="185">
        <f t="shared" si="44"/>
        <v>546.83000000000004</v>
      </c>
      <c r="AA91" s="303">
        <v>1</v>
      </c>
      <c r="AB91" s="304">
        <f t="shared" ref="AB91:AC106" si="58">Y91*AA91</f>
        <v>0</v>
      </c>
      <c r="AC91" s="305">
        <f t="shared" si="58"/>
        <v>0</v>
      </c>
      <c r="AD91" s="306">
        <v>498</v>
      </c>
      <c r="AE91" s="307">
        <f t="shared" si="45"/>
        <v>561.04999999999995</v>
      </c>
      <c r="AF91" s="308">
        <v>1</v>
      </c>
      <c r="AG91" s="309">
        <f t="shared" ref="AG91:AH106" si="59">AD91*AF91</f>
        <v>498</v>
      </c>
      <c r="AH91" s="310">
        <f t="shared" si="59"/>
        <v>279402.89999999997</v>
      </c>
      <c r="AI91" s="311">
        <v>0</v>
      </c>
      <c r="AJ91" s="312">
        <f t="shared" si="46"/>
        <v>575.64</v>
      </c>
      <c r="AK91" s="303">
        <v>1</v>
      </c>
      <c r="AL91" s="304">
        <f t="shared" ref="AL91:AM106" si="60">AI91*AK91</f>
        <v>0</v>
      </c>
      <c r="AM91" s="305">
        <f t="shared" si="60"/>
        <v>0</v>
      </c>
      <c r="AN91" s="311">
        <v>0</v>
      </c>
      <c r="AO91" s="312">
        <f t="shared" si="47"/>
        <v>587.73</v>
      </c>
      <c r="AP91" s="303">
        <v>1</v>
      </c>
      <c r="AQ91" s="304">
        <f t="shared" ref="AQ91:AR106" si="61">AN91*AP91</f>
        <v>0</v>
      </c>
      <c r="AR91" s="305">
        <f t="shared" si="61"/>
        <v>0</v>
      </c>
    </row>
    <row r="92" spans="1:44" ht="45" x14ac:dyDescent="0.25">
      <c r="A92" s="278" t="s">
        <v>673</v>
      </c>
      <c r="B92" s="313" t="s">
        <v>672</v>
      </c>
      <c r="C92" s="287">
        <v>0</v>
      </c>
      <c r="D92" s="184">
        <v>496.96</v>
      </c>
      <c r="E92" s="281">
        <v>1</v>
      </c>
      <c r="F92" s="281">
        <f t="shared" si="54"/>
        <v>0</v>
      </c>
      <c r="G92" s="282">
        <f t="shared" si="54"/>
        <v>0</v>
      </c>
      <c r="H92" s="284">
        <v>0</v>
      </c>
      <c r="I92" s="184">
        <v>496.96</v>
      </c>
      <c r="J92" s="281">
        <v>1</v>
      </c>
      <c r="K92" s="281">
        <f t="shared" si="55"/>
        <v>0</v>
      </c>
      <c r="L92" s="282">
        <f t="shared" si="55"/>
        <v>0</v>
      </c>
      <c r="M92" s="287">
        <v>0</v>
      </c>
      <c r="N92" s="182">
        <v>496.96</v>
      </c>
      <c r="O92" s="296">
        <v>1</v>
      </c>
      <c r="P92" s="281">
        <f t="shared" si="56"/>
        <v>0</v>
      </c>
      <c r="Q92" s="282">
        <f t="shared" si="56"/>
        <v>0</v>
      </c>
      <c r="R92" s="284">
        <v>0</v>
      </c>
      <c r="S92" s="182">
        <f t="shared" si="53"/>
        <v>525.29</v>
      </c>
      <c r="T92" s="296">
        <v>1</v>
      </c>
      <c r="U92" s="281">
        <f t="shared" si="57"/>
        <v>0</v>
      </c>
      <c r="V92" s="282">
        <f t="shared" si="57"/>
        <v>0</v>
      </c>
      <c r="W92" s="278" t="s">
        <v>673</v>
      </c>
      <c r="X92" s="313" t="s">
        <v>672</v>
      </c>
      <c r="Y92" s="284">
        <v>0</v>
      </c>
      <c r="Z92" s="182">
        <f t="shared" si="44"/>
        <v>546.83000000000004</v>
      </c>
      <c r="AA92" s="296">
        <v>1</v>
      </c>
      <c r="AB92" s="281">
        <f t="shared" si="58"/>
        <v>0</v>
      </c>
      <c r="AC92" s="282">
        <f t="shared" si="58"/>
        <v>0</v>
      </c>
      <c r="AD92" s="314">
        <v>389</v>
      </c>
      <c r="AE92" s="315">
        <f t="shared" si="45"/>
        <v>561.04999999999995</v>
      </c>
      <c r="AF92" s="316">
        <v>1</v>
      </c>
      <c r="AG92" s="317">
        <f t="shared" si="59"/>
        <v>389</v>
      </c>
      <c r="AH92" s="318">
        <f t="shared" si="59"/>
        <v>218248.44999999998</v>
      </c>
      <c r="AI92" s="285">
        <v>0</v>
      </c>
      <c r="AJ92" s="319">
        <f t="shared" si="46"/>
        <v>575.64</v>
      </c>
      <c r="AK92" s="296">
        <v>1</v>
      </c>
      <c r="AL92" s="281">
        <f t="shared" si="60"/>
        <v>0</v>
      </c>
      <c r="AM92" s="282">
        <f t="shared" si="60"/>
        <v>0</v>
      </c>
      <c r="AN92" s="285">
        <v>0</v>
      </c>
      <c r="AO92" s="319">
        <f t="shared" si="47"/>
        <v>587.73</v>
      </c>
      <c r="AP92" s="296">
        <v>1</v>
      </c>
      <c r="AQ92" s="281">
        <f t="shared" si="61"/>
        <v>0</v>
      </c>
      <c r="AR92" s="282">
        <f t="shared" si="61"/>
        <v>0</v>
      </c>
    </row>
    <row r="93" spans="1:44" ht="42.95" customHeight="1" x14ac:dyDescent="0.25">
      <c r="A93" s="278" t="s">
        <v>671</v>
      </c>
      <c r="B93" s="313" t="s">
        <v>670</v>
      </c>
      <c r="C93" s="287">
        <v>0</v>
      </c>
      <c r="D93" s="184">
        <v>496.96</v>
      </c>
      <c r="E93" s="281">
        <v>1</v>
      </c>
      <c r="F93" s="281">
        <f t="shared" si="54"/>
        <v>0</v>
      </c>
      <c r="G93" s="282">
        <f t="shared" si="54"/>
        <v>0</v>
      </c>
      <c r="H93" s="284">
        <v>0</v>
      </c>
      <c r="I93" s="184">
        <v>496.96</v>
      </c>
      <c r="J93" s="281">
        <v>1</v>
      </c>
      <c r="K93" s="281">
        <f t="shared" si="55"/>
        <v>0</v>
      </c>
      <c r="L93" s="282">
        <f t="shared" si="55"/>
        <v>0</v>
      </c>
      <c r="M93" s="287">
        <v>0</v>
      </c>
      <c r="N93" s="182">
        <v>496.96</v>
      </c>
      <c r="O93" s="296">
        <v>1</v>
      </c>
      <c r="P93" s="281">
        <f t="shared" si="56"/>
        <v>0</v>
      </c>
      <c r="Q93" s="282">
        <f t="shared" si="56"/>
        <v>0</v>
      </c>
      <c r="R93" s="284">
        <v>0</v>
      </c>
      <c r="S93" s="182">
        <f t="shared" si="53"/>
        <v>525.29</v>
      </c>
      <c r="T93" s="296">
        <v>1</v>
      </c>
      <c r="U93" s="281">
        <f t="shared" si="57"/>
        <v>0</v>
      </c>
      <c r="V93" s="282">
        <f t="shared" si="57"/>
        <v>0</v>
      </c>
      <c r="W93" s="278" t="s">
        <v>671</v>
      </c>
      <c r="X93" s="313" t="s">
        <v>670</v>
      </c>
      <c r="Y93" s="284">
        <v>0</v>
      </c>
      <c r="Z93" s="182">
        <f t="shared" si="44"/>
        <v>546.83000000000004</v>
      </c>
      <c r="AA93" s="296">
        <v>1</v>
      </c>
      <c r="AB93" s="281">
        <f t="shared" si="58"/>
        <v>0</v>
      </c>
      <c r="AC93" s="282">
        <f t="shared" si="58"/>
        <v>0</v>
      </c>
      <c r="AD93" s="314">
        <v>1736</v>
      </c>
      <c r="AE93" s="315">
        <f t="shared" si="45"/>
        <v>561.04999999999995</v>
      </c>
      <c r="AF93" s="316">
        <v>1</v>
      </c>
      <c r="AG93" s="317">
        <f t="shared" si="59"/>
        <v>1736</v>
      </c>
      <c r="AH93" s="318">
        <f t="shared" si="59"/>
        <v>973982.79999999993</v>
      </c>
      <c r="AI93" s="285">
        <v>0</v>
      </c>
      <c r="AJ93" s="319">
        <f t="shared" si="46"/>
        <v>575.64</v>
      </c>
      <c r="AK93" s="296">
        <v>1</v>
      </c>
      <c r="AL93" s="281">
        <f t="shared" si="60"/>
        <v>0</v>
      </c>
      <c r="AM93" s="282">
        <f t="shared" si="60"/>
        <v>0</v>
      </c>
      <c r="AN93" s="285">
        <v>0</v>
      </c>
      <c r="AO93" s="319">
        <f t="shared" si="47"/>
        <v>587.73</v>
      </c>
      <c r="AP93" s="296">
        <v>1</v>
      </c>
      <c r="AQ93" s="281">
        <f t="shared" si="61"/>
        <v>0</v>
      </c>
      <c r="AR93" s="282">
        <f t="shared" si="61"/>
        <v>0</v>
      </c>
    </row>
    <row r="94" spans="1:44" ht="60.75" thickBot="1" x14ac:dyDescent="0.3">
      <c r="A94" s="262" t="s">
        <v>669</v>
      </c>
      <c r="B94" s="320" t="s">
        <v>668</v>
      </c>
      <c r="C94" s="328">
        <v>0</v>
      </c>
      <c r="D94" s="183">
        <v>496.96</v>
      </c>
      <c r="E94" s="293">
        <v>1</v>
      </c>
      <c r="F94" s="293">
        <f t="shared" si="54"/>
        <v>0</v>
      </c>
      <c r="G94" s="294">
        <f t="shared" si="54"/>
        <v>0</v>
      </c>
      <c r="H94" s="292">
        <v>0</v>
      </c>
      <c r="I94" s="183">
        <v>496.96</v>
      </c>
      <c r="J94" s="293">
        <v>1</v>
      </c>
      <c r="K94" s="293">
        <f t="shared" si="55"/>
        <v>0</v>
      </c>
      <c r="L94" s="294">
        <f t="shared" si="55"/>
        <v>0</v>
      </c>
      <c r="M94" s="328">
        <v>0</v>
      </c>
      <c r="N94" s="183">
        <v>496.96</v>
      </c>
      <c r="O94" s="293">
        <v>1</v>
      </c>
      <c r="P94" s="293">
        <f t="shared" si="56"/>
        <v>0</v>
      </c>
      <c r="Q94" s="294">
        <f t="shared" si="56"/>
        <v>0</v>
      </c>
      <c r="R94" s="292">
        <v>0</v>
      </c>
      <c r="S94" s="183">
        <f t="shared" si="53"/>
        <v>525.29</v>
      </c>
      <c r="T94" s="293">
        <v>1</v>
      </c>
      <c r="U94" s="293">
        <f t="shared" si="57"/>
        <v>0</v>
      </c>
      <c r="V94" s="294">
        <f t="shared" si="57"/>
        <v>0</v>
      </c>
      <c r="W94" s="262" t="s">
        <v>669</v>
      </c>
      <c r="X94" s="320" t="s">
        <v>668</v>
      </c>
      <c r="Y94" s="292">
        <v>0</v>
      </c>
      <c r="Z94" s="183">
        <f t="shared" si="44"/>
        <v>546.83000000000004</v>
      </c>
      <c r="AA94" s="293">
        <v>1</v>
      </c>
      <c r="AB94" s="293">
        <f t="shared" si="58"/>
        <v>0</v>
      </c>
      <c r="AC94" s="294">
        <f t="shared" si="58"/>
        <v>0</v>
      </c>
      <c r="AD94" s="321">
        <v>1408</v>
      </c>
      <c r="AE94" s="322">
        <f t="shared" si="45"/>
        <v>561.04999999999995</v>
      </c>
      <c r="AF94" s="323">
        <v>1</v>
      </c>
      <c r="AG94" s="323">
        <f t="shared" si="59"/>
        <v>1408</v>
      </c>
      <c r="AH94" s="324">
        <f t="shared" si="59"/>
        <v>789958.39999999991</v>
      </c>
      <c r="AI94" s="325">
        <v>0</v>
      </c>
      <c r="AJ94" s="326">
        <f t="shared" si="46"/>
        <v>575.64</v>
      </c>
      <c r="AK94" s="293">
        <v>1</v>
      </c>
      <c r="AL94" s="293">
        <f t="shared" si="60"/>
        <v>0</v>
      </c>
      <c r="AM94" s="294">
        <f t="shared" si="60"/>
        <v>0</v>
      </c>
      <c r="AN94" s="325">
        <v>0</v>
      </c>
      <c r="AO94" s="326">
        <f t="shared" si="47"/>
        <v>587.73</v>
      </c>
      <c r="AP94" s="293">
        <v>1</v>
      </c>
      <c r="AQ94" s="293">
        <f t="shared" si="61"/>
        <v>0</v>
      </c>
      <c r="AR94" s="294">
        <f t="shared" si="61"/>
        <v>0</v>
      </c>
    </row>
    <row r="95" spans="1:44" ht="45" x14ac:dyDescent="0.25">
      <c r="A95" s="300" t="s">
        <v>667</v>
      </c>
      <c r="B95" s="301" t="s">
        <v>666</v>
      </c>
      <c r="C95" s="327">
        <v>0</v>
      </c>
      <c r="D95" s="185">
        <v>496.96</v>
      </c>
      <c r="E95" s="303">
        <v>1</v>
      </c>
      <c r="F95" s="304">
        <f t="shared" si="54"/>
        <v>0</v>
      </c>
      <c r="G95" s="305">
        <f t="shared" si="54"/>
        <v>0</v>
      </c>
      <c r="H95" s="302">
        <v>0</v>
      </c>
      <c r="I95" s="185">
        <v>496.96</v>
      </c>
      <c r="J95" s="303">
        <v>1</v>
      </c>
      <c r="K95" s="304">
        <f t="shared" si="55"/>
        <v>0</v>
      </c>
      <c r="L95" s="305">
        <f t="shared" si="55"/>
        <v>0</v>
      </c>
      <c r="M95" s="327">
        <v>0</v>
      </c>
      <c r="N95" s="185">
        <v>496.96</v>
      </c>
      <c r="O95" s="303">
        <v>1</v>
      </c>
      <c r="P95" s="304">
        <f t="shared" si="56"/>
        <v>0</v>
      </c>
      <c r="Q95" s="305">
        <f t="shared" si="56"/>
        <v>0</v>
      </c>
      <c r="R95" s="302">
        <v>0</v>
      </c>
      <c r="S95" s="185">
        <f t="shared" si="53"/>
        <v>525.29</v>
      </c>
      <c r="T95" s="303">
        <v>1</v>
      </c>
      <c r="U95" s="304">
        <f t="shared" si="57"/>
        <v>0</v>
      </c>
      <c r="V95" s="305">
        <f t="shared" si="57"/>
        <v>0</v>
      </c>
      <c r="W95" s="300" t="s">
        <v>667</v>
      </c>
      <c r="X95" s="301" t="s">
        <v>666</v>
      </c>
      <c r="Y95" s="302">
        <v>0</v>
      </c>
      <c r="Z95" s="185">
        <f t="shared" si="44"/>
        <v>546.83000000000004</v>
      </c>
      <c r="AA95" s="303">
        <v>1</v>
      </c>
      <c r="AB95" s="304">
        <f t="shared" si="58"/>
        <v>0</v>
      </c>
      <c r="AC95" s="305">
        <f t="shared" si="58"/>
        <v>0</v>
      </c>
      <c r="AD95" s="306">
        <v>498</v>
      </c>
      <c r="AE95" s="307">
        <f t="shared" si="45"/>
        <v>561.04999999999995</v>
      </c>
      <c r="AF95" s="308">
        <v>1</v>
      </c>
      <c r="AG95" s="309">
        <f t="shared" si="59"/>
        <v>498</v>
      </c>
      <c r="AH95" s="310">
        <f t="shared" si="59"/>
        <v>279402.89999999997</v>
      </c>
      <c r="AI95" s="311">
        <v>0</v>
      </c>
      <c r="AJ95" s="312">
        <f t="shared" si="46"/>
        <v>575.64</v>
      </c>
      <c r="AK95" s="303">
        <v>1</v>
      </c>
      <c r="AL95" s="304">
        <f t="shared" si="60"/>
        <v>0</v>
      </c>
      <c r="AM95" s="305">
        <f t="shared" si="60"/>
        <v>0</v>
      </c>
      <c r="AN95" s="311">
        <v>0</v>
      </c>
      <c r="AO95" s="312">
        <f t="shared" si="47"/>
        <v>587.73</v>
      </c>
      <c r="AP95" s="303">
        <v>1</v>
      </c>
      <c r="AQ95" s="304">
        <f t="shared" si="61"/>
        <v>0</v>
      </c>
      <c r="AR95" s="305">
        <f t="shared" si="61"/>
        <v>0</v>
      </c>
    </row>
    <row r="96" spans="1:44" ht="45" x14ac:dyDescent="0.25">
      <c r="A96" s="278" t="s">
        <v>665</v>
      </c>
      <c r="B96" s="313" t="s">
        <v>664</v>
      </c>
      <c r="C96" s="287">
        <v>0</v>
      </c>
      <c r="D96" s="184">
        <v>496.96</v>
      </c>
      <c r="E96" s="281">
        <v>1</v>
      </c>
      <c r="F96" s="281">
        <f t="shared" si="54"/>
        <v>0</v>
      </c>
      <c r="G96" s="282">
        <f t="shared" si="54"/>
        <v>0</v>
      </c>
      <c r="H96" s="284">
        <v>0</v>
      </c>
      <c r="I96" s="184">
        <v>496.96</v>
      </c>
      <c r="J96" s="281">
        <v>1</v>
      </c>
      <c r="K96" s="281">
        <f t="shared" si="55"/>
        <v>0</v>
      </c>
      <c r="L96" s="282">
        <f t="shared" si="55"/>
        <v>0</v>
      </c>
      <c r="M96" s="287">
        <v>0</v>
      </c>
      <c r="N96" s="182">
        <v>496.96</v>
      </c>
      <c r="O96" s="296">
        <v>1</v>
      </c>
      <c r="P96" s="281">
        <f t="shared" si="56"/>
        <v>0</v>
      </c>
      <c r="Q96" s="282">
        <f t="shared" si="56"/>
        <v>0</v>
      </c>
      <c r="R96" s="284">
        <v>0</v>
      </c>
      <c r="S96" s="182">
        <f t="shared" si="53"/>
        <v>525.29</v>
      </c>
      <c r="T96" s="296">
        <v>1</v>
      </c>
      <c r="U96" s="281">
        <f t="shared" si="57"/>
        <v>0</v>
      </c>
      <c r="V96" s="282">
        <f t="shared" si="57"/>
        <v>0</v>
      </c>
      <c r="W96" s="278" t="s">
        <v>665</v>
      </c>
      <c r="X96" s="313" t="s">
        <v>664</v>
      </c>
      <c r="Y96" s="284">
        <v>0</v>
      </c>
      <c r="Z96" s="182">
        <f t="shared" si="44"/>
        <v>546.83000000000004</v>
      </c>
      <c r="AA96" s="296">
        <v>1</v>
      </c>
      <c r="AB96" s="281">
        <f t="shared" si="58"/>
        <v>0</v>
      </c>
      <c r="AC96" s="282">
        <f t="shared" si="58"/>
        <v>0</v>
      </c>
      <c r="AD96" s="314">
        <v>389</v>
      </c>
      <c r="AE96" s="315">
        <f t="shared" si="45"/>
        <v>561.04999999999995</v>
      </c>
      <c r="AF96" s="316">
        <v>1</v>
      </c>
      <c r="AG96" s="317">
        <f t="shared" si="59"/>
        <v>389</v>
      </c>
      <c r="AH96" s="318">
        <f t="shared" si="59"/>
        <v>218248.44999999998</v>
      </c>
      <c r="AI96" s="285">
        <v>0</v>
      </c>
      <c r="AJ96" s="319">
        <f t="shared" si="46"/>
        <v>575.64</v>
      </c>
      <c r="AK96" s="296">
        <v>1</v>
      </c>
      <c r="AL96" s="281">
        <f t="shared" si="60"/>
        <v>0</v>
      </c>
      <c r="AM96" s="282">
        <f t="shared" si="60"/>
        <v>0</v>
      </c>
      <c r="AN96" s="285">
        <v>0</v>
      </c>
      <c r="AO96" s="319">
        <f t="shared" si="47"/>
        <v>587.73</v>
      </c>
      <c r="AP96" s="296">
        <v>1</v>
      </c>
      <c r="AQ96" s="281">
        <f t="shared" si="61"/>
        <v>0</v>
      </c>
      <c r="AR96" s="282">
        <f t="shared" si="61"/>
        <v>0</v>
      </c>
    </row>
    <row r="97" spans="1:44" ht="45" customHeight="1" x14ac:dyDescent="0.25">
      <c r="A97" s="278" t="s">
        <v>663</v>
      </c>
      <c r="B97" s="313" t="s">
        <v>662</v>
      </c>
      <c r="C97" s="287">
        <v>0</v>
      </c>
      <c r="D97" s="184">
        <v>496.96</v>
      </c>
      <c r="E97" s="281">
        <v>1</v>
      </c>
      <c r="F97" s="281">
        <f t="shared" si="54"/>
        <v>0</v>
      </c>
      <c r="G97" s="282">
        <f t="shared" si="54"/>
        <v>0</v>
      </c>
      <c r="H97" s="284">
        <v>0</v>
      </c>
      <c r="I97" s="184">
        <v>496.96</v>
      </c>
      <c r="J97" s="281">
        <v>1</v>
      </c>
      <c r="K97" s="281">
        <f t="shared" si="55"/>
        <v>0</v>
      </c>
      <c r="L97" s="282">
        <f t="shared" si="55"/>
        <v>0</v>
      </c>
      <c r="M97" s="287">
        <v>0</v>
      </c>
      <c r="N97" s="182">
        <v>496.96</v>
      </c>
      <c r="O97" s="296">
        <v>1</v>
      </c>
      <c r="P97" s="281">
        <f t="shared" si="56"/>
        <v>0</v>
      </c>
      <c r="Q97" s="282">
        <f t="shared" si="56"/>
        <v>0</v>
      </c>
      <c r="R97" s="284">
        <v>0</v>
      </c>
      <c r="S97" s="182">
        <f t="shared" si="53"/>
        <v>525.29</v>
      </c>
      <c r="T97" s="296">
        <v>1</v>
      </c>
      <c r="U97" s="281">
        <f t="shared" si="57"/>
        <v>0</v>
      </c>
      <c r="V97" s="282">
        <f t="shared" si="57"/>
        <v>0</v>
      </c>
      <c r="W97" s="278" t="s">
        <v>663</v>
      </c>
      <c r="X97" s="313" t="s">
        <v>662</v>
      </c>
      <c r="Y97" s="284">
        <v>0</v>
      </c>
      <c r="Z97" s="182">
        <f t="shared" si="44"/>
        <v>546.83000000000004</v>
      </c>
      <c r="AA97" s="296">
        <v>1</v>
      </c>
      <c r="AB97" s="281">
        <f t="shared" si="58"/>
        <v>0</v>
      </c>
      <c r="AC97" s="282">
        <f t="shared" si="58"/>
        <v>0</v>
      </c>
      <c r="AD97" s="314">
        <v>1736</v>
      </c>
      <c r="AE97" s="315">
        <f t="shared" si="45"/>
        <v>561.04999999999995</v>
      </c>
      <c r="AF97" s="316">
        <v>1</v>
      </c>
      <c r="AG97" s="317">
        <f t="shared" si="59"/>
        <v>1736</v>
      </c>
      <c r="AH97" s="318">
        <f t="shared" si="59"/>
        <v>973982.79999999993</v>
      </c>
      <c r="AI97" s="285">
        <v>0</v>
      </c>
      <c r="AJ97" s="319">
        <f t="shared" si="46"/>
        <v>575.64</v>
      </c>
      <c r="AK97" s="296">
        <v>1</v>
      </c>
      <c r="AL97" s="281">
        <f t="shared" si="60"/>
        <v>0</v>
      </c>
      <c r="AM97" s="282">
        <f t="shared" si="60"/>
        <v>0</v>
      </c>
      <c r="AN97" s="285">
        <v>0</v>
      </c>
      <c r="AO97" s="319">
        <f t="shared" si="47"/>
        <v>587.73</v>
      </c>
      <c r="AP97" s="296">
        <v>1</v>
      </c>
      <c r="AQ97" s="281">
        <f t="shared" si="61"/>
        <v>0</v>
      </c>
      <c r="AR97" s="282">
        <f t="shared" si="61"/>
        <v>0</v>
      </c>
    </row>
    <row r="98" spans="1:44" ht="60.75" thickBot="1" x14ac:dyDescent="0.3">
      <c r="A98" s="262" t="s">
        <v>661</v>
      </c>
      <c r="B98" s="320" t="s">
        <v>660</v>
      </c>
      <c r="C98" s="328">
        <v>0</v>
      </c>
      <c r="D98" s="183">
        <v>496.96</v>
      </c>
      <c r="E98" s="293">
        <v>1</v>
      </c>
      <c r="F98" s="293">
        <f t="shared" si="54"/>
        <v>0</v>
      </c>
      <c r="G98" s="294">
        <f t="shared" si="54"/>
        <v>0</v>
      </c>
      <c r="H98" s="292">
        <v>0</v>
      </c>
      <c r="I98" s="183">
        <v>496.96</v>
      </c>
      <c r="J98" s="293">
        <v>1</v>
      </c>
      <c r="K98" s="293">
        <f t="shared" si="55"/>
        <v>0</v>
      </c>
      <c r="L98" s="294">
        <f t="shared" si="55"/>
        <v>0</v>
      </c>
      <c r="M98" s="328">
        <v>0</v>
      </c>
      <c r="N98" s="183">
        <v>496.96</v>
      </c>
      <c r="O98" s="293">
        <v>1</v>
      </c>
      <c r="P98" s="293">
        <f t="shared" si="56"/>
        <v>0</v>
      </c>
      <c r="Q98" s="294">
        <f t="shared" si="56"/>
        <v>0</v>
      </c>
      <c r="R98" s="292">
        <v>0</v>
      </c>
      <c r="S98" s="183">
        <f t="shared" si="53"/>
        <v>525.29</v>
      </c>
      <c r="T98" s="293">
        <v>1</v>
      </c>
      <c r="U98" s="293">
        <f t="shared" si="57"/>
        <v>0</v>
      </c>
      <c r="V98" s="294">
        <f t="shared" si="57"/>
        <v>0</v>
      </c>
      <c r="W98" s="262" t="s">
        <v>661</v>
      </c>
      <c r="X98" s="320" t="s">
        <v>660</v>
      </c>
      <c r="Y98" s="292">
        <v>0</v>
      </c>
      <c r="Z98" s="183">
        <f t="shared" si="44"/>
        <v>546.83000000000004</v>
      </c>
      <c r="AA98" s="293">
        <v>1</v>
      </c>
      <c r="AB98" s="293">
        <f t="shared" si="58"/>
        <v>0</v>
      </c>
      <c r="AC98" s="294">
        <f t="shared" si="58"/>
        <v>0</v>
      </c>
      <c r="AD98" s="321">
        <v>1408</v>
      </c>
      <c r="AE98" s="322">
        <f t="shared" si="45"/>
        <v>561.04999999999995</v>
      </c>
      <c r="AF98" s="323">
        <v>1</v>
      </c>
      <c r="AG98" s="323">
        <f t="shared" si="59"/>
        <v>1408</v>
      </c>
      <c r="AH98" s="324">
        <f t="shared" si="59"/>
        <v>789958.39999999991</v>
      </c>
      <c r="AI98" s="325">
        <v>0</v>
      </c>
      <c r="AJ98" s="326">
        <f t="shared" si="46"/>
        <v>575.64</v>
      </c>
      <c r="AK98" s="293">
        <v>1</v>
      </c>
      <c r="AL98" s="293">
        <f t="shared" si="60"/>
        <v>0</v>
      </c>
      <c r="AM98" s="294">
        <f t="shared" si="60"/>
        <v>0</v>
      </c>
      <c r="AN98" s="325">
        <v>0</v>
      </c>
      <c r="AO98" s="326">
        <f t="shared" si="47"/>
        <v>587.73</v>
      </c>
      <c r="AP98" s="293">
        <v>1</v>
      </c>
      <c r="AQ98" s="293">
        <f t="shared" si="61"/>
        <v>0</v>
      </c>
      <c r="AR98" s="294">
        <f t="shared" si="61"/>
        <v>0</v>
      </c>
    </row>
    <row r="99" spans="1:44" ht="45" x14ac:dyDescent="0.25">
      <c r="A99" s="300" t="s">
        <v>659</v>
      </c>
      <c r="B99" s="301" t="s">
        <v>658</v>
      </c>
      <c r="C99" s="327">
        <v>0</v>
      </c>
      <c r="D99" s="185">
        <v>496.96</v>
      </c>
      <c r="E99" s="303">
        <v>1</v>
      </c>
      <c r="F99" s="304">
        <f t="shared" si="54"/>
        <v>0</v>
      </c>
      <c r="G99" s="305">
        <f t="shared" si="54"/>
        <v>0</v>
      </c>
      <c r="H99" s="302">
        <v>0</v>
      </c>
      <c r="I99" s="185">
        <v>496.96</v>
      </c>
      <c r="J99" s="303">
        <v>1</v>
      </c>
      <c r="K99" s="304">
        <f t="shared" si="55"/>
        <v>0</v>
      </c>
      <c r="L99" s="305">
        <f t="shared" si="55"/>
        <v>0</v>
      </c>
      <c r="M99" s="327">
        <v>0</v>
      </c>
      <c r="N99" s="185">
        <v>496.96</v>
      </c>
      <c r="O99" s="303">
        <v>1</v>
      </c>
      <c r="P99" s="304">
        <f t="shared" si="56"/>
        <v>0</v>
      </c>
      <c r="Q99" s="305">
        <f t="shared" si="56"/>
        <v>0</v>
      </c>
      <c r="R99" s="302">
        <v>0</v>
      </c>
      <c r="S99" s="185">
        <f t="shared" si="53"/>
        <v>525.29</v>
      </c>
      <c r="T99" s="303">
        <v>1</v>
      </c>
      <c r="U99" s="304">
        <f t="shared" si="57"/>
        <v>0</v>
      </c>
      <c r="V99" s="305">
        <f t="shared" si="57"/>
        <v>0</v>
      </c>
      <c r="W99" s="300" t="s">
        <v>659</v>
      </c>
      <c r="X99" s="301" t="s">
        <v>658</v>
      </c>
      <c r="Y99" s="302">
        <v>0</v>
      </c>
      <c r="Z99" s="185">
        <f t="shared" si="44"/>
        <v>546.83000000000004</v>
      </c>
      <c r="AA99" s="303">
        <v>1</v>
      </c>
      <c r="AB99" s="304">
        <f t="shared" si="58"/>
        <v>0</v>
      </c>
      <c r="AC99" s="305">
        <f t="shared" si="58"/>
        <v>0</v>
      </c>
      <c r="AD99" s="302">
        <v>0</v>
      </c>
      <c r="AE99" s="185">
        <f t="shared" si="45"/>
        <v>561.04999999999995</v>
      </c>
      <c r="AF99" s="303">
        <v>1</v>
      </c>
      <c r="AG99" s="304">
        <f t="shared" si="59"/>
        <v>0</v>
      </c>
      <c r="AH99" s="305">
        <f t="shared" si="59"/>
        <v>0</v>
      </c>
      <c r="AI99" s="311">
        <v>0</v>
      </c>
      <c r="AJ99" s="312">
        <f t="shared" si="46"/>
        <v>575.64</v>
      </c>
      <c r="AK99" s="303">
        <v>1</v>
      </c>
      <c r="AL99" s="304">
        <f t="shared" si="60"/>
        <v>0</v>
      </c>
      <c r="AM99" s="305">
        <f t="shared" si="60"/>
        <v>0</v>
      </c>
      <c r="AN99" s="329">
        <v>498</v>
      </c>
      <c r="AO99" s="330">
        <f t="shared" si="47"/>
        <v>587.73</v>
      </c>
      <c r="AP99" s="308">
        <v>1</v>
      </c>
      <c r="AQ99" s="309">
        <f t="shared" si="61"/>
        <v>498</v>
      </c>
      <c r="AR99" s="310">
        <f t="shared" si="61"/>
        <v>292689.54000000004</v>
      </c>
    </row>
    <row r="100" spans="1:44" ht="45" x14ac:dyDescent="0.25">
      <c r="A100" s="278" t="s">
        <v>657</v>
      </c>
      <c r="B100" s="313" t="s">
        <v>656</v>
      </c>
      <c r="C100" s="287">
        <v>0</v>
      </c>
      <c r="D100" s="184">
        <v>496.96</v>
      </c>
      <c r="E100" s="281">
        <v>1</v>
      </c>
      <c r="F100" s="281">
        <f t="shared" si="54"/>
        <v>0</v>
      </c>
      <c r="G100" s="282">
        <f t="shared" si="54"/>
        <v>0</v>
      </c>
      <c r="H100" s="284">
        <v>0</v>
      </c>
      <c r="I100" s="184">
        <v>496.96</v>
      </c>
      <c r="J100" s="281">
        <v>1</v>
      </c>
      <c r="K100" s="281">
        <f t="shared" si="55"/>
        <v>0</v>
      </c>
      <c r="L100" s="282">
        <f t="shared" si="55"/>
        <v>0</v>
      </c>
      <c r="M100" s="287">
        <v>0</v>
      </c>
      <c r="N100" s="182">
        <v>496.96</v>
      </c>
      <c r="O100" s="296">
        <v>1</v>
      </c>
      <c r="P100" s="281">
        <f t="shared" si="56"/>
        <v>0</v>
      </c>
      <c r="Q100" s="282">
        <f t="shared" si="56"/>
        <v>0</v>
      </c>
      <c r="R100" s="284">
        <v>0</v>
      </c>
      <c r="S100" s="182">
        <f t="shared" si="53"/>
        <v>525.29</v>
      </c>
      <c r="T100" s="296">
        <v>1</v>
      </c>
      <c r="U100" s="281">
        <f t="shared" si="57"/>
        <v>0</v>
      </c>
      <c r="V100" s="282">
        <f t="shared" si="57"/>
        <v>0</v>
      </c>
      <c r="W100" s="278" t="s">
        <v>657</v>
      </c>
      <c r="X100" s="313" t="s">
        <v>656</v>
      </c>
      <c r="Y100" s="284">
        <v>0</v>
      </c>
      <c r="Z100" s="182">
        <f t="shared" si="44"/>
        <v>546.83000000000004</v>
      </c>
      <c r="AA100" s="296">
        <v>1</v>
      </c>
      <c r="AB100" s="281">
        <f t="shared" si="58"/>
        <v>0</v>
      </c>
      <c r="AC100" s="282">
        <f t="shared" si="58"/>
        <v>0</v>
      </c>
      <c r="AD100" s="284">
        <v>0</v>
      </c>
      <c r="AE100" s="182">
        <f t="shared" si="45"/>
        <v>561.04999999999995</v>
      </c>
      <c r="AF100" s="296">
        <v>1</v>
      </c>
      <c r="AG100" s="281">
        <f t="shared" si="59"/>
        <v>0</v>
      </c>
      <c r="AH100" s="282">
        <f t="shared" si="59"/>
        <v>0</v>
      </c>
      <c r="AI100" s="285">
        <v>0</v>
      </c>
      <c r="AJ100" s="319">
        <f t="shared" si="46"/>
        <v>575.64</v>
      </c>
      <c r="AK100" s="296">
        <v>1</v>
      </c>
      <c r="AL100" s="281">
        <f t="shared" si="60"/>
        <v>0</v>
      </c>
      <c r="AM100" s="282">
        <f t="shared" si="60"/>
        <v>0</v>
      </c>
      <c r="AN100" s="331">
        <v>389</v>
      </c>
      <c r="AO100" s="332">
        <f t="shared" si="47"/>
        <v>587.73</v>
      </c>
      <c r="AP100" s="316">
        <v>1</v>
      </c>
      <c r="AQ100" s="317">
        <f t="shared" si="61"/>
        <v>389</v>
      </c>
      <c r="AR100" s="318">
        <f t="shared" si="61"/>
        <v>228626.97</v>
      </c>
    </row>
    <row r="101" spans="1:44" ht="45" customHeight="1" x14ac:dyDescent="0.25">
      <c r="A101" s="278" t="s">
        <v>655</v>
      </c>
      <c r="B101" s="313" t="s">
        <v>654</v>
      </c>
      <c r="C101" s="287">
        <v>0</v>
      </c>
      <c r="D101" s="184">
        <v>496.96</v>
      </c>
      <c r="E101" s="281">
        <v>1</v>
      </c>
      <c r="F101" s="281">
        <f t="shared" si="54"/>
        <v>0</v>
      </c>
      <c r="G101" s="282">
        <f t="shared" si="54"/>
        <v>0</v>
      </c>
      <c r="H101" s="284">
        <v>0</v>
      </c>
      <c r="I101" s="184">
        <v>496.96</v>
      </c>
      <c r="J101" s="281">
        <v>1</v>
      </c>
      <c r="K101" s="281">
        <f t="shared" si="55"/>
        <v>0</v>
      </c>
      <c r="L101" s="282">
        <f t="shared" si="55"/>
        <v>0</v>
      </c>
      <c r="M101" s="287">
        <v>0</v>
      </c>
      <c r="N101" s="182">
        <v>496.96</v>
      </c>
      <c r="O101" s="296">
        <v>1</v>
      </c>
      <c r="P101" s="281">
        <f t="shared" si="56"/>
        <v>0</v>
      </c>
      <c r="Q101" s="282">
        <f t="shared" si="56"/>
        <v>0</v>
      </c>
      <c r="R101" s="284">
        <v>0</v>
      </c>
      <c r="S101" s="182">
        <f t="shared" si="53"/>
        <v>525.29</v>
      </c>
      <c r="T101" s="296">
        <v>1</v>
      </c>
      <c r="U101" s="281">
        <f t="shared" si="57"/>
        <v>0</v>
      </c>
      <c r="V101" s="282">
        <f t="shared" si="57"/>
        <v>0</v>
      </c>
      <c r="W101" s="278" t="s">
        <v>655</v>
      </c>
      <c r="X101" s="313" t="s">
        <v>654</v>
      </c>
      <c r="Y101" s="284">
        <v>0</v>
      </c>
      <c r="Z101" s="182">
        <f t="shared" si="44"/>
        <v>546.83000000000004</v>
      </c>
      <c r="AA101" s="296">
        <v>1</v>
      </c>
      <c r="AB101" s="281">
        <f t="shared" si="58"/>
        <v>0</v>
      </c>
      <c r="AC101" s="282">
        <f t="shared" si="58"/>
        <v>0</v>
      </c>
      <c r="AD101" s="284">
        <v>0</v>
      </c>
      <c r="AE101" s="182">
        <f t="shared" si="45"/>
        <v>561.04999999999995</v>
      </c>
      <c r="AF101" s="296">
        <v>1</v>
      </c>
      <c r="AG101" s="281">
        <f t="shared" si="59"/>
        <v>0</v>
      </c>
      <c r="AH101" s="282">
        <f t="shared" si="59"/>
        <v>0</v>
      </c>
      <c r="AI101" s="285">
        <v>0</v>
      </c>
      <c r="AJ101" s="319">
        <f t="shared" si="46"/>
        <v>575.64</v>
      </c>
      <c r="AK101" s="296">
        <v>1</v>
      </c>
      <c r="AL101" s="281">
        <f t="shared" si="60"/>
        <v>0</v>
      </c>
      <c r="AM101" s="282">
        <f t="shared" si="60"/>
        <v>0</v>
      </c>
      <c r="AN101" s="331">
        <v>1736</v>
      </c>
      <c r="AO101" s="332">
        <f t="shared" si="47"/>
        <v>587.73</v>
      </c>
      <c r="AP101" s="316">
        <v>1</v>
      </c>
      <c r="AQ101" s="317">
        <f t="shared" si="61"/>
        <v>1736</v>
      </c>
      <c r="AR101" s="318">
        <f t="shared" si="61"/>
        <v>1020299.28</v>
      </c>
    </row>
    <row r="102" spans="1:44" ht="60.75" thickBot="1" x14ac:dyDescent="0.3">
      <c r="A102" s="262" t="s">
        <v>653</v>
      </c>
      <c r="B102" s="320" t="s">
        <v>652</v>
      </c>
      <c r="C102" s="328">
        <v>0</v>
      </c>
      <c r="D102" s="183">
        <v>496.96</v>
      </c>
      <c r="E102" s="293">
        <v>1</v>
      </c>
      <c r="F102" s="293">
        <f t="shared" si="54"/>
        <v>0</v>
      </c>
      <c r="G102" s="294">
        <f t="shared" si="54"/>
        <v>0</v>
      </c>
      <c r="H102" s="292">
        <v>0</v>
      </c>
      <c r="I102" s="183">
        <v>496.96</v>
      </c>
      <c r="J102" s="293">
        <v>1</v>
      </c>
      <c r="K102" s="293">
        <f t="shared" si="55"/>
        <v>0</v>
      </c>
      <c r="L102" s="294">
        <f t="shared" si="55"/>
        <v>0</v>
      </c>
      <c r="M102" s="328">
        <v>0</v>
      </c>
      <c r="N102" s="183">
        <v>496.96</v>
      </c>
      <c r="O102" s="293">
        <v>1</v>
      </c>
      <c r="P102" s="293">
        <f t="shared" si="56"/>
        <v>0</v>
      </c>
      <c r="Q102" s="294">
        <f t="shared" si="56"/>
        <v>0</v>
      </c>
      <c r="R102" s="292">
        <v>0</v>
      </c>
      <c r="S102" s="183">
        <f t="shared" si="53"/>
        <v>525.29</v>
      </c>
      <c r="T102" s="293">
        <v>1</v>
      </c>
      <c r="U102" s="293">
        <f t="shared" si="57"/>
        <v>0</v>
      </c>
      <c r="V102" s="294">
        <f t="shared" si="57"/>
        <v>0</v>
      </c>
      <c r="W102" s="262" t="s">
        <v>653</v>
      </c>
      <c r="X102" s="320" t="s">
        <v>652</v>
      </c>
      <c r="Y102" s="292">
        <v>0</v>
      </c>
      <c r="Z102" s="183">
        <f t="shared" si="44"/>
        <v>546.83000000000004</v>
      </c>
      <c r="AA102" s="293">
        <v>1</v>
      </c>
      <c r="AB102" s="293">
        <f t="shared" si="58"/>
        <v>0</v>
      </c>
      <c r="AC102" s="294">
        <f t="shared" si="58"/>
        <v>0</v>
      </c>
      <c r="AD102" s="292">
        <v>0</v>
      </c>
      <c r="AE102" s="183">
        <f t="shared" si="45"/>
        <v>561.04999999999995</v>
      </c>
      <c r="AF102" s="293">
        <v>1</v>
      </c>
      <c r="AG102" s="293">
        <f t="shared" si="59"/>
        <v>0</v>
      </c>
      <c r="AH102" s="294">
        <f t="shared" si="59"/>
        <v>0</v>
      </c>
      <c r="AI102" s="325">
        <v>0</v>
      </c>
      <c r="AJ102" s="326">
        <f t="shared" si="46"/>
        <v>575.64</v>
      </c>
      <c r="AK102" s="293">
        <v>1</v>
      </c>
      <c r="AL102" s="293">
        <f t="shared" si="60"/>
        <v>0</v>
      </c>
      <c r="AM102" s="294">
        <f t="shared" si="60"/>
        <v>0</v>
      </c>
      <c r="AN102" s="333">
        <v>1408</v>
      </c>
      <c r="AO102" s="334">
        <f t="shared" si="47"/>
        <v>587.73</v>
      </c>
      <c r="AP102" s="323">
        <v>1</v>
      </c>
      <c r="AQ102" s="323">
        <f t="shared" si="61"/>
        <v>1408</v>
      </c>
      <c r="AR102" s="324">
        <f t="shared" si="61"/>
        <v>827523.84000000008</v>
      </c>
    </row>
    <row r="103" spans="1:44" ht="45" x14ac:dyDescent="0.25">
      <c r="A103" s="300" t="s">
        <v>651</v>
      </c>
      <c r="B103" s="301" t="s">
        <v>650</v>
      </c>
      <c r="C103" s="327">
        <v>0</v>
      </c>
      <c r="D103" s="185">
        <v>496.96</v>
      </c>
      <c r="E103" s="303">
        <v>1</v>
      </c>
      <c r="F103" s="304">
        <f t="shared" si="54"/>
        <v>0</v>
      </c>
      <c r="G103" s="305">
        <f t="shared" si="54"/>
        <v>0</v>
      </c>
      <c r="H103" s="302">
        <v>0</v>
      </c>
      <c r="I103" s="185">
        <v>496.96</v>
      </c>
      <c r="J103" s="303">
        <v>1</v>
      </c>
      <c r="K103" s="304">
        <f t="shared" si="55"/>
        <v>0</v>
      </c>
      <c r="L103" s="305">
        <f t="shared" si="55"/>
        <v>0</v>
      </c>
      <c r="M103" s="327">
        <v>0</v>
      </c>
      <c r="N103" s="185">
        <v>496.96</v>
      </c>
      <c r="O103" s="303">
        <v>1</v>
      </c>
      <c r="P103" s="304">
        <f t="shared" si="56"/>
        <v>0</v>
      </c>
      <c r="Q103" s="305">
        <f t="shared" si="56"/>
        <v>0</v>
      </c>
      <c r="R103" s="302">
        <v>0</v>
      </c>
      <c r="S103" s="185">
        <f t="shared" si="53"/>
        <v>525.29</v>
      </c>
      <c r="T103" s="303">
        <v>1</v>
      </c>
      <c r="U103" s="304">
        <f t="shared" si="57"/>
        <v>0</v>
      </c>
      <c r="V103" s="305">
        <f t="shared" si="57"/>
        <v>0</v>
      </c>
      <c r="W103" s="300" t="s">
        <v>651</v>
      </c>
      <c r="X103" s="301" t="s">
        <v>650</v>
      </c>
      <c r="Y103" s="302">
        <v>0</v>
      </c>
      <c r="Z103" s="185">
        <f t="shared" si="44"/>
        <v>546.83000000000004</v>
      </c>
      <c r="AA103" s="303">
        <v>1</v>
      </c>
      <c r="AB103" s="304">
        <f t="shared" si="58"/>
        <v>0</v>
      </c>
      <c r="AC103" s="305">
        <f t="shared" si="58"/>
        <v>0</v>
      </c>
      <c r="AD103" s="302">
        <v>0</v>
      </c>
      <c r="AE103" s="185">
        <f t="shared" si="45"/>
        <v>561.04999999999995</v>
      </c>
      <c r="AF103" s="303">
        <v>1</v>
      </c>
      <c r="AG103" s="304">
        <f t="shared" si="59"/>
        <v>0</v>
      </c>
      <c r="AH103" s="305">
        <f t="shared" si="59"/>
        <v>0</v>
      </c>
      <c r="AI103" s="311">
        <v>0</v>
      </c>
      <c r="AJ103" s="312">
        <f t="shared" si="46"/>
        <v>575.64</v>
      </c>
      <c r="AK103" s="303">
        <v>1</v>
      </c>
      <c r="AL103" s="304">
        <f t="shared" si="60"/>
        <v>0</v>
      </c>
      <c r="AM103" s="305">
        <f t="shared" si="60"/>
        <v>0</v>
      </c>
      <c r="AN103" s="329">
        <v>498</v>
      </c>
      <c r="AO103" s="330">
        <f t="shared" si="47"/>
        <v>587.73</v>
      </c>
      <c r="AP103" s="308">
        <v>1</v>
      </c>
      <c r="AQ103" s="309">
        <f t="shared" si="61"/>
        <v>498</v>
      </c>
      <c r="AR103" s="310">
        <f t="shared" si="61"/>
        <v>292689.54000000004</v>
      </c>
    </row>
    <row r="104" spans="1:44" ht="45" x14ac:dyDescent="0.25">
      <c r="A104" s="278" t="s">
        <v>649</v>
      </c>
      <c r="B104" s="313" t="s">
        <v>648</v>
      </c>
      <c r="C104" s="287">
        <v>0</v>
      </c>
      <c r="D104" s="184">
        <v>496.96</v>
      </c>
      <c r="E104" s="281">
        <v>1</v>
      </c>
      <c r="F104" s="281">
        <f t="shared" si="54"/>
        <v>0</v>
      </c>
      <c r="G104" s="282">
        <f t="shared" si="54"/>
        <v>0</v>
      </c>
      <c r="H104" s="284">
        <v>0</v>
      </c>
      <c r="I104" s="184">
        <v>496.96</v>
      </c>
      <c r="J104" s="281">
        <v>1</v>
      </c>
      <c r="K104" s="281">
        <f t="shared" si="55"/>
        <v>0</v>
      </c>
      <c r="L104" s="282">
        <f t="shared" si="55"/>
        <v>0</v>
      </c>
      <c r="M104" s="287">
        <v>0</v>
      </c>
      <c r="N104" s="182">
        <v>496.96</v>
      </c>
      <c r="O104" s="296">
        <v>1</v>
      </c>
      <c r="P104" s="281">
        <f t="shared" si="56"/>
        <v>0</v>
      </c>
      <c r="Q104" s="282">
        <f t="shared" si="56"/>
        <v>0</v>
      </c>
      <c r="R104" s="284">
        <v>0</v>
      </c>
      <c r="S104" s="182">
        <f t="shared" si="53"/>
        <v>525.29</v>
      </c>
      <c r="T104" s="296">
        <v>1</v>
      </c>
      <c r="U104" s="281">
        <f t="shared" si="57"/>
        <v>0</v>
      </c>
      <c r="V104" s="282">
        <f t="shared" si="57"/>
        <v>0</v>
      </c>
      <c r="W104" s="278" t="s">
        <v>649</v>
      </c>
      <c r="X104" s="313" t="s">
        <v>648</v>
      </c>
      <c r="Y104" s="284">
        <v>0</v>
      </c>
      <c r="Z104" s="182">
        <f t="shared" si="44"/>
        <v>546.83000000000004</v>
      </c>
      <c r="AA104" s="296">
        <v>1</v>
      </c>
      <c r="AB104" s="281">
        <f t="shared" si="58"/>
        <v>0</v>
      </c>
      <c r="AC104" s="282">
        <f t="shared" si="58"/>
        <v>0</v>
      </c>
      <c r="AD104" s="284">
        <v>0</v>
      </c>
      <c r="AE104" s="182">
        <f t="shared" si="45"/>
        <v>561.04999999999995</v>
      </c>
      <c r="AF104" s="296">
        <v>1</v>
      </c>
      <c r="AG104" s="281">
        <f t="shared" si="59"/>
        <v>0</v>
      </c>
      <c r="AH104" s="282">
        <f t="shared" si="59"/>
        <v>0</v>
      </c>
      <c r="AI104" s="285">
        <v>0</v>
      </c>
      <c r="AJ104" s="319">
        <f t="shared" si="46"/>
        <v>575.64</v>
      </c>
      <c r="AK104" s="296">
        <v>1</v>
      </c>
      <c r="AL104" s="281">
        <f t="shared" si="60"/>
        <v>0</v>
      </c>
      <c r="AM104" s="282">
        <f t="shared" si="60"/>
        <v>0</v>
      </c>
      <c r="AN104" s="331">
        <v>389</v>
      </c>
      <c r="AO104" s="332">
        <f t="shared" si="47"/>
        <v>587.73</v>
      </c>
      <c r="AP104" s="316">
        <v>1</v>
      </c>
      <c r="AQ104" s="317">
        <f t="shared" si="61"/>
        <v>389</v>
      </c>
      <c r="AR104" s="318">
        <f t="shared" si="61"/>
        <v>228626.97</v>
      </c>
    </row>
    <row r="105" spans="1:44" ht="44.1" customHeight="1" x14ac:dyDescent="0.25">
      <c r="A105" s="278" t="s">
        <v>647</v>
      </c>
      <c r="B105" s="313" t="s">
        <v>646</v>
      </c>
      <c r="C105" s="287">
        <v>0</v>
      </c>
      <c r="D105" s="184">
        <v>496.96</v>
      </c>
      <c r="E105" s="281">
        <v>1</v>
      </c>
      <c r="F105" s="281">
        <f t="shared" ref="F105:G118" si="62">C105*E105</f>
        <v>0</v>
      </c>
      <c r="G105" s="282">
        <f t="shared" si="62"/>
        <v>0</v>
      </c>
      <c r="H105" s="284">
        <v>0</v>
      </c>
      <c r="I105" s="184">
        <v>496.96</v>
      </c>
      <c r="J105" s="281">
        <v>1</v>
      </c>
      <c r="K105" s="281">
        <f t="shared" ref="K105:L118" si="63">H105*J105</f>
        <v>0</v>
      </c>
      <c r="L105" s="282">
        <f t="shared" si="63"/>
        <v>0</v>
      </c>
      <c r="M105" s="287">
        <v>0</v>
      </c>
      <c r="N105" s="182">
        <v>496.96</v>
      </c>
      <c r="O105" s="296">
        <v>1</v>
      </c>
      <c r="P105" s="281">
        <f t="shared" ref="P105:Q118" si="64">M105*O105</f>
        <v>0</v>
      </c>
      <c r="Q105" s="282">
        <f t="shared" si="64"/>
        <v>0</v>
      </c>
      <c r="R105" s="284">
        <v>0</v>
      </c>
      <c r="S105" s="182">
        <f t="shared" si="53"/>
        <v>525.29</v>
      </c>
      <c r="T105" s="296">
        <v>1</v>
      </c>
      <c r="U105" s="281">
        <f t="shared" si="57"/>
        <v>0</v>
      </c>
      <c r="V105" s="282">
        <f t="shared" si="57"/>
        <v>0</v>
      </c>
      <c r="W105" s="278" t="s">
        <v>647</v>
      </c>
      <c r="X105" s="313" t="s">
        <v>646</v>
      </c>
      <c r="Y105" s="284">
        <v>0</v>
      </c>
      <c r="Z105" s="182">
        <f t="shared" si="44"/>
        <v>546.83000000000004</v>
      </c>
      <c r="AA105" s="296">
        <v>1</v>
      </c>
      <c r="AB105" s="281">
        <f t="shared" si="58"/>
        <v>0</v>
      </c>
      <c r="AC105" s="282">
        <f t="shared" si="58"/>
        <v>0</v>
      </c>
      <c r="AD105" s="284">
        <v>0</v>
      </c>
      <c r="AE105" s="182">
        <f t="shared" si="45"/>
        <v>561.04999999999995</v>
      </c>
      <c r="AF105" s="296">
        <v>1</v>
      </c>
      <c r="AG105" s="281">
        <f t="shared" si="59"/>
        <v>0</v>
      </c>
      <c r="AH105" s="282">
        <f t="shared" si="59"/>
        <v>0</v>
      </c>
      <c r="AI105" s="285">
        <v>0</v>
      </c>
      <c r="AJ105" s="319">
        <f t="shared" si="46"/>
        <v>575.64</v>
      </c>
      <c r="AK105" s="296">
        <v>1</v>
      </c>
      <c r="AL105" s="281">
        <f t="shared" si="60"/>
        <v>0</v>
      </c>
      <c r="AM105" s="282">
        <f t="shared" si="60"/>
        <v>0</v>
      </c>
      <c r="AN105" s="331">
        <v>1736</v>
      </c>
      <c r="AO105" s="332">
        <f t="shared" si="47"/>
        <v>587.73</v>
      </c>
      <c r="AP105" s="316">
        <v>1</v>
      </c>
      <c r="AQ105" s="317">
        <f t="shared" si="61"/>
        <v>1736</v>
      </c>
      <c r="AR105" s="318">
        <f t="shared" si="61"/>
        <v>1020299.28</v>
      </c>
    </row>
    <row r="106" spans="1:44" ht="60.75" thickBot="1" x14ac:dyDescent="0.3">
      <c r="A106" s="262" t="s">
        <v>645</v>
      </c>
      <c r="B106" s="320" t="s">
        <v>644</v>
      </c>
      <c r="C106" s="328">
        <v>0</v>
      </c>
      <c r="D106" s="183">
        <v>496.96</v>
      </c>
      <c r="E106" s="293">
        <v>1</v>
      </c>
      <c r="F106" s="293">
        <f t="shared" si="62"/>
        <v>0</v>
      </c>
      <c r="G106" s="294">
        <f t="shared" si="62"/>
        <v>0</v>
      </c>
      <c r="H106" s="292">
        <v>0</v>
      </c>
      <c r="I106" s="183">
        <v>496.96</v>
      </c>
      <c r="J106" s="293">
        <v>1</v>
      </c>
      <c r="K106" s="293">
        <f t="shared" si="63"/>
        <v>0</v>
      </c>
      <c r="L106" s="294">
        <f t="shared" si="63"/>
        <v>0</v>
      </c>
      <c r="M106" s="328">
        <v>0</v>
      </c>
      <c r="N106" s="183">
        <v>496.96</v>
      </c>
      <c r="O106" s="293">
        <v>1</v>
      </c>
      <c r="P106" s="293">
        <f t="shared" si="64"/>
        <v>0</v>
      </c>
      <c r="Q106" s="294">
        <f t="shared" si="64"/>
        <v>0</v>
      </c>
      <c r="R106" s="292">
        <v>0</v>
      </c>
      <c r="S106" s="183">
        <f t="shared" si="53"/>
        <v>525.29</v>
      </c>
      <c r="T106" s="293">
        <v>1</v>
      </c>
      <c r="U106" s="293">
        <f t="shared" si="57"/>
        <v>0</v>
      </c>
      <c r="V106" s="294">
        <f t="shared" si="57"/>
        <v>0</v>
      </c>
      <c r="W106" s="262" t="s">
        <v>645</v>
      </c>
      <c r="X106" s="320" t="s">
        <v>644</v>
      </c>
      <c r="Y106" s="292">
        <v>0</v>
      </c>
      <c r="Z106" s="183">
        <f t="shared" si="44"/>
        <v>546.83000000000004</v>
      </c>
      <c r="AA106" s="293">
        <v>1</v>
      </c>
      <c r="AB106" s="293">
        <f t="shared" si="58"/>
        <v>0</v>
      </c>
      <c r="AC106" s="294">
        <f t="shared" si="58"/>
        <v>0</v>
      </c>
      <c r="AD106" s="292">
        <v>0</v>
      </c>
      <c r="AE106" s="183">
        <f t="shared" si="45"/>
        <v>561.04999999999995</v>
      </c>
      <c r="AF106" s="293">
        <v>1</v>
      </c>
      <c r="AG106" s="293">
        <f t="shared" si="59"/>
        <v>0</v>
      </c>
      <c r="AH106" s="294">
        <f t="shared" si="59"/>
        <v>0</v>
      </c>
      <c r="AI106" s="325">
        <v>0</v>
      </c>
      <c r="AJ106" s="326">
        <f t="shared" si="46"/>
        <v>575.64</v>
      </c>
      <c r="AK106" s="293">
        <v>1</v>
      </c>
      <c r="AL106" s="293">
        <f t="shared" si="60"/>
        <v>0</v>
      </c>
      <c r="AM106" s="294">
        <f t="shared" si="60"/>
        <v>0</v>
      </c>
      <c r="AN106" s="333">
        <v>1408</v>
      </c>
      <c r="AO106" s="334">
        <f t="shared" si="47"/>
        <v>587.73</v>
      </c>
      <c r="AP106" s="323">
        <v>1</v>
      </c>
      <c r="AQ106" s="323">
        <f t="shared" si="61"/>
        <v>1408</v>
      </c>
      <c r="AR106" s="324">
        <f t="shared" si="61"/>
        <v>827523.84000000008</v>
      </c>
    </row>
    <row r="107" spans="1:44" ht="45" x14ac:dyDescent="0.25">
      <c r="A107" s="300" t="s">
        <v>643</v>
      </c>
      <c r="B107" s="301" t="s">
        <v>642</v>
      </c>
      <c r="C107" s="327">
        <v>0</v>
      </c>
      <c r="D107" s="185">
        <v>496.96</v>
      </c>
      <c r="E107" s="303">
        <v>1</v>
      </c>
      <c r="F107" s="304">
        <f t="shared" si="62"/>
        <v>0</v>
      </c>
      <c r="G107" s="305">
        <f t="shared" si="62"/>
        <v>0</v>
      </c>
      <c r="H107" s="302">
        <v>0</v>
      </c>
      <c r="I107" s="185">
        <v>496.96</v>
      </c>
      <c r="J107" s="303">
        <v>1</v>
      </c>
      <c r="K107" s="304">
        <f t="shared" si="63"/>
        <v>0</v>
      </c>
      <c r="L107" s="305">
        <f t="shared" si="63"/>
        <v>0</v>
      </c>
      <c r="M107" s="327">
        <v>0</v>
      </c>
      <c r="N107" s="185">
        <v>496.96</v>
      </c>
      <c r="O107" s="303">
        <v>1</v>
      </c>
      <c r="P107" s="304">
        <f t="shared" si="64"/>
        <v>0</v>
      </c>
      <c r="Q107" s="305">
        <f t="shared" si="64"/>
        <v>0</v>
      </c>
      <c r="R107" s="302">
        <v>0</v>
      </c>
      <c r="S107" s="185">
        <f t="shared" si="53"/>
        <v>525.29</v>
      </c>
      <c r="T107" s="303">
        <v>1</v>
      </c>
      <c r="U107" s="304">
        <f t="shared" ref="U107:V118" si="65">R107*T107</f>
        <v>0</v>
      </c>
      <c r="V107" s="305">
        <f t="shared" si="65"/>
        <v>0</v>
      </c>
      <c r="W107" s="300" t="s">
        <v>643</v>
      </c>
      <c r="X107" s="301" t="s">
        <v>642</v>
      </c>
      <c r="Y107" s="302">
        <v>0</v>
      </c>
      <c r="Z107" s="185">
        <f t="shared" si="44"/>
        <v>546.83000000000004</v>
      </c>
      <c r="AA107" s="303">
        <v>1</v>
      </c>
      <c r="AB107" s="304">
        <f t="shared" ref="AB107:AC118" si="66">Y107*AA107</f>
        <v>0</v>
      </c>
      <c r="AC107" s="305">
        <f t="shared" si="66"/>
        <v>0</v>
      </c>
      <c r="AD107" s="302">
        <v>0</v>
      </c>
      <c r="AE107" s="185">
        <f t="shared" si="45"/>
        <v>561.04999999999995</v>
      </c>
      <c r="AF107" s="303">
        <v>1</v>
      </c>
      <c r="AG107" s="304">
        <f t="shared" ref="AG107:AH118" si="67">AD107*AF107</f>
        <v>0</v>
      </c>
      <c r="AH107" s="305">
        <f t="shared" si="67"/>
        <v>0</v>
      </c>
      <c r="AI107" s="311">
        <v>0</v>
      </c>
      <c r="AJ107" s="312">
        <f t="shared" si="46"/>
        <v>575.64</v>
      </c>
      <c r="AK107" s="303">
        <v>1</v>
      </c>
      <c r="AL107" s="304">
        <f t="shared" ref="AL107:AM118" si="68">AI107*AK107</f>
        <v>0</v>
      </c>
      <c r="AM107" s="305">
        <f t="shared" si="68"/>
        <v>0</v>
      </c>
      <c r="AN107" s="329">
        <v>498</v>
      </c>
      <c r="AO107" s="330">
        <f t="shared" si="47"/>
        <v>587.73</v>
      </c>
      <c r="AP107" s="308">
        <v>1</v>
      </c>
      <c r="AQ107" s="309">
        <f t="shared" ref="AQ107:AR118" si="69">AN107*AP107</f>
        <v>498</v>
      </c>
      <c r="AR107" s="310">
        <f t="shared" si="69"/>
        <v>292689.54000000004</v>
      </c>
    </row>
    <row r="108" spans="1:44" ht="45" x14ac:dyDescent="0.25">
      <c r="A108" s="278" t="s">
        <v>641</v>
      </c>
      <c r="B108" s="313" t="s">
        <v>640</v>
      </c>
      <c r="C108" s="287">
        <v>0</v>
      </c>
      <c r="D108" s="184">
        <v>496.96</v>
      </c>
      <c r="E108" s="281">
        <v>1</v>
      </c>
      <c r="F108" s="281">
        <f t="shared" si="62"/>
        <v>0</v>
      </c>
      <c r="G108" s="282">
        <f t="shared" si="62"/>
        <v>0</v>
      </c>
      <c r="H108" s="284">
        <v>0</v>
      </c>
      <c r="I108" s="184">
        <v>496.96</v>
      </c>
      <c r="J108" s="281">
        <v>1</v>
      </c>
      <c r="K108" s="281">
        <f t="shared" si="63"/>
        <v>0</v>
      </c>
      <c r="L108" s="282">
        <f t="shared" si="63"/>
        <v>0</v>
      </c>
      <c r="M108" s="287">
        <v>0</v>
      </c>
      <c r="N108" s="182">
        <v>496.96</v>
      </c>
      <c r="O108" s="296">
        <v>1</v>
      </c>
      <c r="P108" s="281">
        <f t="shared" si="64"/>
        <v>0</v>
      </c>
      <c r="Q108" s="282">
        <f t="shared" si="64"/>
        <v>0</v>
      </c>
      <c r="R108" s="284">
        <v>0</v>
      </c>
      <c r="S108" s="182">
        <f t="shared" si="53"/>
        <v>525.29</v>
      </c>
      <c r="T108" s="296">
        <v>1</v>
      </c>
      <c r="U108" s="281">
        <f t="shared" si="65"/>
        <v>0</v>
      </c>
      <c r="V108" s="282">
        <f t="shared" si="65"/>
        <v>0</v>
      </c>
      <c r="W108" s="278" t="s">
        <v>641</v>
      </c>
      <c r="X108" s="313" t="s">
        <v>640</v>
      </c>
      <c r="Y108" s="284">
        <v>0</v>
      </c>
      <c r="Z108" s="182">
        <f t="shared" si="44"/>
        <v>546.83000000000004</v>
      </c>
      <c r="AA108" s="296">
        <v>1</v>
      </c>
      <c r="AB108" s="281">
        <f t="shared" si="66"/>
        <v>0</v>
      </c>
      <c r="AC108" s="282">
        <f t="shared" si="66"/>
        <v>0</v>
      </c>
      <c r="AD108" s="284">
        <v>0</v>
      </c>
      <c r="AE108" s="182">
        <f t="shared" si="45"/>
        <v>561.04999999999995</v>
      </c>
      <c r="AF108" s="296">
        <v>1</v>
      </c>
      <c r="AG108" s="281">
        <f t="shared" si="67"/>
        <v>0</v>
      </c>
      <c r="AH108" s="282">
        <f t="shared" si="67"/>
        <v>0</v>
      </c>
      <c r="AI108" s="285">
        <v>0</v>
      </c>
      <c r="AJ108" s="319">
        <f t="shared" si="46"/>
        <v>575.64</v>
      </c>
      <c r="AK108" s="296">
        <v>1</v>
      </c>
      <c r="AL108" s="281">
        <f t="shared" si="68"/>
        <v>0</v>
      </c>
      <c r="AM108" s="282">
        <f t="shared" si="68"/>
        <v>0</v>
      </c>
      <c r="AN108" s="331">
        <v>389</v>
      </c>
      <c r="AO108" s="332">
        <f t="shared" si="47"/>
        <v>587.73</v>
      </c>
      <c r="AP108" s="316">
        <v>1</v>
      </c>
      <c r="AQ108" s="317">
        <f t="shared" si="69"/>
        <v>389</v>
      </c>
      <c r="AR108" s="318">
        <f t="shared" si="69"/>
        <v>228626.97</v>
      </c>
    </row>
    <row r="109" spans="1:44" ht="42.95" customHeight="1" x14ac:dyDescent="0.25">
      <c r="A109" s="278" t="s">
        <v>639</v>
      </c>
      <c r="B109" s="313" t="s">
        <v>638</v>
      </c>
      <c r="C109" s="287">
        <v>0</v>
      </c>
      <c r="D109" s="184">
        <v>496.96</v>
      </c>
      <c r="E109" s="281">
        <v>1</v>
      </c>
      <c r="F109" s="281">
        <f t="shared" si="62"/>
        <v>0</v>
      </c>
      <c r="G109" s="282">
        <f t="shared" si="62"/>
        <v>0</v>
      </c>
      <c r="H109" s="284">
        <v>0</v>
      </c>
      <c r="I109" s="184">
        <v>496.96</v>
      </c>
      <c r="J109" s="281">
        <v>1</v>
      </c>
      <c r="K109" s="281">
        <f t="shared" si="63"/>
        <v>0</v>
      </c>
      <c r="L109" s="282">
        <f t="shared" si="63"/>
        <v>0</v>
      </c>
      <c r="M109" s="287">
        <v>0</v>
      </c>
      <c r="N109" s="182">
        <v>496.96</v>
      </c>
      <c r="O109" s="296">
        <v>1</v>
      </c>
      <c r="P109" s="281">
        <f t="shared" si="64"/>
        <v>0</v>
      </c>
      <c r="Q109" s="282">
        <f t="shared" si="64"/>
        <v>0</v>
      </c>
      <c r="R109" s="284">
        <v>0</v>
      </c>
      <c r="S109" s="182">
        <f t="shared" si="53"/>
        <v>525.29</v>
      </c>
      <c r="T109" s="296">
        <v>1</v>
      </c>
      <c r="U109" s="281">
        <f t="shared" si="65"/>
        <v>0</v>
      </c>
      <c r="V109" s="282">
        <f t="shared" si="65"/>
        <v>0</v>
      </c>
      <c r="W109" s="278" t="s">
        <v>639</v>
      </c>
      <c r="X109" s="313" t="s">
        <v>638</v>
      </c>
      <c r="Y109" s="284">
        <v>0</v>
      </c>
      <c r="Z109" s="182">
        <f t="shared" si="44"/>
        <v>546.83000000000004</v>
      </c>
      <c r="AA109" s="296">
        <v>1</v>
      </c>
      <c r="AB109" s="281">
        <f t="shared" si="66"/>
        <v>0</v>
      </c>
      <c r="AC109" s="282">
        <f t="shared" si="66"/>
        <v>0</v>
      </c>
      <c r="AD109" s="284">
        <v>0</v>
      </c>
      <c r="AE109" s="182">
        <f t="shared" si="45"/>
        <v>561.04999999999995</v>
      </c>
      <c r="AF109" s="296">
        <v>1</v>
      </c>
      <c r="AG109" s="281">
        <f t="shared" si="67"/>
        <v>0</v>
      </c>
      <c r="AH109" s="282">
        <f t="shared" si="67"/>
        <v>0</v>
      </c>
      <c r="AI109" s="285">
        <v>0</v>
      </c>
      <c r="AJ109" s="319">
        <f t="shared" si="46"/>
        <v>575.64</v>
      </c>
      <c r="AK109" s="296">
        <v>1</v>
      </c>
      <c r="AL109" s="281">
        <f t="shared" si="68"/>
        <v>0</v>
      </c>
      <c r="AM109" s="282">
        <f t="shared" si="68"/>
        <v>0</v>
      </c>
      <c r="AN109" s="331">
        <v>1736</v>
      </c>
      <c r="AO109" s="332">
        <f t="shared" si="47"/>
        <v>587.73</v>
      </c>
      <c r="AP109" s="316">
        <v>1</v>
      </c>
      <c r="AQ109" s="317">
        <f t="shared" si="69"/>
        <v>1736</v>
      </c>
      <c r="AR109" s="318">
        <f t="shared" si="69"/>
        <v>1020299.28</v>
      </c>
    </row>
    <row r="110" spans="1:44" ht="60.75" thickBot="1" x14ac:dyDescent="0.3">
      <c r="A110" s="262" t="s">
        <v>637</v>
      </c>
      <c r="B110" s="320" t="s">
        <v>636</v>
      </c>
      <c r="C110" s="328">
        <v>0</v>
      </c>
      <c r="D110" s="183">
        <v>496.96</v>
      </c>
      <c r="E110" s="293">
        <v>1</v>
      </c>
      <c r="F110" s="293">
        <f t="shared" si="62"/>
        <v>0</v>
      </c>
      <c r="G110" s="294">
        <f t="shared" si="62"/>
        <v>0</v>
      </c>
      <c r="H110" s="292">
        <v>0</v>
      </c>
      <c r="I110" s="183">
        <v>496.96</v>
      </c>
      <c r="J110" s="293">
        <v>1</v>
      </c>
      <c r="K110" s="293">
        <f t="shared" si="63"/>
        <v>0</v>
      </c>
      <c r="L110" s="294">
        <f t="shared" si="63"/>
        <v>0</v>
      </c>
      <c r="M110" s="328">
        <v>0</v>
      </c>
      <c r="N110" s="183">
        <v>496.96</v>
      </c>
      <c r="O110" s="293">
        <v>1</v>
      </c>
      <c r="P110" s="293">
        <f t="shared" si="64"/>
        <v>0</v>
      </c>
      <c r="Q110" s="294">
        <f t="shared" si="64"/>
        <v>0</v>
      </c>
      <c r="R110" s="292">
        <v>0</v>
      </c>
      <c r="S110" s="183">
        <f t="shared" si="53"/>
        <v>525.29</v>
      </c>
      <c r="T110" s="293">
        <v>1</v>
      </c>
      <c r="U110" s="293">
        <f t="shared" si="65"/>
        <v>0</v>
      </c>
      <c r="V110" s="294">
        <f t="shared" si="65"/>
        <v>0</v>
      </c>
      <c r="W110" s="262" t="s">
        <v>637</v>
      </c>
      <c r="X110" s="320" t="s">
        <v>636</v>
      </c>
      <c r="Y110" s="292">
        <v>0</v>
      </c>
      <c r="Z110" s="183">
        <f t="shared" si="44"/>
        <v>546.83000000000004</v>
      </c>
      <c r="AA110" s="293">
        <v>1</v>
      </c>
      <c r="AB110" s="293">
        <f t="shared" si="66"/>
        <v>0</v>
      </c>
      <c r="AC110" s="294">
        <f t="shared" si="66"/>
        <v>0</v>
      </c>
      <c r="AD110" s="292">
        <v>0</v>
      </c>
      <c r="AE110" s="183">
        <f t="shared" si="45"/>
        <v>561.04999999999995</v>
      </c>
      <c r="AF110" s="293">
        <v>1</v>
      </c>
      <c r="AG110" s="293">
        <f t="shared" si="67"/>
        <v>0</v>
      </c>
      <c r="AH110" s="294">
        <f t="shared" si="67"/>
        <v>0</v>
      </c>
      <c r="AI110" s="325">
        <v>0</v>
      </c>
      <c r="AJ110" s="326">
        <f t="shared" si="46"/>
        <v>575.64</v>
      </c>
      <c r="AK110" s="293">
        <v>1</v>
      </c>
      <c r="AL110" s="293">
        <f t="shared" si="68"/>
        <v>0</v>
      </c>
      <c r="AM110" s="294">
        <f t="shared" si="68"/>
        <v>0</v>
      </c>
      <c r="AN110" s="333">
        <v>1408</v>
      </c>
      <c r="AO110" s="334">
        <f t="shared" si="47"/>
        <v>587.73</v>
      </c>
      <c r="AP110" s="323">
        <v>1</v>
      </c>
      <c r="AQ110" s="323">
        <f t="shared" si="69"/>
        <v>1408</v>
      </c>
      <c r="AR110" s="324">
        <f t="shared" si="69"/>
        <v>827523.84000000008</v>
      </c>
    </row>
    <row r="111" spans="1:44" ht="45" x14ac:dyDescent="0.25">
      <c r="A111" s="300" t="s">
        <v>635</v>
      </c>
      <c r="B111" s="301" t="s">
        <v>634</v>
      </c>
      <c r="C111" s="327">
        <v>0</v>
      </c>
      <c r="D111" s="185">
        <v>496.96</v>
      </c>
      <c r="E111" s="303">
        <v>1</v>
      </c>
      <c r="F111" s="304">
        <f t="shared" si="62"/>
        <v>0</v>
      </c>
      <c r="G111" s="305">
        <f t="shared" si="62"/>
        <v>0</v>
      </c>
      <c r="H111" s="302">
        <v>0</v>
      </c>
      <c r="I111" s="185">
        <v>496.96</v>
      </c>
      <c r="J111" s="303">
        <v>1</v>
      </c>
      <c r="K111" s="304">
        <f t="shared" si="63"/>
        <v>0</v>
      </c>
      <c r="L111" s="305">
        <f t="shared" si="63"/>
        <v>0</v>
      </c>
      <c r="M111" s="327">
        <v>0</v>
      </c>
      <c r="N111" s="185">
        <v>496.96</v>
      </c>
      <c r="O111" s="303">
        <v>1</v>
      </c>
      <c r="P111" s="304">
        <f t="shared" si="64"/>
        <v>0</v>
      </c>
      <c r="Q111" s="305">
        <f t="shared" si="64"/>
        <v>0</v>
      </c>
      <c r="R111" s="302">
        <v>0</v>
      </c>
      <c r="S111" s="185">
        <f t="shared" si="53"/>
        <v>525.29</v>
      </c>
      <c r="T111" s="303">
        <v>1</v>
      </c>
      <c r="U111" s="304">
        <f t="shared" si="65"/>
        <v>0</v>
      </c>
      <c r="V111" s="305">
        <f t="shared" si="65"/>
        <v>0</v>
      </c>
      <c r="W111" s="300" t="s">
        <v>635</v>
      </c>
      <c r="X111" s="301" t="s">
        <v>634</v>
      </c>
      <c r="Y111" s="302">
        <v>0</v>
      </c>
      <c r="Z111" s="185">
        <f t="shared" si="44"/>
        <v>546.83000000000004</v>
      </c>
      <c r="AA111" s="303">
        <v>1</v>
      </c>
      <c r="AB111" s="304">
        <f t="shared" si="66"/>
        <v>0</v>
      </c>
      <c r="AC111" s="305">
        <f t="shared" si="66"/>
        <v>0</v>
      </c>
      <c r="AD111" s="302">
        <v>0</v>
      </c>
      <c r="AE111" s="185">
        <f t="shared" si="45"/>
        <v>561.04999999999995</v>
      </c>
      <c r="AF111" s="303">
        <v>1</v>
      </c>
      <c r="AG111" s="304">
        <f t="shared" si="67"/>
        <v>0</v>
      </c>
      <c r="AH111" s="305">
        <f t="shared" si="67"/>
        <v>0</v>
      </c>
      <c r="AI111" s="311">
        <v>0</v>
      </c>
      <c r="AJ111" s="312">
        <f t="shared" si="46"/>
        <v>575.64</v>
      </c>
      <c r="AK111" s="303">
        <v>1</v>
      </c>
      <c r="AL111" s="304">
        <f t="shared" si="68"/>
        <v>0</v>
      </c>
      <c r="AM111" s="305">
        <f t="shared" si="68"/>
        <v>0</v>
      </c>
      <c r="AN111" s="329">
        <v>498</v>
      </c>
      <c r="AO111" s="330">
        <f t="shared" si="47"/>
        <v>587.73</v>
      </c>
      <c r="AP111" s="308">
        <v>1</v>
      </c>
      <c r="AQ111" s="309">
        <f t="shared" si="69"/>
        <v>498</v>
      </c>
      <c r="AR111" s="310">
        <f t="shared" si="69"/>
        <v>292689.54000000004</v>
      </c>
    </row>
    <row r="112" spans="1:44" ht="45" x14ac:dyDescent="0.25">
      <c r="A112" s="278" t="s">
        <v>633</v>
      </c>
      <c r="B112" s="313" t="s">
        <v>632</v>
      </c>
      <c r="C112" s="287">
        <v>0</v>
      </c>
      <c r="D112" s="184">
        <v>496.96</v>
      </c>
      <c r="E112" s="281">
        <v>1</v>
      </c>
      <c r="F112" s="281">
        <f t="shared" si="62"/>
        <v>0</v>
      </c>
      <c r="G112" s="282">
        <f t="shared" si="62"/>
        <v>0</v>
      </c>
      <c r="H112" s="284">
        <v>0</v>
      </c>
      <c r="I112" s="184">
        <v>496.96</v>
      </c>
      <c r="J112" s="281">
        <v>1</v>
      </c>
      <c r="K112" s="281">
        <f t="shared" si="63"/>
        <v>0</v>
      </c>
      <c r="L112" s="282">
        <f t="shared" si="63"/>
        <v>0</v>
      </c>
      <c r="M112" s="287">
        <v>0</v>
      </c>
      <c r="N112" s="182">
        <v>496.96</v>
      </c>
      <c r="O112" s="296">
        <v>1</v>
      </c>
      <c r="P112" s="281">
        <f t="shared" si="64"/>
        <v>0</v>
      </c>
      <c r="Q112" s="282">
        <f t="shared" si="64"/>
        <v>0</v>
      </c>
      <c r="R112" s="284">
        <v>0</v>
      </c>
      <c r="S112" s="182">
        <f t="shared" si="53"/>
        <v>525.29</v>
      </c>
      <c r="T112" s="296">
        <v>1</v>
      </c>
      <c r="U112" s="281">
        <f t="shared" si="65"/>
        <v>0</v>
      </c>
      <c r="V112" s="282">
        <f t="shared" si="65"/>
        <v>0</v>
      </c>
      <c r="W112" s="278" t="s">
        <v>633</v>
      </c>
      <c r="X112" s="313" t="s">
        <v>632</v>
      </c>
      <c r="Y112" s="284">
        <v>0</v>
      </c>
      <c r="Z112" s="182">
        <f t="shared" si="44"/>
        <v>546.83000000000004</v>
      </c>
      <c r="AA112" s="296">
        <v>1</v>
      </c>
      <c r="AB112" s="281">
        <f t="shared" si="66"/>
        <v>0</v>
      </c>
      <c r="AC112" s="282">
        <f t="shared" si="66"/>
        <v>0</v>
      </c>
      <c r="AD112" s="284">
        <v>0</v>
      </c>
      <c r="AE112" s="182">
        <f t="shared" si="45"/>
        <v>561.04999999999995</v>
      </c>
      <c r="AF112" s="296">
        <v>1</v>
      </c>
      <c r="AG112" s="281">
        <f t="shared" si="67"/>
        <v>0</v>
      </c>
      <c r="AH112" s="282">
        <f t="shared" si="67"/>
        <v>0</v>
      </c>
      <c r="AI112" s="285">
        <v>0</v>
      </c>
      <c r="AJ112" s="319">
        <f t="shared" si="46"/>
        <v>575.64</v>
      </c>
      <c r="AK112" s="296">
        <v>1</v>
      </c>
      <c r="AL112" s="281">
        <f t="shared" si="68"/>
        <v>0</v>
      </c>
      <c r="AM112" s="282">
        <f t="shared" si="68"/>
        <v>0</v>
      </c>
      <c r="AN112" s="331">
        <v>389</v>
      </c>
      <c r="AO112" s="332">
        <f t="shared" si="47"/>
        <v>587.73</v>
      </c>
      <c r="AP112" s="316">
        <v>1</v>
      </c>
      <c r="AQ112" s="317">
        <f t="shared" si="69"/>
        <v>389</v>
      </c>
      <c r="AR112" s="318">
        <f t="shared" si="69"/>
        <v>228626.97</v>
      </c>
    </row>
    <row r="113" spans="1:44" ht="45" customHeight="1" x14ac:dyDescent="0.25">
      <c r="A113" s="278" t="s">
        <v>631</v>
      </c>
      <c r="B113" s="313" t="s">
        <v>630</v>
      </c>
      <c r="C113" s="287">
        <v>0</v>
      </c>
      <c r="D113" s="184">
        <v>496.96</v>
      </c>
      <c r="E113" s="281">
        <v>1</v>
      </c>
      <c r="F113" s="281">
        <f t="shared" si="62"/>
        <v>0</v>
      </c>
      <c r="G113" s="282">
        <f t="shared" si="62"/>
        <v>0</v>
      </c>
      <c r="H113" s="284">
        <v>0</v>
      </c>
      <c r="I113" s="184">
        <v>496.96</v>
      </c>
      <c r="J113" s="281">
        <v>1</v>
      </c>
      <c r="K113" s="281">
        <f t="shared" si="63"/>
        <v>0</v>
      </c>
      <c r="L113" s="282">
        <f t="shared" si="63"/>
        <v>0</v>
      </c>
      <c r="M113" s="287">
        <v>0</v>
      </c>
      <c r="N113" s="182">
        <v>496.96</v>
      </c>
      <c r="O113" s="296">
        <v>1</v>
      </c>
      <c r="P113" s="281">
        <f t="shared" si="64"/>
        <v>0</v>
      </c>
      <c r="Q113" s="282">
        <f t="shared" si="64"/>
        <v>0</v>
      </c>
      <c r="R113" s="284">
        <v>0</v>
      </c>
      <c r="S113" s="182">
        <f t="shared" si="53"/>
        <v>525.29</v>
      </c>
      <c r="T113" s="296">
        <v>1</v>
      </c>
      <c r="U113" s="281">
        <f t="shared" si="65"/>
        <v>0</v>
      </c>
      <c r="V113" s="282">
        <f t="shared" si="65"/>
        <v>0</v>
      </c>
      <c r="W113" s="278" t="s">
        <v>631</v>
      </c>
      <c r="X113" s="313" t="s">
        <v>630</v>
      </c>
      <c r="Y113" s="284">
        <v>0</v>
      </c>
      <c r="Z113" s="182">
        <f t="shared" si="44"/>
        <v>546.83000000000004</v>
      </c>
      <c r="AA113" s="296">
        <v>1</v>
      </c>
      <c r="AB113" s="281">
        <f t="shared" si="66"/>
        <v>0</v>
      </c>
      <c r="AC113" s="282">
        <f t="shared" si="66"/>
        <v>0</v>
      </c>
      <c r="AD113" s="284">
        <v>0</v>
      </c>
      <c r="AE113" s="182">
        <f t="shared" si="45"/>
        <v>561.04999999999995</v>
      </c>
      <c r="AF113" s="296">
        <v>1</v>
      </c>
      <c r="AG113" s="281">
        <f t="shared" si="67"/>
        <v>0</v>
      </c>
      <c r="AH113" s="282">
        <f t="shared" si="67"/>
        <v>0</v>
      </c>
      <c r="AI113" s="285">
        <v>0</v>
      </c>
      <c r="AJ113" s="319">
        <f t="shared" si="46"/>
        <v>575.64</v>
      </c>
      <c r="AK113" s="296">
        <v>1</v>
      </c>
      <c r="AL113" s="281">
        <f t="shared" si="68"/>
        <v>0</v>
      </c>
      <c r="AM113" s="282">
        <f t="shared" si="68"/>
        <v>0</v>
      </c>
      <c r="AN113" s="331">
        <v>1736</v>
      </c>
      <c r="AO113" s="332">
        <f t="shared" si="47"/>
        <v>587.73</v>
      </c>
      <c r="AP113" s="316">
        <v>1</v>
      </c>
      <c r="AQ113" s="317">
        <f t="shared" si="69"/>
        <v>1736</v>
      </c>
      <c r="AR113" s="318">
        <f t="shared" si="69"/>
        <v>1020299.28</v>
      </c>
    </row>
    <row r="114" spans="1:44" ht="60.75" thickBot="1" x14ac:dyDescent="0.3">
      <c r="A114" s="262" t="s">
        <v>629</v>
      </c>
      <c r="B114" s="320" t="s">
        <v>628</v>
      </c>
      <c r="C114" s="328">
        <v>0</v>
      </c>
      <c r="D114" s="183">
        <v>496.96</v>
      </c>
      <c r="E114" s="293">
        <v>1</v>
      </c>
      <c r="F114" s="293">
        <f t="shared" si="62"/>
        <v>0</v>
      </c>
      <c r="G114" s="294">
        <f t="shared" si="62"/>
        <v>0</v>
      </c>
      <c r="H114" s="292">
        <v>0</v>
      </c>
      <c r="I114" s="183">
        <v>496.96</v>
      </c>
      <c r="J114" s="293">
        <v>1</v>
      </c>
      <c r="K114" s="293">
        <f t="shared" si="63"/>
        <v>0</v>
      </c>
      <c r="L114" s="294">
        <f t="shared" si="63"/>
        <v>0</v>
      </c>
      <c r="M114" s="328">
        <v>0</v>
      </c>
      <c r="N114" s="183">
        <v>496.96</v>
      </c>
      <c r="O114" s="293">
        <v>1</v>
      </c>
      <c r="P114" s="293">
        <f t="shared" si="64"/>
        <v>0</v>
      </c>
      <c r="Q114" s="294">
        <f t="shared" si="64"/>
        <v>0</v>
      </c>
      <c r="R114" s="292">
        <v>0</v>
      </c>
      <c r="S114" s="183">
        <f t="shared" si="53"/>
        <v>525.29</v>
      </c>
      <c r="T114" s="293">
        <v>1</v>
      </c>
      <c r="U114" s="293">
        <f t="shared" si="65"/>
        <v>0</v>
      </c>
      <c r="V114" s="294">
        <f t="shared" si="65"/>
        <v>0</v>
      </c>
      <c r="W114" s="262" t="s">
        <v>629</v>
      </c>
      <c r="X114" s="320" t="s">
        <v>628</v>
      </c>
      <c r="Y114" s="292">
        <v>0</v>
      </c>
      <c r="Z114" s="183">
        <f t="shared" si="44"/>
        <v>546.83000000000004</v>
      </c>
      <c r="AA114" s="293">
        <v>1</v>
      </c>
      <c r="AB114" s="293">
        <f t="shared" si="66"/>
        <v>0</v>
      </c>
      <c r="AC114" s="294">
        <f t="shared" si="66"/>
        <v>0</v>
      </c>
      <c r="AD114" s="292">
        <v>0</v>
      </c>
      <c r="AE114" s="183">
        <f t="shared" si="45"/>
        <v>561.04999999999995</v>
      </c>
      <c r="AF114" s="293">
        <v>1</v>
      </c>
      <c r="AG114" s="293">
        <f t="shared" si="67"/>
        <v>0</v>
      </c>
      <c r="AH114" s="294">
        <f t="shared" si="67"/>
        <v>0</v>
      </c>
      <c r="AI114" s="325">
        <v>0</v>
      </c>
      <c r="AJ114" s="326">
        <f t="shared" si="46"/>
        <v>575.64</v>
      </c>
      <c r="AK114" s="293">
        <v>1</v>
      </c>
      <c r="AL114" s="293">
        <f t="shared" si="68"/>
        <v>0</v>
      </c>
      <c r="AM114" s="294">
        <f t="shared" si="68"/>
        <v>0</v>
      </c>
      <c r="AN114" s="333">
        <v>1408</v>
      </c>
      <c r="AO114" s="334">
        <f t="shared" si="47"/>
        <v>587.73</v>
      </c>
      <c r="AP114" s="323">
        <v>1</v>
      </c>
      <c r="AQ114" s="323">
        <f t="shared" si="69"/>
        <v>1408</v>
      </c>
      <c r="AR114" s="324">
        <f t="shared" si="69"/>
        <v>827523.84000000008</v>
      </c>
    </row>
    <row r="115" spans="1:44" ht="45" x14ac:dyDescent="0.25">
      <c r="A115" s="300" t="s">
        <v>627</v>
      </c>
      <c r="B115" s="301" t="s">
        <v>626</v>
      </c>
      <c r="C115" s="327">
        <v>0</v>
      </c>
      <c r="D115" s="185">
        <v>496.96</v>
      </c>
      <c r="E115" s="303">
        <v>1</v>
      </c>
      <c r="F115" s="304">
        <f t="shared" si="62"/>
        <v>0</v>
      </c>
      <c r="G115" s="305">
        <f t="shared" si="62"/>
        <v>0</v>
      </c>
      <c r="H115" s="302">
        <v>0</v>
      </c>
      <c r="I115" s="185">
        <v>496.96</v>
      </c>
      <c r="J115" s="303">
        <v>1</v>
      </c>
      <c r="K115" s="304">
        <f t="shared" si="63"/>
        <v>0</v>
      </c>
      <c r="L115" s="305">
        <f t="shared" si="63"/>
        <v>0</v>
      </c>
      <c r="M115" s="327">
        <v>0</v>
      </c>
      <c r="N115" s="185">
        <v>496.96</v>
      </c>
      <c r="O115" s="303">
        <v>1</v>
      </c>
      <c r="P115" s="304">
        <f t="shared" si="64"/>
        <v>0</v>
      </c>
      <c r="Q115" s="305">
        <f t="shared" si="64"/>
        <v>0</v>
      </c>
      <c r="R115" s="302">
        <v>0</v>
      </c>
      <c r="S115" s="185">
        <f t="shared" si="53"/>
        <v>525.29</v>
      </c>
      <c r="T115" s="303">
        <v>1</v>
      </c>
      <c r="U115" s="304">
        <f t="shared" si="65"/>
        <v>0</v>
      </c>
      <c r="V115" s="305">
        <f t="shared" si="65"/>
        <v>0</v>
      </c>
      <c r="W115" s="300" t="s">
        <v>627</v>
      </c>
      <c r="X115" s="301" t="s">
        <v>626</v>
      </c>
      <c r="Y115" s="302">
        <v>0</v>
      </c>
      <c r="Z115" s="185">
        <f t="shared" si="44"/>
        <v>546.83000000000004</v>
      </c>
      <c r="AA115" s="303">
        <v>1</v>
      </c>
      <c r="AB115" s="304">
        <f t="shared" si="66"/>
        <v>0</v>
      </c>
      <c r="AC115" s="305">
        <f t="shared" si="66"/>
        <v>0</v>
      </c>
      <c r="AD115" s="302">
        <v>0</v>
      </c>
      <c r="AE115" s="185">
        <f t="shared" si="45"/>
        <v>561.04999999999995</v>
      </c>
      <c r="AF115" s="303">
        <v>1</v>
      </c>
      <c r="AG115" s="304">
        <f t="shared" si="67"/>
        <v>0</v>
      </c>
      <c r="AH115" s="305">
        <f t="shared" si="67"/>
        <v>0</v>
      </c>
      <c r="AI115" s="311">
        <v>0</v>
      </c>
      <c r="AJ115" s="312">
        <f t="shared" si="46"/>
        <v>575.64</v>
      </c>
      <c r="AK115" s="303">
        <v>1</v>
      </c>
      <c r="AL115" s="304">
        <f t="shared" si="68"/>
        <v>0</v>
      </c>
      <c r="AM115" s="305">
        <f t="shared" si="68"/>
        <v>0</v>
      </c>
      <c r="AN115" s="329">
        <v>498</v>
      </c>
      <c r="AO115" s="330">
        <f t="shared" si="47"/>
        <v>587.73</v>
      </c>
      <c r="AP115" s="308">
        <v>1</v>
      </c>
      <c r="AQ115" s="309">
        <f t="shared" si="69"/>
        <v>498</v>
      </c>
      <c r="AR115" s="310">
        <f t="shared" si="69"/>
        <v>292689.54000000004</v>
      </c>
    </row>
    <row r="116" spans="1:44" ht="45" x14ac:dyDescent="0.25">
      <c r="A116" s="278" t="s">
        <v>625</v>
      </c>
      <c r="B116" s="313" t="s">
        <v>624</v>
      </c>
      <c r="C116" s="287">
        <v>0</v>
      </c>
      <c r="D116" s="184">
        <v>496.96</v>
      </c>
      <c r="E116" s="281">
        <v>1</v>
      </c>
      <c r="F116" s="281">
        <f t="shared" si="62"/>
        <v>0</v>
      </c>
      <c r="G116" s="282">
        <f t="shared" si="62"/>
        <v>0</v>
      </c>
      <c r="H116" s="284">
        <v>0</v>
      </c>
      <c r="I116" s="184">
        <v>496.96</v>
      </c>
      <c r="J116" s="281">
        <v>1</v>
      </c>
      <c r="K116" s="281">
        <f t="shared" si="63"/>
        <v>0</v>
      </c>
      <c r="L116" s="282">
        <f t="shared" si="63"/>
        <v>0</v>
      </c>
      <c r="M116" s="287">
        <v>0</v>
      </c>
      <c r="N116" s="182">
        <v>496.96</v>
      </c>
      <c r="O116" s="296">
        <v>1</v>
      </c>
      <c r="P116" s="281">
        <f t="shared" si="64"/>
        <v>0</v>
      </c>
      <c r="Q116" s="282">
        <f t="shared" si="64"/>
        <v>0</v>
      </c>
      <c r="R116" s="284">
        <v>0</v>
      </c>
      <c r="S116" s="182">
        <f t="shared" si="53"/>
        <v>525.29</v>
      </c>
      <c r="T116" s="296">
        <v>1</v>
      </c>
      <c r="U116" s="281">
        <f t="shared" si="65"/>
        <v>0</v>
      </c>
      <c r="V116" s="282">
        <f t="shared" si="65"/>
        <v>0</v>
      </c>
      <c r="W116" s="278" t="s">
        <v>625</v>
      </c>
      <c r="X116" s="313" t="s">
        <v>624</v>
      </c>
      <c r="Y116" s="284">
        <v>0</v>
      </c>
      <c r="Z116" s="182">
        <f t="shared" si="44"/>
        <v>546.83000000000004</v>
      </c>
      <c r="AA116" s="296">
        <v>1</v>
      </c>
      <c r="AB116" s="281">
        <f t="shared" si="66"/>
        <v>0</v>
      </c>
      <c r="AC116" s="282">
        <f t="shared" si="66"/>
        <v>0</v>
      </c>
      <c r="AD116" s="284">
        <v>0</v>
      </c>
      <c r="AE116" s="182">
        <f t="shared" si="45"/>
        <v>561.04999999999995</v>
      </c>
      <c r="AF116" s="296">
        <v>1</v>
      </c>
      <c r="AG116" s="281">
        <f t="shared" si="67"/>
        <v>0</v>
      </c>
      <c r="AH116" s="282">
        <f t="shared" si="67"/>
        <v>0</v>
      </c>
      <c r="AI116" s="285">
        <v>0</v>
      </c>
      <c r="AJ116" s="319">
        <f t="shared" si="46"/>
        <v>575.64</v>
      </c>
      <c r="AK116" s="296">
        <v>1</v>
      </c>
      <c r="AL116" s="281">
        <f t="shared" si="68"/>
        <v>0</v>
      </c>
      <c r="AM116" s="282">
        <f t="shared" si="68"/>
        <v>0</v>
      </c>
      <c r="AN116" s="331">
        <v>389</v>
      </c>
      <c r="AO116" s="332">
        <f t="shared" si="47"/>
        <v>587.73</v>
      </c>
      <c r="AP116" s="316">
        <v>1</v>
      </c>
      <c r="AQ116" s="317">
        <f t="shared" si="69"/>
        <v>389</v>
      </c>
      <c r="AR116" s="318">
        <f t="shared" si="69"/>
        <v>228626.97</v>
      </c>
    </row>
    <row r="117" spans="1:44" ht="45.95" customHeight="1" x14ac:dyDescent="0.25">
      <c r="A117" s="278" t="s">
        <v>623</v>
      </c>
      <c r="B117" s="313" t="s">
        <v>622</v>
      </c>
      <c r="C117" s="287">
        <v>0</v>
      </c>
      <c r="D117" s="184">
        <v>496.96</v>
      </c>
      <c r="E117" s="281">
        <v>1</v>
      </c>
      <c r="F117" s="281">
        <f t="shared" si="62"/>
        <v>0</v>
      </c>
      <c r="G117" s="282">
        <f t="shared" si="62"/>
        <v>0</v>
      </c>
      <c r="H117" s="284">
        <v>0</v>
      </c>
      <c r="I117" s="184">
        <v>496.96</v>
      </c>
      <c r="J117" s="281">
        <v>1</v>
      </c>
      <c r="K117" s="281">
        <f t="shared" si="63"/>
        <v>0</v>
      </c>
      <c r="L117" s="282">
        <f t="shared" si="63"/>
        <v>0</v>
      </c>
      <c r="M117" s="287">
        <v>0</v>
      </c>
      <c r="N117" s="182">
        <v>496.96</v>
      </c>
      <c r="O117" s="296">
        <v>1</v>
      </c>
      <c r="P117" s="281">
        <f t="shared" si="64"/>
        <v>0</v>
      </c>
      <c r="Q117" s="282">
        <f t="shared" si="64"/>
        <v>0</v>
      </c>
      <c r="R117" s="284">
        <v>0</v>
      </c>
      <c r="S117" s="182">
        <f t="shared" si="53"/>
        <v>525.29</v>
      </c>
      <c r="T117" s="296">
        <v>1</v>
      </c>
      <c r="U117" s="281">
        <f t="shared" si="65"/>
        <v>0</v>
      </c>
      <c r="V117" s="282">
        <f t="shared" si="65"/>
        <v>0</v>
      </c>
      <c r="W117" s="278" t="s">
        <v>623</v>
      </c>
      <c r="X117" s="313" t="s">
        <v>622</v>
      </c>
      <c r="Y117" s="284">
        <v>0</v>
      </c>
      <c r="Z117" s="182">
        <f t="shared" si="44"/>
        <v>546.83000000000004</v>
      </c>
      <c r="AA117" s="296">
        <v>1</v>
      </c>
      <c r="AB117" s="281">
        <f t="shared" si="66"/>
        <v>0</v>
      </c>
      <c r="AC117" s="282">
        <f t="shared" si="66"/>
        <v>0</v>
      </c>
      <c r="AD117" s="284">
        <v>0</v>
      </c>
      <c r="AE117" s="182">
        <f t="shared" si="45"/>
        <v>561.04999999999995</v>
      </c>
      <c r="AF117" s="296">
        <v>1</v>
      </c>
      <c r="AG117" s="281">
        <f t="shared" si="67"/>
        <v>0</v>
      </c>
      <c r="AH117" s="282">
        <f t="shared" si="67"/>
        <v>0</v>
      </c>
      <c r="AI117" s="285">
        <v>0</v>
      </c>
      <c r="AJ117" s="319">
        <f t="shared" si="46"/>
        <v>575.64</v>
      </c>
      <c r="AK117" s="296">
        <v>1</v>
      </c>
      <c r="AL117" s="281">
        <f t="shared" si="68"/>
        <v>0</v>
      </c>
      <c r="AM117" s="282">
        <f t="shared" si="68"/>
        <v>0</v>
      </c>
      <c r="AN117" s="331">
        <v>2184</v>
      </c>
      <c r="AO117" s="332">
        <f t="shared" si="47"/>
        <v>587.73</v>
      </c>
      <c r="AP117" s="316">
        <v>1</v>
      </c>
      <c r="AQ117" s="317">
        <f t="shared" si="69"/>
        <v>2184</v>
      </c>
      <c r="AR117" s="318">
        <f t="shared" si="69"/>
        <v>1283602.32</v>
      </c>
    </row>
    <row r="118" spans="1:44" ht="60.75" thickBot="1" x14ac:dyDescent="0.3">
      <c r="A118" s="262" t="s">
        <v>621</v>
      </c>
      <c r="B118" s="320" t="s">
        <v>620</v>
      </c>
      <c r="C118" s="328">
        <v>0</v>
      </c>
      <c r="D118" s="183">
        <v>496.96</v>
      </c>
      <c r="E118" s="293">
        <v>1</v>
      </c>
      <c r="F118" s="293">
        <f t="shared" si="62"/>
        <v>0</v>
      </c>
      <c r="G118" s="294">
        <f t="shared" si="62"/>
        <v>0</v>
      </c>
      <c r="H118" s="292">
        <v>0</v>
      </c>
      <c r="I118" s="183">
        <v>496.96</v>
      </c>
      <c r="J118" s="293">
        <v>1</v>
      </c>
      <c r="K118" s="293">
        <f t="shared" si="63"/>
        <v>0</v>
      </c>
      <c r="L118" s="294">
        <f t="shared" si="63"/>
        <v>0</v>
      </c>
      <c r="M118" s="328">
        <v>0</v>
      </c>
      <c r="N118" s="183">
        <v>496.96</v>
      </c>
      <c r="O118" s="293">
        <v>1</v>
      </c>
      <c r="P118" s="293">
        <f t="shared" si="64"/>
        <v>0</v>
      </c>
      <c r="Q118" s="294">
        <f t="shared" si="64"/>
        <v>0</v>
      </c>
      <c r="R118" s="292">
        <v>0</v>
      </c>
      <c r="S118" s="183">
        <f t="shared" si="53"/>
        <v>525.29</v>
      </c>
      <c r="T118" s="293">
        <v>1</v>
      </c>
      <c r="U118" s="293">
        <f t="shared" si="65"/>
        <v>0</v>
      </c>
      <c r="V118" s="294">
        <f t="shared" si="65"/>
        <v>0</v>
      </c>
      <c r="W118" s="262" t="s">
        <v>621</v>
      </c>
      <c r="X118" s="320" t="s">
        <v>620</v>
      </c>
      <c r="Y118" s="292">
        <v>0</v>
      </c>
      <c r="Z118" s="183">
        <f t="shared" si="44"/>
        <v>546.83000000000004</v>
      </c>
      <c r="AA118" s="293">
        <v>1</v>
      </c>
      <c r="AB118" s="293">
        <f t="shared" si="66"/>
        <v>0</v>
      </c>
      <c r="AC118" s="294">
        <f t="shared" si="66"/>
        <v>0</v>
      </c>
      <c r="AD118" s="292">
        <v>0</v>
      </c>
      <c r="AE118" s="183">
        <f t="shared" si="45"/>
        <v>561.04999999999995</v>
      </c>
      <c r="AF118" s="293">
        <v>1</v>
      </c>
      <c r="AG118" s="293">
        <f t="shared" si="67"/>
        <v>0</v>
      </c>
      <c r="AH118" s="294">
        <f t="shared" si="67"/>
        <v>0</v>
      </c>
      <c r="AI118" s="325">
        <v>0</v>
      </c>
      <c r="AJ118" s="326">
        <f t="shared" si="46"/>
        <v>575.64</v>
      </c>
      <c r="AK118" s="293">
        <v>1</v>
      </c>
      <c r="AL118" s="293">
        <f t="shared" si="68"/>
        <v>0</v>
      </c>
      <c r="AM118" s="294">
        <f t="shared" si="68"/>
        <v>0</v>
      </c>
      <c r="AN118" s="333">
        <v>1408</v>
      </c>
      <c r="AO118" s="334">
        <f t="shared" si="47"/>
        <v>587.73</v>
      </c>
      <c r="AP118" s="323">
        <v>1</v>
      </c>
      <c r="AQ118" s="323">
        <f t="shared" si="69"/>
        <v>1408</v>
      </c>
      <c r="AR118" s="324">
        <f t="shared" si="69"/>
        <v>827523.84000000008</v>
      </c>
    </row>
    <row r="119" spans="1:44" ht="15.75" thickBot="1" x14ac:dyDescent="0.3">
      <c r="A119" s="1108" t="s">
        <v>619</v>
      </c>
      <c r="B119" s="1109"/>
      <c r="C119" s="335">
        <f>SUM(C9:C118)</f>
        <v>103454</v>
      </c>
      <c r="D119" s="181" t="s">
        <v>306</v>
      </c>
      <c r="E119" s="181" t="s">
        <v>306</v>
      </c>
      <c r="F119" s="181" t="s">
        <v>306</v>
      </c>
      <c r="G119" s="336">
        <f>SUM(G9:G118)</f>
        <v>51412499.839999996</v>
      </c>
      <c r="H119" s="335">
        <f>SUM(H9:H118)</f>
        <v>34516.160000000003</v>
      </c>
      <c r="I119" s="181" t="s">
        <v>306</v>
      </c>
      <c r="J119" s="181" t="s">
        <v>306</v>
      </c>
      <c r="K119" s="181" t="s">
        <v>306</v>
      </c>
      <c r="L119" s="336">
        <f>SUM(L9:L118)</f>
        <v>17153150.873599999</v>
      </c>
      <c r="M119" s="335">
        <f>SUM(M9:M118)</f>
        <v>63716.160000000003</v>
      </c>
      <c r="N119" s="181" t="s">
        <v>306</v>
      </c>
      <c r="O119" s="181" t="s">
        <v>306</v>
      </c>
      <c r="P119" s="181" t="s">
        <v>306</v>
      </c>
      <c r="Q119" s="336">
        <f>SUM(Q9:Q118)</f>
        <v>31664382.873599995</v>
      </c>
      <c r="R119" s="335">
        <f>SUM(R9:R118)</f>
        <v>67553</v>
      </c>
      <c r="S119" s="181" t="s">
        <v>306</v>
      </c>
      <c r="T119" s="181" t="s">
        <v>306</v>
      </c>
      <c r="U119" s="181" t="s">
        <v>306</v>
      </c>
      <c r="V119" s="336">
        <f>SUM(V9:V118)</f>
        <v>35484915.37000002</v>
      </c>
      <c r="W119" s="1108" t="s">
        <v>619</v>
      </c>
      <c r="X119" s="1110"/>
      <c r="Y119" s="335">
        <f>SUM(Y9:Y118)</f>
        <v>39696</v>
      </c>
      <c r="Z119" s="181" t="s">
        <v>306</v>
      </c>
      <c r="AA119" s="181" t="s">
        <v>306</v>
      </c>
      <c r="AB119" s="181" t="s">
        <v>306</v>
      </c>
      <c r="AC119" s="336">
        <f>SUM(AC9:AC118)</f>
        <v>21706963.680000003</v>
      </c>
      <c r="AD119" s="335">
        <f>SUM(AD9:AD118)</f>
        <v>8062</v>
      </c>
      <c r="AE119" s="181" t="s">
        <v>306</v>
      </c>
      <c r="AF119" s="181" t="s">
        <v>306</v>
      </c>
      <c r="AG119" s="181" t="s">
        <v>306</v>
      </c>
      <c r="AH119" s="336">
        <f>SUM(AH9:AH118)</f>
        <v>4523185.0999999996</v>
      </c>
      <c r="AI119" s="335">
        <f>SUM(AI9:AI118)</f>
        <v>0</v>
      </c>
      <c r="AJ119" s="181" t="s">
        <v>306</v>
      </c>
      <c r="AK119" s="181" t="s">
        <v>306</v>
      </c>
      <c r="AL119" s="181" t="s">
        <v>306</v>
      </c>
      <c r="AM119" s="336">
        <f>SUM(AM9:AM118)</f>
        <v>0</v>
      </c>
      <c r="AN119" s="335">
        <f>SUM(AN9:AN118)</f>
        <v>20603</v>
      </c>
      <c r="AO119" s="181" t="s">
        <v>306</v>
      </c>
      <c r="AP119" s="181" t="s">
        <v>306</v>
      </c>
      <c r="AQ119" s="181" t="s">
        <v>306</v>
      </c>
      <c r="AR119" s="336">
        <f>SUM(AR9:AR118)</f>
        <v>12109001.189999999</v>
      </c>
    </row>
    <row r="120" spans="1:44" ht="15.75" x14ac:dyDescent="0.25">
      <c r="B120" s="337"/>
      <c r="C120" s="338"/>
      <c r="D120" s="180"/>
      <c r="E120" s="180"/>
      <c r="F120" s="180"/>
      <c r="G120" s="338"/>
      <c r="H120" s="338"/>
      <c r="I120" s="180"/>
      <c r="J120" s="180"/>
      <c r="K120" s="180"/>
      <c r="L120" s="338"/>
      <c r="M120" s="339"/>
      <c r="N120" s="339"/>
      <c r="R120" s="339"/>
      <c r="S120" s="339"/>
      <c r="X120" s="337"/>
      <c r="Y120" s="339"/>
      <c r="Z120" s="339"/>
      <c r="AD120" s="339"/>
      <c r="AE120" s="339"/>
      <c r="AI120" s="340"/>
      <c r="AJ120" s="340"/>
      <c r="AK120" s="341"/>
      <c r="AL120" s="341"/>
      <c r="AM120" s="341"/>
      <c r="AN120" s="340"/>
      <c r="AO120" s="340"/>
      <c r="AP120" s="341"/>
      <c r="AQ120" s="341"/>
      <c r="AR120" s="341"/>
    </row>
    <row r="121" spans="1:44" ht="15.75" x14ac:dyDescent="0.25">
      <c r="B121" s="337"/>
      <c r="C121" s="338"/>
      <c r="D121" s="180"/>
      <c r="E121" s="180"/>
      <c r="F121" s="180"/>
      <c r="G121" s="338"/>
      <c r="H121" s="338"/>
      <c r="I121" s="180"/>
      <c r="J121" s="180"/>
      <c r="K121" s="180"/>
      <c r="L121" s="338"/>
      <c r="M121" s="339"/>
      <c r="N121" s="339"/>
      <c r="R121" s="339"/>
      <c r="S121" s="339"/>
      <c r="X121" s="337"/>
      <c r="Y121" s="339"/>
      <c r="Z121" s="339"/>
      <c r="AD121" s="339"/>
      <c r="AE121" s="339"/>
      <c r="AI121" s="340"/>
      <c r="AJ121" s="340"/>
      <c r="AK121" s="341"/>
      <c r="AL121" s="341"/>
      <c r="AM121" s="341"/>
      <c r="AN121" s="340"/>
      <c r="AO121" s="340"/>
      <c r="AP121" s="341"/>
      <c r="AQ121" s="341"/>
      <c r="AR121" s="341"/>
    </row>
    <row r="122" spans="1:44" s="23" customFormat="1" ht="15.75" x14ac:dyDescent="0.25">
      <c r="A122" s="238"/>
      <c r="B122" s="337"/>
      <c r="C122" s="338"/>
      <c r="D122" s="180"/>
      <c r="E122" s="180"/>
      <c r="F122" s="180"/>
      <c r="G122" s="338"/>
      <c r="H122" s="338"/>
      <c r="I122" s="180"/>
      <c r="J122" s="180"/>
      <c r="K122" s="180"/>
      <c r="L122" s="338"/>
      <c r="M122" s="339"/>
      <c r="N122" s="339"/>
      <c r="O122" s="57"/>
      <c r="P122" s="57"/>
      <c r="Q122" s="57"/>
      <c r="R122" s="339"/>
      <c r="S122" s="339"/>
      <c r="T122" s="57"/>
      <c r="U122" s="57"/>
      <c r="V122" s="57"/>
      <c r="W122" s="238"/>
      <c r="X122" s="337"/>
      <c r="Y122" s="339"/>
      <c r="Z122" s="339"/>
      <c r="AA122" s="57"/>
      <c r="AB122" s="57"/>
      <c r="AC122" s="57"/>
      <c r="AD122" s="339"/>
      <c r="AE122" s="339"/>
      <c r="AF122" s="57"/>
      <c r="AG122" s="57"/>
      <c r="AH122" s="57"/>
      <c r="AI122" s="340"/>
      <c r="AJ122" s="340"/>
      <c r="AK122" s="341"/>
      <c r="AL122" s="341"/>
      <c r="AM122" s="341"/>
      <c r="AN122" s="340"/>
      <c r="AO122" s="340"/>
      <c r="AP122" s="341"/>
      <c r="AQ122" s="341"/>
      <c r="AR122" s="341"/>
    </row>
    <row r="123" spans="1:44" ht="15.75" x14ac:dyDescent="0.25">
      <c r="A123" s="1111" t="s">
        <v>618</v>
      </c>
      <c r="B123" s="1111"/>
      <c r="C123" s="1111"/>
      <c r="D123" s="1111"/>
      <c r="J123" s="1100" t="s">
        <v>304</v>
      </c>
      <c r="K123" s="1100"/>
      <c r="L123" s="1100"/>
      <c r="M123" s="1100"/>
      <c r="N123" s="1100"/>
      <c r="O123" s="1100"/>
      <c r="P123" s="1100"/>
      <c r="Q123" s="1100"/>
      <c r="W123" s="1111" t="s">
        <v>618</v>
      </c>
      <c r="X123" s="1111"/>
      <c r="Y123" s="1111"/>
      <c r="Z123" s="1111"/>
      <c r="AA123" s="240"/>
      <c r="AB123" s="240"/>
      <c r="AC123" s="240"/>
      <c r="AD123" s="240"/>
      <c r="AE123" s="240"/>
      <c r="AF123" s="1100" t="s">
        <v>304</v>
      </c>
      <c r="AG123" s="1100"/>
      <c r="AH123" s="1100"/>
      <c r="AI123" s="1100"/>
      <c r="AJ123" s="1100"/>
      <c r="AK123" s="1100"/>
      <c r="AL123" s="1100"/>
      <c r="AM123" s="1100"/>
      <c r="AN123" s="1101"/>
      <c r="AO123" s="1101"/>
      <c r="AP123" s="1101"/>
      <c r="AQ123" s="1101"/>
      <c r="AR123" s="1101"/>
    </row>
    <row r="124" spans="1:44" ht="15.75" x14ac:dyDescent="0.25">
      <c r="A124" s="1096" t="s">
        <v>617</v>
      </c>
      <c r="B124" s="1096"/>
      <c r="C124" s="1096"/>
      <c r="D124" s="1096"/>
      <c r="J124" s="1096" t="s">
        <v>616</v>
      </c>
      <c r="K124" s="1096"/>
      <c r="L124" s="1096"/>
      <c r="M124" s="1096"/>
      <c r="N124" s="1096"/>
      <c r="O124" s="1096"/>
      <c r="P124" s="1096"/>
      <c r="Q124" s="1096"/>
      <c r="W124" s="1096" t="s">
        <v>617</v>
      </c>
      <c r="X124" s="1096"/>
      <c r="Y124" s="1096"/>
      <c r="Z124" s="1096"/>
      <c r="AA124" s="240"/>
      <c r="AB124" s="240"/>
      <c r="AC124" s="240"/>
      <c r="AD124" s="240"/>
      <c r="AE124" s="240"/>
      <c r="AF124" s="1096" t="s">
        <v>616</v>
      </c>
      <c r="AG124" s="1096"/>
      <c r="AH124" s="1096"/>
      <c r="AI124" s="1096"/>
      <c r="AJ124" s="1096"/>
      <c r="AK124" s="1096"/>
      <c r="AL124" s="1096"/>
      <c r="AM124" s="1096"/>
      <c r="AN124" s="1097"/>
      <c r="AO124" s="1097"/>
      <c r="AP124" s="1097"/>
      <c r="AQ124" s="1097"/>
      <c r="AR124" s="1097"/>
    </row>
    <row r="125" spans="1:44" x14ac:dyDescent="0.2">
      <c r="A125" s="1098" t="s">
        <v>615</v>
      </c>
      <c r="B125" s="1098"/>
      <c r="C125" s="1098"/>
      <c r="D125" s="179"/>
      <c r="J125" s="1098" t="s">
        <v>615</v>
      </c>
      <c r="K125" s="1098"/>
      <c r="L125" s="1098"/>
      <c r="M125" s="1098"/>
      <c r="N125" s="1098"/>
      <c r="O125" s="1098"/>
      <c r="P125" s="1098"/>
      <c r="Q125" s="1098"/>
      <c r="W125" s="1098" t="s">
        <v>615</v>
      </c>
      <c r="X125" s="1098"/>
      <c r="Y125" s="1098"/>
      <c r="Z125" s="179"/>
      <c r="AA125" s="240"/>
      <c r="AB125" s="240"/>
      <c r="AC125" s="240"/>
      <c r="AD125" s="240"/>
      <c r="AE125" s="240"/>
      <c r="AF125" s="1098" t="s">
        <v>615</v>
      </c>
      <c r="AG125" s="1098"/>
      <c r="AH125" s="1098"/>
      <c r="AI125" s="1098"/>
      <c r="AJ125" s="1098"/>
      <c r="AK125" s="1098"/>
      <c r="AL125" s="1098"/>
      <c r="AM125" s="1098"/>
      <c r="AN125" s="1099"/>
      <c r="AO125" s="1099"/>
      <c r="AP125" s="1099"/>
      <c r="AQ125" s="1099"/>
      <c r="AR125" s="1099"/>
    </row>
    <row r="126" spans="1:44" x14ac:dyDescent="0.25">
      <c r="A126" s="1094" t="s">
        <v>614</v>
      </c>
      <c r="B126" s="1094"/>
      <c r="C126" s="178"/>
      <c r="D126" s="342"/>
      <c r="E126" s="23"/>
      <c r="F126" s="23"/>
      <c r="G126" s="23"/>
      <c r="H126" s="23"/>
      <c r="I126" s="23"/>
      <c r="J126" s="1094" t="s">
        <v>613</v>
      </c>
      <c r="K126" s="1094"/>
      <c r="L126" s="1094"/>
      <c r="M126" s="1094"/>
      <c r="N126" s="1094"/>
      <c r="O126" s="1094"/>
      <c r="P126" s="1094"/>
      <c r="Q126" s="112"/>
      <c r="R126" s="23"/>
      <c r="S126" s="23"/>
      <c r="T126" s="23"/>
      <c r="U126" s="23"/>
      <c r="V126" s="112"/>
      <c r="W126" s="1094" t="s">
        <v>614</v>
      </c>
      <c r="X126" s="1094"/>
      <c r="Y126" s="178"/>
      <c r="Z126" s="342"/>
      <c r="AA126" s="23"/>
      <c r="AB126" s="23"/>
      <c r="AC126" s="23"/>
      <c r="AD126" s="23"/>
      <c r="AE126" s="23"/>
      <c r="AF126" s="1094" t="s">
        <v>613</v>
      </c>
      <c r="AG126" s="1094"/>
      <c r="AH126" s="1094"/>
      <c r="AI126" s="1094"/>
      <c r="AJ126" s="1094"/>
      <c r="AK126" s="1094"/>
      <c r="AL126" s="1094"/>
      <c r="AM126" s="112"/>
      <c r="AN126" s="1095"/>
      <c r="AO126" s="1095"/>
      <c r="AP126" s="1095"/>
      <c r="AQ126" s="1095"/>
      <c r="AR126" s="343"/>
    </row>
    <row r="127" spans="1:44" x14ac:dyDescent="0.25">
      <c r="A127" s="344"/>
      <c r="B127" s="345"/>
      <c r="C127" s="81"/>
      <c r="D127" s="346"/>
      <c r="E127" s="347"/>
      <c r="F127" s="348"/>
      <c r="G127" s="348"/>
      <c r="H127" s="349"/>
      <c r="I127" s="348"/>
      <c r="J127" s="347"/>
      <c r="K127" s="348"/>
      <c r="L127" s="348"/>
      <c r="W127" s="344"/>
      <c r="X127" s="345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</row>
    <row r="128" spans="1:44" x14ac:dyDescent="0.25">
      <c r="A128" s="350"/>
      <c r="B128" s="7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W128" s="350"/>
      <c r="X128" s="75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</row>
    <row r="129" spans="1:44" ht="15.75" x14ac:dyDescent="0.25">
      <c r="A129" s="351"/>
      <c r="B129" s="352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W129" s="351"/>
      <c r="X129" s="352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</row>
    <row r="130" spans="1:44" x14ac:dyDescent="0.25"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</row>
    <row r="131" spans="1:44" x14ac:dyDescent="0.25"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</row>
    <row r="132" spans="1:44" x14ac:dyDescent="0.25"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</row>
    <row r="133" spans="1:44" x14ac:dyDescent="0.25"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</row>
    <row r="134" spans="1:44" x14ac:dyDescent="0.25"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</row>
    <row r="135" spans="1:44" x14ac:dyDescent="0.25">
      <c r="B135" s="354"/>
      <c r="X135" s="354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A3" sqref="A3:F3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9" customWidth="1"/>
    <col min="6" max="6" width="21.42578125" customWidth="1"/>
  </cols>
  <sheetData>
    <row r="1" spans="1:6" ht="15.75" x14ac:dyDescent="0.25">
      <c r="A1" s="6"/>
      <c r="B1" s="6"/>
      <c r="C1" s="6"/>
      <c r="D1" s="6"/>
      <c r="E1" s="6"/>
      <c r="F1" s="44" t="s">
        <v>452</v>
      </c>
    </row>
    <row r="2" spans="1:6" ht="15.75" x14ac:dyDescent="0.25">
      <c r="A2" s="1132" t="s">
        <v>461</v>
      </c>
      <c r="B2" s="1132"/>
      <c r="C2" s="1132"/>
      <c r="D2" s="1132"/>
      <c r="E2" s="1132"/>
      <c r="F2" s="1132"/>
    </row>
    <row r="3" spans="1:6" ht="29.25" customHeight="1" x14ac:dyDescent="0.25">
      <c r="A3" s="1133" t="str">
        <f>"за "  &amp; год &amp;" г."</f>
        <v>за 2030 г.</v>
      </c>
      <c r="B3" s="1133"/>
      <c r="C3" s="1133"/>
      <c r="D3" s="1133"/>
      <c r="E3" s="1133"/>
      <c r="F3" s="1133"/>
    </row>
    <row r="4" spans="1:6" ht="87" customHeight="1" x14ac:dyDescent="0.25">
      <c r="A4" s="8"/>
      <c r="B4" s="8" t="s">
        <v>86</v>
      </c>
      <c r="C4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D4" s="743"/>
      <c r="E4" s="743"/>
      <c r="F4" s="743"/>
    </row>
    <row r="5" spans="1:6" ht="12" customHeight="1" x14ac:dyDescent="0.25">
      <c r="A5" s="6"/>
      <c r="B5" s="35" t="s">
        <v>97</v>
      </c>
      <c r="C5" s="1134" t="str">
        <f>Плановая2!C5</f>
        <v>52.23.20.120</v>
      </c>
      <c r="D5" s="1134"/>
      <c r="E5" s="1134"/>
      <c r="F5" s="1134"/>
    </row>
    <row r="6" spans="1:6" ht="12" customHeight="1" x14ac:dyDescent="0.25">
      <c r="A6" s="6"/>
      <c r="B6" s="35" t="s">
        <v>127</v>
      </c>
      <c r="C6" s="1134"/>
      <c r="D6" s="1134"/>
      <c r="E6" s="1134"/>
      <c r="F6" s="1134"/>
    </row>
    <row r="7" spans="1:6" ht="12" customHeight="1" x14ac:dyDescent="0.25">
      <c r="A7" s="6"/>
      <c r="B7" s="35" t="s">
        <v>128</v>
      </c>
      <c r="C7" s="1134"/>
      <c r="D7" s="1134"/>
      <c r="E7" s="1134"/>
      <c r="F7" s="1134"/>
    </row>
    <row r="8" spans="1:6" ht="15.75" x14ac:dyDescent="0.25">
      <c r="A8" s="6"/>
      <c r="B8" s="35" t="s">
        <v>20</v>
      </c>
      <c r="C8" s="1135" t="str">
        <f>Плановая2!C8</f>
        <v>Этап № 93. Комплекс услуг</v>
      </c>
      <c r="D8" s="1135"/>
      <c r="E8" s="1135"/>
      <c r="F8" s="1135"/>
    </row>
    <row r="9" spans="1:6" x14ac:dyDescent="0.25">
      <c r="A9" s="6"/>
      <c r="B9" s="126"/>
      <c r="C9" s="1136" t="s">
        <v>453</v>
      </c>
      <c r="D9" s="1136"/>
      <c r="E9" s="1136"/>
      <c r="F9" s="1136"/>
    </row>
    <row r="10" spans="1:6" ht="57.95" customHeight="1" x14ac:dyDescent="0.25">
      <c r="A10" s="6"/>
      <c r="B10" s="35" t="s">
        <v>228</v>
      </c>
      <c r="C10" s="113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137"/>
      <c r="E10" s="1137"/>
      <c r="F10" s="1137"/>
    </row>
    <row r="11" spans="1:6" x14ac:dyDescent="0.25">
      <c r="A11" s="34"/>
      <c r="B11" s="6"/>
      <c r="C11" s="1138" t="s">
        <v>96</v>
      </c>
      <c r="D11" s="1138"/>
      <c r="E11" s="1138"/>
      <c r="F11" s="1138"/>
    </row>
    <row r="12" spans="1:6" x14ac:dyDescent="0.25">
      <c r="A12" s="6"/>
      <c r="B12" s="6"/>
      <c r="C12" s="6"/>
      <c r="D12" s="6"/>
      <c r="E12" s="6"/>
      <c r="F12" s="4" t="s">
        <v>21</v>
      </c>
    </row>
    <row r="13" spans="1:6" ht="30" x14ac:dyDescent="0.25">
      <c r="A13" s="30" t="s">
        <v>454</v>
      </c>
      <c r="B13" s="30" t="s">
        <v>19</v>
      </c>
      <c r="C13" s="1131" t="s">
        <v>482</v>
      </c>
      <c r="D13" s="1131"/>
      <c r="E13" s="423" t="str">
        <f>"Факт на ""___""________" &amp; год &amp;" г. "</f>
        <v xml:space="preserve">Факт на "___"________2030 г. </v>
      </c>
      <c r="F13" s="30" t="s">
        <v>18</v>
      </c>
    </row>
    <row r="14" spans="1:6" ht="15.75" x14ac:dyDescent="0.25">
      <c r="A14" s="30" t="s">
        <v>455</v>
      </c>
      <c r="B14" s="30">
        <v>2</v>
      </c>
      <c r="C14" s="1131">
        <v>3</v>
      </c>
      <c r="D14" s="1131"/>
      <c r="E14" s="30">
        <v>4</v>
      </c>
      <c r="F14" s="30">
        <v>5</v>
      </c>
    </row>
    <row r="15" spans="1:6" ht="15.75" x14ac:dyDescent="0.25">
      <c r="A15" s="2" t="s">
        <v>141</v>
      </c>
      <c r="B15" s="127" t="s">
        <v>126</v>
      </c>
      <c r="C15" s="1129">
        <f>Плановая2!E17</f>
        <v>51497.893920000002</v>
      </c>
      <c r="D15" s="1130"/>
      <c r="E15" s="88"/>
      <c r="F15" s="30"/>
    </row>
    <row r="16" spans="1:6" ht="15.75" x14ac:dyDescent="0.25">
      <c r="A16" s="2"/>
      <c r="B16" s="127" t="s">
        <v>88</v>
      </c>
      <c r="C16" s="1129" t="str">
        <f>Плановая2!E18</f>
        <v>-</v>
      </c>
      <c r="D16" s="1130"/>
      <c r="E16" s="88"/>
      <c r="F16" s="131"/>
    </row>
    <row r="17" spans="1:6" ht="31.5" x14ac:dyDescent="0.25">
      <c r="A17" s="2" t="s">
        <v>142</v>
      </c>
      <c r="B17" s="127" t="s">
        <v>456</v>
      </c>
      <c r="C17" s="1129">
        <f>Плановая2!E19</f>
        <v>51497.893920000002</v>
      </c>
      <c r="D17" s="1130"/>
      <c r="E17" s="88"/>
      <c r="F17" s="131"/>
    </row>
    <row r="18" spans="1:6" ht="15.75" x14ac:dyDescent="0.25">
      <c r="A18" s="2" t="s">
        <v>146</v>
      </c>
      <c r="B18" s="127" t="s">
        <v>143</v>
      </c>
      <c r="C18" s="1129" t="str">
        <f>Плановая2!E20</f>
        <v>-</v>
      </c>
      <c r="D18" s="1130"/>
      <c r="E18" s="88"/>
      <c r="F18" s="131"/>
    </row>
    <row r="19" spans="1:6" ht="15.75" x14ac:dyDescent="0.25">
      <c r="A19" s="2" t="s">
        <v>147</v>
      </c>
      <c r="B19" s="127" t="s">
        <v>144</v>
      </c>
      <c r="C19" s="1129" t="str">
        <f>Плановая2!E21</f>
        <v>-</v>
      </c>
      <c r="D19" s="1130"/>
      <c r="E19" s="88"/>
      <c r="F19" s="131"/>
    </row>
    <row r="20" spans="1:6" ht="15.75" x14ac:dyDescent="0.25">
      <c r="A20" s="2" t="s">
        <v>148</v>
      </c>
      <c r="B20" s="127" t="s">
        <v>145</v>
      </c>
      <c r="C20" s="1129" t="str">
        <f>Плановая2!E22</f>
        <v>-</v>
      </c>
      <c r="D20" s="1130"/>
      <c r="E20" s="88"/>
      <c r="F20" s="131"/>
    </row>
    <row r="21" spans="1:6" ht="31.5" x14ac:dyDescent="0.25">
      <c r="A21" s="2" t="s">
        <v>149</v>
      </c>
      <c r="B21" s="127" t="s">
        <v>457</v>
      </c>
      <c r="C21" s="1129" t="str">
        <f>Плановая2!E23</f>
        <v>-</v>
      </c>
      <c r="D21" s="1130"/>
      <c r="E21" s="88"/>
      <c r="F21" s="123"/>
    </row>
    <row r="22" spans="1:6" ht="15.75" x14ac:dyDescent="0.25">
      <c r="A22" s="2" t="s">
        <v>150</v>
      </c>
      <c r="B22" s="127" t="s">
        <v>258</v>
      </c>
      <c r="C22" s="1129" t="str">
        <f>Плановая2!E24</f>
        <v>-</v>
      </c>
      <c r="D22" s="1130"/>
      <c r="E22" s="88"/>
      <c r="F22" s="123"/>
    </row>
    <row r="23" spans="1:6" ht="15.75" x14ac:dyDescent="0.25">
      <c r="A23" s="2" t="s">
        <v>151</v>
      </c>
      <c r="B23" s="127" t="s">
        <v>465</v>
      </c>
      <c r="C23" s="1129" t="str">
        <f>Плановая2!E25</f>
        <v>-</v>
      </c>
      <c r="D23" s="1130"/>
      <c r="E23" s="88"/>
      <c r="F23" s="123"/>
    </row>
    <row r="24" spans="1:6" ht="15.75" x14ac:dyDescent="0.25">
      <c r="A24" s="2" t="s">
        <v>152</v>
      </c>
      <c r="B24" s="127" t="s">
        <v>466</v>
      </c>
      <c r="C24" s="1129" t="str">
        <f>Плановая2!E26</f>
        <v>-</v>
      </c>
      <c r="D24" s="1130"/>
      <c r="E24" s="88"/>
      <c r="F24" s="123"/>
    </row>
    <row r="25" spans="1:6" ht="15.75" x14ac:dyDescent="0.25">
      <c r="A25" s="2" t="s">
        <v>153</v>
      </c>
      <c r="B25" s="127" t="s">
        <v>211</v>
      </c>
      <c r="C25" s="1129" t="str">
        <f>Плановая2!E27</f>
        <v>-</v>
      </c>
      <c r="D25" s="1130"/>
      <c r="E25" s="88"/>
      <c r="F25" s="123"/>
    </row>
    <row r="26" spans="1:6" ht="15.75" x14ac:dyDescent="0.25">
      <c r="A26" s="2" t="s">
        <v>154</v>
      </c>
      <c r="B26" s="127" t="s">
        <v>229</v>
      </c>
      <c r="C26" s="1129" t="str">
        <f>Плановая2!E28</f>
        <v>-</v>
      </c>
      <c r="D26" s="1130"/>
      <c r="E26" s="88"/>
      <c r="F26" s="123"/>
    </row>
    <row r="27" spans="1:6" ht="15.75" x14ac:dyDescent="0.25">
      <c r="A27" s="2" t="s">
        <v>155</v>
      </c>
      <c r="B27" s="127" t="s">
        <v>158</v>
      </c>
      <c r="C27" s="1129">
        <f>Плановая2!E29</f>
        <v>444103.27147139329</v>
      </c>
      <c r="D27" s="1130"/>
      <c r="E27" s="88"/>
      <c r="F27" s="30"/>
    </row>
    <row r="28" spans="1:6" ht="15.75" x14ac:dyDescent="0.25">
      <c r="A28" s="2"/>
      <c r="B28" s="127" t="s">
        <v>88</v>
      </c>
      <c r="C28" s="1129" t="str">
        <f>Плановая2!E30</f>
        <v>-</v>
      </c>
      <c r="D28" s="1130"/>
      <c r="E28" s="88"/>
      <c r="F28" s="131"/>
    </row>
    <row r="29" spans="1:6" ht="15.75" x14ac:dyDescent="0.25">
      <c r="A29" s="2" t="s">
        <v>156</v>
      </c>
      <c r="B29" s="127" t="s">
        <v>87</v>
      </c>
      <c r="C29" s="1129">
        <f>Плановая2!E31</f>
        <v>420503.12421888404</v>
      </c>
      <c r="D29" s="1130"/>
      <c r="E29" s="88"/>
      <c r="F29" s="131"/>
    </row>
    <row r="30" spans="1:6" ht="15.75" x14ac:dyDescent="0.25">
      <c r="A30" s="2" t="s">
        <v>157</v>
      </c>
      <c r="B30" s="127" t="s">
        <v>458</v>
      </c>
      <c r="C30" s="1129">
        <f>Плановая2!E32</f>
        <v>23600.147252509279</v>
      </c>
      <c r="D30" s="1130"/>
      <c r="E30" s="88"/>
      <c r="F30" s="123"/>
    </row>
    <row r="31" spans="1:6" ht="15.75" x14ac:dyDescent="0.25">
      <c r="A31" s="2" t="s">
        <v>159</v>
      </c>
      <c r="B31" s="127" t="s">
        <v>51</v>
      </c>
      <c r="C31" s="1129">
        <f>Плановая2!E33</f>
        <v>82159.105222207756</v>
      </c>
      <c r="D31" s="1130"/>
      <c r="E31" s="88"/>
      <c r="F31" s="123"/>
    </row>
    <row r="32" spans="1:6" ht="15.75" x14ac:dyDescent="0.25">
      <c r="A32" s="2" t="s">
        <v>160</v>
      </c>
      <c r="B32" s="127" t="s">
        <v>15</v>
      </c>
      <c r="C32" s="1129" t="str">
        <f>Плановая2!E34</f>
        <v>-</v>
      </c>
      <c r="D32" s="1130"/>
      <c r="E32" s="88"/>
      <c r="F32" s="123"/>
    </row>
    <row r="33" spans="1:6" ht="15.75" x14ac:dyDescent="0.25">
      <c r="A33" s="2"/>
      <c r="B33" s="127" t="s">
        <v>88</v>
      </c>
      <c r="C33" s="1129" t="str">
        <f>Плановая2!E35</f>
        <v>-</v>
      </c>
      <c r="D33" s="1130"/>
      <c r="E33" s="88"/>
      <c r="F33" s="123"/>
    </row>
    <row r="34" spans="1:6" ht="15.75" x14ac:dyDescent="0.25">
      <c r="A34" s="2" t="s">
        <v>161</v>
      </c>
      <c r="B34" s="127" t="s">
        <v>283</v>
      </c>
      <c r="C34" s="1129" t="str">
        <f>Плановая2!E36</f>
        <v>-</v>
      </c>
      <c r="D34" s="1130"/>
      <c r="E34" s="88"/>
      <c r="F34" s="123"/>
    </row>
    <row r="35" spans="1:6" ht="15.75" x14ac:dyDescent="0.25">
      <c r="A35" s="2" t="s">
        <v>162</v>
      </c>
      <c r="B35" s="127" t="s">
        <v>163</v>
      </c>
      <c r="C35" s="1129" t="str">
        <f>Плановая2!E37</f>
        <v>-</v>
      </c>
      <c r="D35" s="1130"/>
      <c r="E35" s="88"/>
      <c r="F35" s="123"/>
    </row>
    <row r="36" spans="1:6" ht="15.75" x14ac:dyDescent="0.25">
      <c r="A36" s="2" t="s">
        <v>164</v>
      </c>
      <c r="B36" s="127" t="s">
        <v>13</v>
      </c>
      <c r="C36" s="1129" t="str">
        <f>Плановая2!E38</f>
        <v>-</v>
      </c>
      <c r="D36" s="1130"/>
      <c r="E36" s="88"/>
      <c r="F36" s="123"/>
    </row>
    <row r="37" spans="1:6" ht="31.5" x14ac:dyDescent="0.25">
      <c r="A37" s="124" t="s">
        <v>165</v>
      </c>
      <c r="B37" s="128" t="s">
        <v>336</v>
      </c>
      <c r="C37" s="1129" t="str">
        <f>Плановая2!E39</f>
        <v>-</v>
      </c>
      <c r="D37" s="1130"/>
      <c r="E37" s="88"/>
      <c r="F37" s="123"/>
    </row>
    <row r="38" spans="1:6" ht="15.75" x14ac:dyDescent="0.25">
      <c r="A38" s="2" t="s">
        <v>166</v>
      </c>
      <c r="B38" s="127" t="s">
        <v>12</v>
      </c>
      <c r="C38" s="1129" t="str">
        <f>Плановая2!E40</f>
        <v>-</v>
      </c>
      <c r="D38" s="1130"/>
      <c r="E38" s="88"/>
      <c r="F38" s="125"/>
    </row>
    <row r="39" spans="1:6" ht="15.75" x14ac:dyDescent="0.25">
      <c r="A39" s="2" t="s">
        <v>167</v>
      </c>
      <c r="B39" s="127" t="s">
        <v>11</v>
      </c>
      <c r="C39" s="1129" t="str">
        <f>Плановая2!E41</f>
        <v>-</v>
      </c>
      <c r="D39" s="1130"/>
      <c r="E39" s="88"/>
      <c r="F39" s="123"/>
    </row>
    <row r="40" spans="1:6" ht="15.75" x14ac:dyDescent="0.25">
      <c r="A40" s="2" t="s">
        <v>168</v>
      </c>
      <c r="B40" s="127" t="s">
        <v>115</v>
      </c>
      <c r="C40" s="1129">
        <f>Плановая2!E42</f>
        <v>1784447.0400319998</v>
      </c>
      <c r="D40" s="1130"/>
      <c r="E40" s="88"/>
      <c r="F40" s="123"/>
    </row>
    <row r="41" spans="1:6" ht="15.75" x14ac:dyDescent="0.25">
      <c r="A41" s="2" t="s">
        <v>169</v>
      </c>
      <c r="B41" s="127" t="s">
        <v>170</v>
      </c>
      <c r="C41" s="1129">
        <f>Плановая2!E43</f>
        <v>323875.35948269459</v>
      </c>
      <c r="D41" s="1130"/>
      <c r="E41" s="88"/>
      <c r="F41" s="123"/>
    </row>
    <row r="42" spans="1:6" ht="15.75" x14ac:dyDescent="0.25">
      <c r="A42" s="2" t="s">
        <v>171</v>
      </c>
      <c r="B42" s="127" t="s">
        <v>387</v>
      </c>
      <c r="C42" s="1129">
        <f>Плановая2!E44</f>
        <v>1420854.0523307866</v>
      </c>
      <c r="D42" s="1130"/>
      <c r="E42" s="88"/>
      <c r="F42" s="123"/>
    </row>
    <row r="43" spans="1:6" ht="31.5" x14ac:dyDescent="0.25">
      <c r="A43" s="2" t="s">
        <v>172</v>
      </c>
      <c r="B43" s="127" t="s">
        <v>467</v>
      </c>
      <c r="C43" s="1129">
        <f>Плановая2!E45</f>
        <v>4558384.295353109</v>
      </c>
      <c r="D43" s="1130"/>
      <c r="E43" s="88"/>
      <c r="F43" s="123"/>
    </row>
    <row r="44" spans="1:6" ht="31.5" x14ac:dyDescent="0.25">
      <c r="A44" s="2" t="s">
        <v>174</v>
      </c>
      <c r="B44" s="127" t="s">
        <v>173</v>
      </c>
      <c r="C44" s="1129">
        <f>Плановая2!E46</f>
        <v>8665321.0178121906</v>
      </c>
      <c r="D44" s="1130"/>
      <c r="E44" s="88"/>
      <c r="F44" s="123"/>
    </row>
    <row r="45" spans="1:6" ht="15.75" x14ac:dyDescent="0.25">
      <c r="A45" s="2" t="s">
        <v>175</v>
      </c>
      <c r="B45" s="127" t="s">
        <v>192</v>
      </c>
      <c r="C45" s="1129" t="str">
        <f>Плановая2!E47</f>
        <v>-</v>
      </c>
      <c r="D45" s="1130"/>
      <c r="E45" s="88"/>
      <c r="F45" s="123"/>
    </row>
    <row r="46" spans="1:6" ht="15.75" x14ac:dyDescent="0.25">
      <c r="A46" s="2" t="s">
        <v>176</v>
      </c>
      <c r="B46" s="127" t="s">
        <v>337</v>
      </c>
      <c r="C46" s="1129" t="str">
        <f>Плановая2!E48</f>
        <v>-</v>
      </c>
      <c r="D46" s="1130"/>
      <c r="E46" s="88"/>
      <c r="F46" s="30"/>
    </row>
    <row r="47" spans="1:6" ht="15.75" x14ac:dyDescent="0.25">
      <c r="A47" s="2" t="s">
        <v>177</v>
      </c>
      <c r="B47" s="127" t="s">
        <v>338</v>
      </c>
      <c r="C47" s="1129" t="str">
        <f>Плановая2!E49</f>
        <v>-</v>
      </c>
      <c r="D47" s="1130"/>
      <c r="E47" s="88"/>
      <c r="F47" s="123"/>
    </row>
    <row r="48" spans="1:6" ht="31.5" x14ac:dyDescent="0.25">
      <c r="A48" s="2" t="s">
        <v>178</v>
      </c>
      <c r="B48" s="127" t="s">
        <v>341</v>
      </c>
      <c r="C48" s="1129">
        <f>Плановая2!E50</f>
        <v>8665321.0178121906</v>
      </c>
      <c r="D48" s="1130"/>
      <c r="E48" s="88"/>
      <c r="F48" s="123"/>
    </row>
    <row r="49" spans="1:9" ht="15.75" x14ac:dyDescent="0.25">
      <c r="A49" s="2"/>
      <c r="B49" s="87" t="s">
        <v>14</v>
      </c>
      <c r="C49" s="1129" t="str">
        <f>Плановая2!E51</f>
        <v>-</v>
      </c>
      <c r="D49" s="1130"/>
      <c r="E49" s="88"/>
      <c r="F49" s="88"/>
    </row>
    <row r="50" spans="1:9" ht="15.75" x14ac:dyDescent="0.25">
      <c r="A50" s="2"/>
      <c r="B50" s="87" t="s">
        <v>540</v>
      </c>
      <c r="C50" s="1129">
        <f>Плановая2!E52</f>
        <v>6030736.2416038951</v>
      </c>
      <c r="D50" s="1130"/>
      <c r="E50" s="88"/>
      <c r="F50" s="88"/>
    </row>
    <row r="51" spans="1:9" ht="15.75" x14ac:dyDescent="0.25">
      <c r="A51" s="2"/>
      <c r="B51" s="87" t="s">
        <v>541</v>
      </c>
      <c r="C51" s="1129">
        <f>Плановая2!E53</f>
        <v>2634584.7762082955</v>
      </c>
      <c r="D51" s="1130"/>
      <c r="E51" s="88"/>
      <c r="F51" s="88"/>
    </row>
    <row r="52" spans="1:9" ht="15.75" x14ac:dyDescent="0.25">
      <c r="A52" s="2" t="s">
        <v>193</v>
      </c>
      <c r="B52" s="127" t="s">
        <v>10</v>
      </c>
      <c r="C52" s="1129">
        <f>Плановая2!E54</f>
        <v>455495.07999999996</v>
      </c>
      <c r="D52" s="1130"/>
      <c r="E52" s="88"/>
      <c r="F52" s="123"/>
    </row>
    <row r="53" spans="1:9" s="129" customFormat="1" ht="31.5" x14ac:dyDescent="0.25">
      <c r="A53" s="2" t="s">
        <v>194</v>
      </c>
      <c r="B53" s="127" t="s">
        <v>459</v>
      </c>
      <c r="C53" s="1129">
        <f>Плановая2!E55</f>
        <v>9120816.0978121907</v>
      </c>
      <c r="D53" s="1130"/>
      <c r="E53" s="88"/>
      <c r="F53" s="123"/>
      <c r="G53"/>
      <c r="H53"/>
      <c r="I53"/>
    </row>
    <row r="54" spans="1:9" ht="45" customHeight="1" x14ac:dyDescent="0.25">
      <c r="A54" s="2"/>
      <c r="B54" s="127" t="s">
        <v>462</v>
      </c>
      <c r="C54" s="1129">
        <f>Плановая2!E58</f>
        <v>600</v>
      </c>
      <c r="D54" s="1130"/>
      <c r="E54" s="88"/>
      <c r="F54" s="3"/>
    </row>
    <row r="55" spans="1:9" x14ac:dyDescent="0.25">
      <c r="A55" s="6"/>
      <c r="B55" s="6"/>
      <c r="C55" s="6"/>
      <c r="D55" s="6"/>
      <c r="E55" s="6"/>
      <c r="F55" s="6"/>
    </row>
    <row r="56" spans="1:9" ht="15.75" x14ac:dyDescent="0.25">
      <c r="A56" s="1139" t="s">
        <v>478</v>
      </c>
      <c r="B56" s="1139"/>
      <c r="C56" s="1140" t="str">
        <f>Плановая2!F60</f>
        <v>Главный бухгалтер ООО "Бенефит Бизнес"</v>
      </c>
      <c r="D56" s="1140"/>
      <c r="E56" s="1140"/>
      <c r="F56" s="1140"/>
      <c r="G56" s="129"/>
      <c r="H56" s="129"/>
      <c r="I56" s="129"/>
    </row>
    <row r="57" spans="1:9" ht="15.75" x14ac:dyDescent="0.25">
      <c r="A57" s="1141" t="s">
        <v>479</v>
      </c>
      <c r="B57" s="1141"/>
      <c r="C57" s="1140" t="str">
        <f>Плановая2!F61</f>
        <v>______________ Барышева И.М.</v>
      </c>
      <c r="D57" s="1142"/>
      <c r="E57" s="1142"/>
      <c r="F57" s="1142"/>
    </row>
    <row r="58" spans="1:9" x14ac:dyDescent="0.25">
      <c r="A58" s="1143" t="s">
        <v>463</v>
      </c>
      <c r="B58" s="1143"/>
      <c r="C58" s="1144" t="s">
        <v>491</v>
      </c>
      <c r="D58" s="1144"/>
      <c r="E58" s="1144"/>
      <c r="F58" s="136"/>
    </row>
    <row r="59" spans="1:9" ht="48" customHeight="1" x14ac:dyDescent="0.25">
      <c r="A59" s="1145" t="s">
        <v>92</v>
      </c>
      <c r="B59" s="1145"/>
      <c r="C59" s="1146" t="s">
        <v>585</v>
      </c>
      <c r="D59" s="1147"/>
      <c r="E59" s="1147"/>
      <c r="F59" s="136"/>
    </row>
    <row r="60" spans="1:9" ht="43.5" customHeight="1" x14ac:dyDescent="0.25">
      <c r="A60" s="1141"/>
      <c r="B60" s="1141"/>
      <c r="C60" s="1147"/>
      <c r="D60" s="1147"/>
      <c r="E60" s="136"/>
      <c r="F60" s="136"/>
    </row>
    <row r="61" spans="1:9" ht="50.25" customHeight="1" x14ac:dyDescent="0.25">
      <c r="A61" s="6" t="s">
        <v>460</v>
      </c>
      <c r="B61" s="6"/>
      <c r="C61" s="1147" t="s">
        <v>460</v>
      </c>
      <c r="D61" s="1147"/>
      <c r="E61" s="136"/>
      <c r="F61" s="136"/>
    </row>
    <row r="62" spans="1:9" x14ac:dyDescent="0.25">
      <c r="A62" s="746"/>
      <c r="B62" s="746"/>
      <c r="C62" s="136"/>
      <c r="D62" s="136"/>
      <c r="E62" s="136"/>
      <c r="F62" s="136"/>
    </row>
    <row r="63" spans="1:9" ht="15.75" x14ac:dyDescent="0.25">
      <c r="A63" s="1141"/>
      <c r="B63" s="1141"/>
      <c r="C63" s="1148" t="str">
        <f>Плановая2!A60</f>
        <v>Первый заместитель Генерального директора ООО "Бенефит Бизнес"</v>
      </c>
      <c r="D63" s="1148"/>
      <c r="E63" s="1148"/>
      <c r="F63" s="1148"/>
    </row>
    <row r="64" spans="1:9" ht="15.75" x14ac:dyDescent="0.25">
      <c r="A64" s="1141"/>
      <c r="B64" s="1141"/>
      <c r="C64" s="1149" t="s">
        <v>492</v>
      </c>
      <c r="D64" s="1149"/>
      <c r="E64" s="1149"/>
      <c r="F64" s="1149"/>
    </row>
    <row r="65" spans="1:6" x14ac:dyDescent="0.25">
      <c r="A65" s="1143"/>
      <c r="B65" s="1143"/>
      <c r="C65" s="1144" t="str">
        <f>C58</f>
        <v xml:space="preserve">  (подпись)                                                       (Ф.И.О.)</v>
      </c>
      <c r="D65" s="1144"/>
      <c r="E65" s="1144"/>
      <c r="F65" s="136"/>
    </row>
    <row r="66" spans="1:6" x14ac:dyDescent="0.25">
      <c r="A66" s="1145"/>
      <c r="B66" s="1145"/>
      <c r="C66" s="1146" t="s">
        <v>585</v>
      </c>
      <c r="D66" s="1147"/>
      <c r="E66" s="1147"/>
      <c r="F66" s="1147"/>
    </row>
    <row r="67" spans="1:6" x14ac:dyDescent="0.25">
      <c r="A67" s="1141"/>
      <c r="B67" s="1141"/>
      <c r="C67" s="137"/>
      <c r="D67" s="137"/>
      <c r="E67" s="137"/>
      <c r="F67" s="137"/>
    </row>
    <row r="68" spans="1:6" x14ac:dyDescent="0.25">
      <c r="C68" s="137"/>
      <c r="D68" s="137"/>
      <c r="E68" s="137"/>
      <c r="F68" s="137"/>
    </row>
    <row r="69" spans="1:6" x14ac:dyDescent="0.25">
      <c r="C69" s="137"/>
      <c r="D69" s="137"/>
      <c r="E69" s="137"/>
      <c r="F69" s="13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39370078740157483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/>
  <dimension ref="A1:Y398"/>
  <sheetViews>
    <sheetView view="pageBreakPreview" topLeftCell="A14" zoomScale="110" zoomScaleNormal="109" zoomScaleSheetLayoutView="110" workbookViewId="0">
      <selection activeCell="S15" sqref="S15"/>
    </sheetView>
  </sheetViews>
  <sheetFormatPr defaultColWidth="0.7109375" defaultRowHeight="15" x14ac:dyDescent="0.25"/>
  <cols>
    <col min="1" max="1" width="5" style="373" customWidth="1"/>
    <col min="2" max="2" width="29.7109375" style="77" customWidth="1"/>
    <col min="3" max="3" width="8.7109375" style="13" customWidth="1"/>
    <col min="4" max="5" width="3.140625" style="13" customWidth="1"/>
    <col min="6" max="6" width="6.42578125" style="13" customWidth="1"/>
    <col min="7" max="7" width="6.140625" style="13" customWidth="1"/>
    <col min="8" max="8" width="5.42578125" style="13" customWidth="1"/>
    <col min="9" max="9" width="6" style="13" customWidth="1"/>
    <col min="10" max="10" width="5.7109375" style="13" customWidth="1"/>
    <col min="11" max="11" width="5.42578125" style="13" customWidth="1"/>
    <col min="12" max="12" width="6.140625" style="13" customWidth="1"/>
    <col min="13" max="13" width="9.5703125" style="13" customWidth="1"/>
    <col min="14" max="14" width="7.140625" style="13" customWidth="1"/>
    <col min="15" max="15" width="5.85546875" style="13" customWidth="1"/>
    <col min="16" max="16" width="6.140625" style="13" customWidth="1"/>
    <col min="17" max="17" width="6.7109375" style="13" customWidth="1"/>
    <col min="18" max="18" width="10.42578125" style="13" customWidth="1"/>
    <col min="19" max="19" width="8.140625" style="13" customWidth="1"/>
    <col min="20" max="20" width="10.85546875" style="13" customWidth="1"/>
    <col min="21" max="21" width="17" style="13" customWidth="1"/>
    <col min="22" max="22" width="7.7109375" style="13" customWidth="1"/>
    <col min="23" max="23" width="6.7109375" style="13" customWidth="1"/>
    <col min="24" max="24" width="3.85546875" style="13" customWidth="1"/>
    <col min="25" max="25" width="1.140625" style="13" customWidth="1"/>
    <col min="26" max="26" width="2.140625" style="13" customWidth="1"/>
    <col min="27" max="16384" width="0.7109375" style="13"/>
  </cols>
  <sheetData>
    <row r="1" spans="1:25" ht="13.5" customHeight="1" x14ac:dyDescent="0.25">
      <c r="T1" s="749" t="s">
        <v>359</v>
      </c>
      <c r="U1" s="749"/>
      <c r="V1" s="749"/>
      <c r="W1" s="749"/>
      <c r="X1" s="749"/>
      <c r="Y1" s="749"/>
    </row>
    <row r="2" spans="1:25" ht="19.5" customHeight="1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</row>
    <row r="3" spans="1:25" x14ac:dyDescent="0.25">
      <c r="A3" s="789" t="s">
        <v>928</v>
      </c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</row>
    <row r="4" spans="1:25" ht="39.75" customHeight="1" x14ac:dyDescent="0.25">
      <c r="A4" s="79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790"/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</row>
    <row r="5" spans="1:25" ht="15.75" customHeight="1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</row>
    <row r="6" spans="1:25" ht="9.75" customHeight="1" x14ac:dyDescent="0.25"/>
    <row r="7" spans="1:25" x14ac:dyDescent="0.25">
      <c r="A7" s="792" t="s">
        <v>44</v>
      </c>
      <c r="B7" s="755" t="s">
        <v>4</v>
      </c>
      <c r="C7" s="794" t="s">
        <v>929</v>
      </c>
      <c r="D7" s="794" t="s">
        <v>134</v>
      </c>
      <c r="E7" s="794" t="s">
        <v>128</v>
      </c>
      <c r="F7" s="755" t="s">
        <v>99</v>
      </c>
      <c r="G7" s="752" t="s">
        <v>566</v>
      </c>
      <c r="H7" s="791"/>
      <c r="I7" s="791"/>
      <c r="J7" s="791"/>
      <c r="K7" s="791"/>
      <c r="L7" s="791"/>
      <c r="M7" s="791"/>
      <c r="N7" s="791"/>
      <c r="O7" s="791"/>
      <c r="P7" s="791"/>
      <c r="Q7" s="755" t="s">
        <v>333</v>
      </c>
      <c r="R7" s="755" t="str">
        <f>"Планируемый период (" &amp; год &amp; " г.)"</f>
        <v>Планируемый период (2030 г.)</v>
      </c>
      <c r="S7" s="755"/>
      <c r="T7" s="755"/>
      <c r="U7" s="755"/>
      <c r="V7" s="755"/>
      <c r="W7" s="755"/>
      <c r="X7" s="755"/>
      <c r="Y7" s="755"/>
    </row>
    <row r="8" spans="1:25" ht="57" customHeight="1" x14ac:dyDescent="0.25">
      <c r="A8" s="792"/>
      <c r="B8" s="755"/>
      <c r="C8" s="795"/>
      <c r="D8" s="795"/>
      <c r="E8" s="795"/>
      <c r="F8" s="755"/>
      <c r="G8" s="787" t="s">
        <v>232</v>
      </c>
      <c r="H8" s="788"/>
      <c r="I8" s="812" t="s">
        <v>930</v>
      </c>
      <c r="J8" s="812"/>
      <c r="K8" s="787" t="s">
        <v>236</v>
      </c>
      <c r="L8" s="788"/>
      <c r="M8" s="755" t="s">
        <v>185</v>
      </c>
      <c r="N8" s="755"/>
      <c r="O8" s="755" t="s">
        <v>202</v>
      </c>
      <c r="P8" s="755"/>
      <c r="Q8" s="755"/>
      <c r="R8" s="755" t="s">
        <v>190</v>
      </c>
      <c r="S8" s="785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08" t="s">
        <v>237</v>
      </c>
      <c r="U8" s="755" t="s">
        <v>185</v>
      </c>
      <c r="V8" s="755"/>
      <c r="W8" s="755" t="s">
        <v>932</v>
      </c>
      <c r="X8" s="755"/>
      <c r="Y8" s="755"/>
    </row>
    <row r="9" spans="1:25" ht="118.5" customHeight="1" x14ac:dyDescent="0.25">
      <c r="A9" s="792"/>
      <c r="B9" s="755"/>
      <c r="C9" s="796"/>
      <c r="D9" s="796"/>
      <c r="E9" s="796"/>
      <c r="F9" s="793"/>
      <c r="G9" s="31" t="s">
        <v>26</v>
      </c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709" t="s">
        <v>184</v>
      </c>
      <c r="N9" s="230" t="s">
        <v>214</v>
      </c>
      <c r="O9" s="230" t="s">
        <v>122</v>
      </c>
      <c r="P9" s="233" t="s">
        <v>46</v>
      </c>
      <c r="Q9" s="755"/>
      <c r="R9" s="755"/>
      <c r="S9" s="786"/>
      <c r="T9" s="809"/>
      <c r="U9" s="31" t="s">
        <v>230</v>
      </c>
      <c r="V9" s="230" t="s">
        <v>214</v>
      </c>
      <c r="W9" s="31" t="s">
        <v>122</v>
      </c>
      <c r="X9" s="787" t="s">
        <v>46</v>
      </c>
      <c r="Y9" s="788"/>
    </row>
    <row r="10" spans="1:25" s="21" customFormat="1" ht="14.25" customHeight="1" x14ac:dyDescent="0.25">
      <c r="A10" s="394">
        <v>1</v>
      </c>
      <c r="B10" s="31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31">
        <v>8</v>
      </c>
      <c r="I10" s="31">
        <v>9</v>
      </c>
      <c r="J10" s="31">
        <v>10</v>
      </c>
      <c r="K10" s="31">
        <v>11</v>
      </c>
      <c r="L10" s="31">
        <v>12</v>
      </c>
      <c r="M10" s="395" t="s">
        <v>233</v>
      </c>
      <c r="N10" s="395" t="s">
        <v>234</v>
      </c>
      <c r="O10" s="31">
        <v>14</v>
      </c>
      <c r="P10" s="222">
        <v>15</v>
      </c>
      <c r="Q10" s="31">
        <v>16</v>
      </c>
      <c r="R10" s="31">
        <v>17</v>
      </c>
      <c r="S10" s="659">
        <v>18</v>
      </c>
      <c r="T10" s="659">
        <v>19</v>
      </c>
      <c r="U10" s="395" t="s">
        <v>215</v>
      </c>
      <c r="V10" s="395" t="s">
        <v>216</v>
      </c>
      <c r="W10" s="31">
        <v>21</v>
      </c>
      <c r="X10" s="787">
        <v>22</v>
      </c>
      <c r="Y10" s="788"/>
    </row>
    <row r="11" spans="1:25" ht="12.75" customHeight="1" x14ac:dyDescent="0.25">
      <c r="A11" s="157"/>
      <c r="B11" s="85" t="s">
        <v>305</v>
      </c>
      <c r="C11" s="29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  <c r="M11" s="367" t="s">
        <v>306</v>
      </c>
      <c r="N11" s="367" t="s">
        <v>306</v>
      </c>
      <c r="O11" s="367" t="s">
        <v>306</v>
      </c>
      <c r="P11" s="367" t="s">
        <v>306</v>
      </c>
      <c r="Q11" s="367" t="s">
        <v>306</v>
      </c>
      <c r="R11" s="133" t="s">
        <v>306</v>
      </c>
      <c r="S11" s="660" t="s">
        <v>306</v>
      </c>
      <c r="T11" s="661">
        <f>T12+T16-T19</f>
        <v>51497.893920000002</v>
      </c>
      <c r="U11" s="396" t="s">
        <v>306</v>
      </c>
      <c r="V11" s="396" t="s">
        <v>306</v>
      </c>
      <c r="W11" s="396" t="s">
        <v>306</v>
      </c>
      <c r="X11" s="810"/>
      <c r="Y11" s="811"/>
    </row>
    <row r="12" spans="1:25" s="368" customFormat="1" ht="28.5" x14ac:dyDescent="0.2">
      <c r="A12" s="157" t="s">
        <v>5</v>
      </c>
      <c r="B12" s="85" t="s">
        <v>536</v>
      </c>
      <c r="C12" s="29" t="s">
        <v>306</v>
      </c>
      <c r="D12" s="29" t="s">
        <v>306</v>
      </c>
      <c r="E12" s="29" t="s">
        <v>306</v>
      </c>
      <c r="F12" s="29" t="s">
        <v>306</v>
      </c>
      <c r="G12" s="29" t="s">
        <v>306</v>
      </c>
      <c r="H12" s="29" t="s">
        <v>306</v>
      </c>
      <c r="I12" s="29" t="s">
        <v>306</v>
      </c>
      <c r="J12" s="29" t="s">
        <v>306</v>
      </c>
      <c r="K12" s="29" t="s">
        <v>306</v>
      </c>
      <c r="L12" s="29" t="s">
        <v>306</v>
      </c>
      <c r="M12" s="29" t="s">
        <v>306</v>
      </c>
      <c r="N12" s="29" t="s">
        <v>306</v>
      </c>
      <c r="O12" s="29" t="s">
        <v>306</v>
      </c>
      <c r="P12" s="29" t="s">
        <v>306</v>
      </c>
      <c r="Q12" s="29" t="s">
        <v>306</v>
      </c>
      <c r="R12" s="132" t="s">
        <v>306</v>
      </c>
      <c r="S12" s="662" t="s">
        <v>306</v>
      </c>
      <c r="T12" s="663">
        <f>T15</f>
        <v>51497.893920000002</v>
      </c>
      <c r="U12" s="397" t="s">
        <v>306</v>
      </c>
      <c r="V12" s="397" t="s">
        <v>306</v>
      </c>
      <c r="W12" s="397" t="s">
        <v>306</v>
      </c>
      <c r="X12" s="769" t="s">
        <v>306</v>
      </c>
      <c r="Y12" s="776"/>
    </row>
    <row r="13" spans="1:25" s="368" customFormat="1" ht="135" x14ac:dyDescent="0.2">
      <c r="A13" s="371" t="s">
        <v>573</v>
      </c>
      <c r="B13" s="398" t="s">
        <v>593</v>
      </c>
      <c r="C13" s="230" t="s">
        <v>592</v>
      </c>
      <c r="D13" s="29" t="s">
        <v>306</v>
      </c>
      <c r="E13" s="29" t="s">
        <v>306</v>
      </c>
      <c r="F13" s="29" t="s">
        <v>483</v>
      </c>
      <c r="G13" s="29" t="s">
        <v>306</v>
      </c>
      <c r="H13" s="29" t="s">
        <v>306</v>
      </c>
      <c r="I13" s="29" t="s">
        <v>306</v>
      </c>
      <c r="J13" s="29" t="s">
        <v>306</v>
      </c>
      <c r="K13" s="29" t="s">
        <v>306</v>
      </c>
      <c r="L13" s="29" t="s">
        <v>306</v>
      </c>
      <c r="M13" s="29" t="s">
        <v>306</v>
      </c>
      <c r="N13" s="29" t="s">
        <v>306</v>
      </c>
      <c r="O13" s="29" t="s">
        <v>306</v>
      </c>
      <c r="P13" s="29" t="s">
        <v>306</v>
      </c>
      <c r="Q13" s="29" t="s">
        <v>306</v>
      </c>
      <c r="R13" s="132">
        <f>1329/100*13.8</f>
        <v>183.40199999999999</v>
      </c>
      <c r="S13" s="710">
        <f xml:space="preserve"> ROUND(54.09*104.3/100*104/100*104/100*104/100*104/100,2)</f>
        <v>66</v>
      </c>
      <c r="T13" s="663">
        <f>R13*S13</f>
        <v>12104.531999999999</v>
      </c>
      <c r="U13" s="797" t="s">
        <v>890</v>
      </c>
      <c r="V13" s="797" t="s">
        <v>891</v>
      </c>
      <c r="W13" s="797" t="s">
        <v>892</v>
      </c>
      <c r="X13" s="799">
        <v>7743036465</v>
      </c>
      <c r="Y13" s="800"/>
    </row>
    <row r="14" spans="1:25" s="368" customFormat="1" ht="90" x14ac:dyDescent="0.2">
      <c r="A14" s="371" t="s">
        <v>893</v>
      </c>
      <c r="B14" s="398" t="s">
        <v>601</v>
      </c>
      <c r="C14" s="230" t="s">
        <v>592</v>
      </c>
      <c r="D14" s="29" t="s">
        <v>306</v>
      </c>
      <c r="E14" s="29" t="s">
        <v>306</v>
      </c>
      <c r="F14" s="29" t="s">
        <v>483</v>
      </c>
      <c r="G14" s="29" t="s">
        <v>306</v>
      </c>
      <c r="H14" s="29" t="s">
        <v>306</v>
      </c>
      <c r="I14" s="29" t="s">
        <v>306</v>
      </c>
      <c r="J14" s="29" t="s">
        <v>306</v>
      </c>
      <c r="K14" s="29" t="s">
        <v>306</v>
      </c>
      <c r="L14" s="29" t="s">
        <v>306</v>
      </c>
      <c r="M14" s="29" t="s">
        <v>306</v>
      </c>
      <c r="N14" s="29" t="s">
        <v>306</v>
      </c>
      <c r="O14" s="29" t="s">
        <v>306</v>
      </c>
      <c r="P14" s="29" t="s">
        <v>306</v>
      </c>
      <c r="Q14" s="29" t="s">
        <v>306</v>
      </c>
      <c r="R14" s="132">
        <f>3072/100*17.6</f>
        <v>540.67200000000003</v>
      </c>
      <c r="S14" s="662">
        <f xml:space="preserve"> ROUND(59.71*104.3/100*104/100*104/100*104/100*104/100,2)</f>
        <v>72.86</v>
      </c>
      <c r="T14" s="663">
        <f>R14*S14</f>
        <v>39393.361920000003</v>
      </c>
      <c r="U14" s="798"/>
      <c r="V14" s="798"/>
      <c r="W14" s="798"/>
      <c r="X14" s="801"/>
      <c r="Y14" s="802"/>
    </row>
    <row r="15" spans="1:25" x14ac:dyDescent="0.25">
      <c r="A15" s="157"/>
      <c r="B15" s="5" t="s">
        <v>487</v>
      </c>
      <c r="C15" s="29" t="s">
        <v>306</v>
      </c>
      <c r="D15" s="367" t="s">
        <v>306</v>
      </c>
      <c r="E15" s="367" t="s">
        <v>306</v>
      </c>
      <c r="F15" s="29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133" t="str">
        <f>L12</f>
        <v>-</v>
      </c>
      <c r="M15" s="367" t="s">
        <v>306</v>
      </c>
      <c r="N15" s="29" t="s">
        <v>306</v>
      </c>
      <c r="O15" s="367" t="s">
        <v>306</v>
      </c>
      <c r="P15" s="367" t="s">
        <v>306</v>
      </c>
      <c r="Q15" s="367" t="s">
        <v>306</v>
      </c>
      <c r="R15" s="396" t="s">
        <v>306</v>
      </c>
      <c r="S15" s="664" t="s">
        <v>306</v>
      </c>
      <c r="T15" s="665">
        <f>SUM(T13:T14)</f>
        <v>51497.893920000002</v>
      </c>
      <c r="U15" s="367" t="s">
        <v>306</v>
      </c>
      <c r="V15" s="367" t="s">
        <v>306</v>
      </c>
      <c r="W15" s="367" t="s">
        <v>306</v>
      </c>
      <c r="X15" s="774" t="s">
        <v>306</v>
      </c>
      <c r="Y15" s="776"/>
    </row>
    <row r="16" spans="1:25" s="380" customFormat="1" ht="28.5" x14ac:dyDescent="0.2">
      <c r="A16" s="15" t="s">
        <v>486</v>
      </c>
      <c r="B16" s="16" t="s">
        <v>485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158" t="s">
        <v>306</v>
      </c>
      <c r="H16" s="367" t="s">
        <v>306</v>
      </c>
      <c r="I16" s="367" t="s">
        <v>306</v>
      </c>
      <c r="J16" s="367" t="s">
        <v>306</v>
      </c>
      <c r="K16" s="367" t="s">
        <v>306</v>
      </c>
      <c r="L16" s="367" t="s">
        <v>306</v>
      </c>
      <c r="M16" s="367" t="s">
        <v>306</v>
      </c>
      <c r="N16" s="367" t="s">
        <v>306</v>
      </c>
      <c r="O16" s="367" t="s">
        <v>306</v>
      </c>
      <c r="P16" s="367" t="s">
        <v>306</v>
      </c>
      <c r="Q16" s="367" t="s">
        <v>306</v>
      </c>
      <c r="R16" s="367" t="s">
        <v>306</v>
      </c>
      <c r="S16" s="660" t="s">
        <v>306</v>
      </c>
      <c r="T16" s="665">
        <v>0</v>
      </c>
      <c r="U16" s="367" t="s">
        <v>306</v>
      </c>
      <c r="V16" s="367" t="s">
        <v>306</v>
      </c>
      <c r="W16" s="367" t="s">
        <v>306</v>
      </c>
      <c r="X16" s="774" t="s">
        <v>306</v>
      </c>
      <c r="Y16" s="775"/>
    </row>
    <row r="17" spans="1:25" x14ac:dyDescent="0.25">
      <c r="A17" s="130" t="s">
        <v>306</v>
      </c>
      <c r="B17" s="5" t="s">
        <v>22</v>
      </c>
      <c r="C17" s="29" t="s">
        <v>306</v>
      </c>
      <c r="D17" s="367" t="s">
        <v>306</v>
      </c>
      <c r="E17" s="367" t="s">
        <v>306</v>
      </c>
      <c r="F17" s="774" t="s">
        <v>306</v>
      </c>
      <c r="G17" s="776"/>
      <c r="H17" s="367" t="s">
        <v>306</v>
      </c>
      <c r="I17" s="367" t="s">
        <v>306</v>
      </c>
      <c r="J17" s="367" t="s">
        <v>306</v>
      </c>
      <c r="K17" s="367" t="s">
        <v>306</v>
      </c>
      <c r="L17" s="29" t="s">
        <v>306</v>
      </c>
      <c r="M17" s="367" t="s">
        <v>306</v>
      </c>
      <c r="N17" s="367" t="s">
        <v>306</v>
      </c>
      <c r="O17" s="367" t="s">
        <v>306</v>
      </c>
      <c r="P17" s="367" t="s">
        <v>306</v>
      </c>
      <c r="Q17" s="367" t="s">
        <v>306</v>
      </c>
      <c r="R17" s="399"/>
      <c r="S17" s="666"/>
      <c r="T17" s="665">
        <v>0</v>
      </c>
      <c r="U17" s="367" t="s">
        <v>306</v>
      </c>
      <c r="V17" s="367" t="s">
        <v>306</v>
      </c>
      <c r="W17" s="367" t="s">
        <v>306</v>
      </c>
      <c r="X17" s="774" t="s">
        <v>306</v>
      </c>
      <c r="Y17" s="784"/>
    </row>
    <row r="18" spans="1:25" x14ac:dyDescent="0.25">
      <c r="A18" s="130" t="s">
        <v>306</v>
      </c>
      <c r="B18" s="16" t="s">
        <v>306</v>
      </c>
      <c r="C18" s="774" t="s">
        <v>306</v>
      </c>
      <c r="D18" s="776"/>
      <c r="E18" s="367" t="s">
        <v>306</v>
      </c>
      <c r="F18" s="774" t="s">
        <v>306</v>
      </c>
      <c r="G18" s="776"/>
      <c r="H18" s="367" t="s">
        <v>306</v>
      </c>
      <c r="I18" s="367" t="s">
        <v>306</v>
      </c>
      <c r="J18" s="367" t="s">
        <v>306</v>
      </c>
      <c r="K18" s="367" t="s">
        <v>306</v>
      </c>
      <c r="L18" s="367" t="s">
        <v>306</v>
      </c>
      <c r="M18" s="367" t="s">
        <v>306</v>
      </c>
      <c r="N18" s="367" t="s">
        <v>306</v>
      </c>
      <c r="O18" s="367" t="s">
        <v>306</v>
      </c>
      <c r="P18" s="367" t="s">
        <v>306</v>
      </c>
      <c r="Q18" s="367" t="s">
        <v>306</v>
      </c>
      <c r="R18" s="367" t="s">
        <v>306</v>
      </c>
      <c r="S18" s="660" t="s">
        <v>306</v>
      </c>
      <c r="T18" s="665" t="s">
        <v>306</v>
      </c>
      <c r="U18" s="367" t="s">
        <v>306</v>
      </c>
      <c r="V18" s="367" t="s">
        <v>306</v>
      </c>
      <c r="W18" s="367" t="s">
        <v>306</v>
      </c>
      <c r="X18" s="774" t="s">
        <v>306</v>
      </c>
      <c r="Y18" s="776"/>
    </row>
    <row r="19" spans="1:25" ht="27.75" customHeight="1" x14ac:dyDescent="0.25">
      <c r="A19" s="157" t="s">
        <v>217</v>
      </c>
      <c r="B19" s="5" t="s">
        <v>231</v>
      </c>
      <c r="C19" s="782" t="s">
        <v>306</v>
      </c>
      <c r="D19" s="783"/>
      <c r="E19" s="367" t="s">
        <v>306</v>
      </c>
      <c r="F19" s="782" t="s">
        <v>306</v>
      </c>
      <c r="G19" s="783"/>
      <c r="H19" s="367" t="s">
        <v>306</v>
      </c>
      <c r="I19" s="367" t="s">
        <v>306</v>
      </c>
      <c r="J19" s="367" t="s">
        <v>306</v>
      </c>
      <c r="K19" s="367" t="s">
        <v>306</v>
      </c>
      <c r="L19" s="367" t="s">
        <v>306</v>
      </c>
      <c r="M19" s="367" t="s">
        <v>306</v>
      </c>
      <c r="N19" s="367" t="s">
        <v>306</v>
      </c>
      <c r="O19" s="367" t="s">
        <v>306</v>
      </c>
      <c r="P19" s="367" t="s">
        <v>306</v>
      </c>
      <c r="Q19" s="367" t="s">
        <v>306</v>
      </c>
      <c r="R19" s="367" t="s">
        <v>306</v>
      </c>
      <c r="S19" s="660" t="s">
        <v>306</v>
      </c>
      <c r="T19" s="665">
        <v>0</v>
      </c>
      <c r="U19" s="367" t="s">
        <v>306</v>
      </c>
      <c r="V19" s="367" t="s">
        <v>306</v>
      </c>
      <c r="W19" s="367" t="s">
        <v>306</v>
      </c>
      <c r="X19" s="782" t="s">
        <v>306</v>
      </c>
      <c r="Y19" s="783"/>
    </row>
    <row r="20" spans="1:25" x14ac:dyDescent="0.25">
      <c r="A20" s="401"/>
      <c r="C20" s="391"/>
      <c r="D20" s="402"/>
      <c r="E20" s="391"/>
      <c r="F20" s="391"/>
      <c r="G20" s="402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403"/>
      <c r="U20" s="391"/>
      <c r="V20" s="391"/>
      <c r="W20" s="391"/>
      <c r="X20" s="391"/>
      <c r="Y20" s="402"/>
    </row>
    <row r="21" spans="1:25" ht="32.25" customHeight="1" x14ac:dyDescent="0.25">
      <c r="A21" s="778" t="s">
        <v>579</v>
      </c>
      <c r="B21" s="779"/>
      <c r="C21" s="779"/>
      <c r="D21" s="779"/>
      <c r="E21" s="779"/>
      <c r="F21" s="779"/>
      <c r="G21" s="779"/>
      <c r="H21" s="779"/>
      <c r="I21" s="779"/>
      <c r="J21" s="779"/>
      <c r="K21" s="779"/>
      <c r="L21" s="779"/>
      <c r="M21" s="779"/>
      <c r="N21" s="779"/>
      <c r="O21" s="779"/>
      <c r="P21" s="779"/>
      <c r="Q21" s="779"/>
      <c r="R21" s="779"/>
      <c r="S21" s="779"/>
      <c r="T21" s="779"/>
      <c r="U21" s="779"/>
      <c r="V21" s="779"/>
      <c r="W21" s="779"/>
      <c r="X21" s="779"/>
      <c r="Y21" s="779"/>
    </row>
    <row r="22" spans="1:25" ht="405" customHeight="1" x14ac:dyDescent="0.25">
      <c r="A22" s="780" t="s">
        <v>977</v>
      </c>
      <c r="B22" s="781"/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</row>
    <row r="23" spans="1:25" ht="8.25" customHeight="1" x14ac:dyDescent="0.25">
      <c r="A23" s="404"/>
      <c r="B23" s="4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6"/>
      <c r="Q23" s="39"/>
      <c r="R23" s="407"/>
      <c r="S23" s="39"/>
      <c r="T23" s="39"/>
      <c r="U23" s="39"/>
      <c r="V23" s="408"/>
      <c r="W23" s="39"/>
      <c r="X23" s="409"/>
      <c r="Y23" s="409"/>
    </row>
    <row r="24" spans="1:25" ht="14.25" customHeight="1" x14ac:dyDescent="0.25">
      <c r="A24" s="804" t="str">
        <f>Плановая2!A60</f>
        <v>Первый заместитель Генерального директора ООО "Бенефит Бизнес"</v>
      </c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5" t="s">
        <v>304</v>
      </c>
      <c r="O24" s="805"/>
      <c r="P24" s="805"/>
      <c r="Q24" s="805"/>
      <c r="R24" s="805"/>
      <c r="S24" s="805"/>
      <c r="T24" s="805"/>
      <c r="U24" s="805"/>
      <c r="V24" s="805"/>
      <c r="W24" s="805"/>
      <c r="X24" s="21"/>
      <c r="Y24" s="21"/>
    </row>
    <row r="25" spans="1:25" ht="15.75" customHeight="1" x14ac:dyDescent="0.25">
      <c r="A25" s="804"/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21"/>
      <c r="Y25" s="358"/>
    </row>
    <row r="26" spans="1:25" ht="33" customHeight="1" x14ac:dyDescent="0.25">
      <c r="A26" s="805" t="s">
        <v>409</v>
      </c>
      <c r="B26" s="805"/>
      <c r="C26" s="805"/>
      <c r="D26" s="805"/>
      <c r="E26" s="805"/>
      <c r="F26" s="805"/>
      <c r="G26" s="805"/>
      <c r="H26" s="805"/>
      <c r="I26" s="805"/>
      <c r="J26" s="805"/>
      <c r="K26" s="805"/>
      <c r="L26" s="805"/>
      <c r="M26" s="805"/>
      <c r="N26" s="805" t="s">
        <v>410</v>
      </c>
      <c r="O26" s="805"/>
      <c r="P26" s="805"/>
      <c r="Q26" s="805"/>
      <c r="R26" s="805"/>
      <c r="S26" s="805"/>
      <c r="T26" s="805"/>
      <c r="U26" s="805"/>
      <c r="V26" s="805"/>
      <c r="W26" s="805"/>
      <c r="Y26" s="14"/>
    </row>
    <row r="27" spans="1:25" ht="12.75" customHeight="1" x14ac:dyDescent="0.25">
      <c r="A27" s="807" t="s">
        <v>349</v>
      </c>
      <c r="B27" s="807"/>
      <c r="C27" s="747" t="s">
        <v>394</v>
      </c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77" t="s">
        <v>349</v>
      </c>
      <c r="O27" s="777"/>
      <c r="P27" s="359"/>
      <c r="Q27" s="747" t="s">
        <v>0</v>
      </c>
      <c r="R27" s="747"/>
      <c r="S27" s="747"/>
      <c r="T27" s="359"/>
      <c r="U27" s="806"/>
      <c r="V27" s="806"/>
      <c r="W27" s="806"/>
      <c r="X27" s="359"/>
      <c r="Y27" s="14"/>
    </row>
    <row r="28" spans="1:25" s="14" customFormat="1" ht="13.5" customHeight="1" x14ac:dyDescent="0.25">
      <c r="A28" s="803" t="str">
        <f>Плановая2!A63</f>
        <v>"07" апреля  2025 г.</v>
      </c>
      <c r="B28" s="803"/>
      <c r="C28" s="803"/>
      <c r="D28" s="803"/>
      <c r="E28" s="803"/>
      <c r="F28" s="803"/>
      <c r="G28" s="803"/>
      <c r="H28" s="803"/>
      <c r="I28" s="13"/>
      <c r="J28" s="13"/>
      <c r="K28" s="13"/>
      <c r="L28" s="13"/>
      <c r="M28" s="390"/>
      <c r="N28" s="738" t="str">
        <f>A28</f>
        <v>"07" апреля  2025 г.</v>
      </c>
      <c r="O28" s="738"/>
      <c r="P28" s="738"/>
      <c r="Q28" s="738"/>
      <c r="R28" s="738"/>
      <c r="S28" s="738"/>
      <c r="T28" s="738"/>
      <c r="V28" s="409"/>
      <c r="W28" s="411"/>
      <c r="Y28" s="411"/>
    </row>
    <row r="29" spans="1:25" s="14" customFormat="1" ht="12" customHeight="1" x14ac:dyDescent="0.25">
      <c r="A29" s="412"/>
      <c r="B29" s="413"/>
      <c r="C29" s="414"/>
      <c r="D29" s="414"/>
      <c r="E29" s="414"/>
      <c r="F29" s="13"/>
      <c r="G29" s="13"/>
      <c r="H29" s="357"/>
      <c r="I29" s="13"/>
      <c r="J29" s="415"/>
      <c r="K29" s="415"/>
      <c r="L29" s="415"/>
      <c r="M29" s="415"/>
      <c r="N29" s="415"/>
      <c r="O29" s="415"/>
      <c r="P29" s="415"/>
      <c r="Q29" s="416"/>
      <c r="Y29" s="357"/>
    </row>
    <row r="30" spans="1:25" s="14" customFormat="1" ht="12" customHeight="1" x14ac:dyDescent="0.25">
      <c r="A30" s="417"/>
      <c r="B30" s="74"/>
      <c r="C30" s="411"/>
      <c r="D30" s="411"/>
      <c r="E30" s="411"/>
      <c r="F30" s="411"/>
      <c r="G30" s="411"/>
      <c r="H30" s="411"/>
      <c r="I30" s="13"/>
      <c r="J30" s="13"/>
      <c r="K30" s="13"/>
      <c r="L30" s="13"/>
      <c r="M30" s="13"/>
      <c r="N30" s="13"/>
      <c r="O30" s="13"/>
      <c r="P30" s="13"/>
      <c r="Q30" s="416"/>
      <c r="Y30" s="411"/>
    </row>
    <row r="31" spans="1:25" s="14" customFormat="1" ht="15" customHeight="1" x14ac:dyDescent="0.25">
      <c r="A31" s="418"/>
      <c r="B31" s="77"/>
      <c r="Q31" s="416"/>
      <c r="Y31" s="419"/>
    </row>
    <row r="32" spans="1:25" x14ac:dyDescent="0.25">
      <c r="A32" s="420"/>
      <c r="B32" s="421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22"/>
      <c r="T32" s="422"/>
      <c r="U32" s="422"/>
      <c r="V32" s="14"/>
      <c r="W32" s="14"/>
      <c r="X32" s="14"/>
      <c r="Y32" s="14"/>
    </row>
    <row r="33" spans="1:25" x14ac:dyDescent="0.25">
      <c r="A33" s="420"/>
      <c r="B33" s="421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</row>
    <row r="34" spans="1:25" x14ac:dyDescent="0.25">
      <c r="A34" s="420"/>
      <c r="B34" s="421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</row>
    <row r="35" spans="1:25" ht="8.25" customHeight="1" x14ac:dyDescent="0.25">
      <c r="A35" s="420"/>
      <c r="B35" s="421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</row>
    <row r="36" spans="1:25" x14ac:dyDescent="0.25">
      <c r="A36" s="420"/>
      <c r="B36" s="421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</row>
    <row r="398" spans="8:8" x14ac:dyDescent="0.25">
      <c r="H398" s="13" t="s">
        <v>58</v>
      </c>
    </row>
  </sheetData>
  <autoFilter ref="A10:Y22" xr:uid="{00000000-0009-0000-0000-000004000000}">
    <filterColumn colId="23" showButton="0"/>
  </autoFilter>
  <mergeCells count="55">
    <mergeCell ref="X10:Y10"/>
    <mergeCell ref="X11:Y11"/>
    <mergeCell ref="X12:Y12"/>
    <mergeCell ref="U8:V8"/>
    <mergeCell ref="I8:J8"/>
    <mergeCell ref="D7:D9"/>
    <mergeCell ref="G8:H8"/>
    <mergeCell ref="E7:E9"/>
    <mergeCell ref="R8:R9"/>
    <mergeCell ref="R7:Y7"/>
    <mergeCell ref="Q7:Q9"/>
    <mergeCell ref="T8:T9"/>
    <mergeCell ref="A28:H28"/>
    <mergeCell ref="A24:M25"/>
    <mergeCell ref="A26:M26"/>
    <mergeCell ref="N26:W26"/>
    <mergeCell ref="N24:W25"/>
    <mergeCell ref="Q27:S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X16:Y16"/>
    <mergeCell ref="F17:G17"/>
    <mergeCell ref="X18:Y18"/>
    <mergeCell ref="C27:M27"/>
    <mergeCell ref="N27:O27"/>
    <mergeCell ref="C18:D18"/>
    <mergeCell ref="F18:G18"/>
    <mergeCell ref="A21:Y21"/>
    <mergeCell ref="A22:Y22"/>
    <mergeCell ref="C19:D19"/>
    <mergeCell ref="F19:G19"/>
    <mergeCell ref="X19:Y19"/>
    <mergeCell ref="X17:Y1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fitToHeight="5" orientation="landscape" r:id="rId1"/>
  <rowBreaks count="1" manualBreakCount="1">
    <brk id="19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88" zoomScaleNormal="100" zoomScaleSheetLayoutView="120" workbookViewId="0">
      <selection activeCell="F15" sqref="F15"/>
    </sheetView>
  </sheetViews>
  <sheetFormatPr defaultColWidth="0.85546875" defaultRowHeight="15" x14ac:dyDescent="0.25"/>
  <cols>
    <col min="1" max="1" width="5" style="373" customWidth="1"/>
    <col min="2" max="2" width="21.42578125" style="373" customWidth="1"/>
    <col min="3" max="3" width="39.28515625" style="373" customWidth="1"/>
    <col min="4" max="4" width="39.140625" style="355" customWidth="1"/>
    <col min="5" max="5" width="15.28515625" style="373" customWidth="1"/>
    <col min="6" max="6" width="17.28515625" style="373" customWidth="1"/>
    <col min="7" max="7" width="14.28515625" style="373" customWidth="1"/>
    <col min="8" max="8" width="14.7109375" style="373" customWidth="1"/>
    <col min="9" max="9" width="16.85546875" style="373" customWidth="1"/>
    <col min="10" max="10" width="59.42578125" style="373" customWidth="1"/>
    <col min="11" max="11" width="14.140625" style="373" customWidth="1"/>
    <col min="12" max="12" width="33.140625" style="373" customWidth="1"/>
    <col min="13" max="16384" width="0.85546875" style="373"/>
  </cols>
  <sheetData>
    <row r="1" spans="1:11" x14ac:dyDescent="0.25">
      <c r="J1" s="826" t="s">
        <v>362</v>
      </c>
      <c r="K1" s="826"/>
    </row>
    <row r="3" spans="1:11" x14ac:dyDescent="0.25">
      <c r="A3" s="827" t="s">
        <v>3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</row>
    <row r="4" spans="1:11" x14ac:dyDescent="0.25">
      <c r="A4" s="827" t="s">
        <v>574</v>
      </c>
      <c r="B4" s="827"/>
      <c r="C4" s="827"/>
      <c r="D4" s="827"/>
      <c r="E4" s="827"/>
      <c r="F4" s="827"/>
      <c r="G4" s="827"/>
      <c r="H4" s="827"/>
      <c r="I4" s="827"/>
      <c r="J4" s="827"/>
      <c r="K4" s="827"/>
    </row>
    <row r="5" spans="1:11" ht="66" customHeight="1" x14ac:dyDescent="0.25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  <c r="G5" s="743"/>
      <c r="H5" s="743"/>
      <c r="I5" s="743"/>
      <c r="J5" s="743"/>
      <c r="K5" s="743"/>
    </row>
    <row r="6" spans="1:11" x14ac:dyDescent="0.25">
      <c r="A6" s="828" t="s">
        <v>363</v>
      </c>
      <c r="B6" s="828"/>
      <c r="C6" s="828"/>
      <c r="D6" s="828"/>
      <c r="E6" s="828"/>
      <c r="F6" s="828"/>
      <c r="G6" s="828"/>
      <c r="H6" s="828"/>
      <c r="I6" s="828"/>
      <c r="J6" s="828"/>
      <c r="K6" s="828"/>
    </row>
    <row r="7" spans="1:11" x14ac:dyDescent="0.25">
      <c r="B7" s="426"/>
      <c r="C7" s="426"/>
      <c r="D7" s="427"/>
      <c r="E7" s="426"/>
      <c r="F7" s="426"/>
      <c r="G7" s="426"/>
      <c r="H7" s="426"/>
    </row>
    <row r="8" spans="1:11" x14ac:dyDescent="0.25">
      <c r="A8" s="825"/>
      <c r="B8" s="825"/>
      <c r="C8" s="825"/>
    </row>
    <row r="9" spans="1:11" x14ac:dyDescent="0.25">
      <c r="A9" s="820" t="s">
        <v>44</v>
      </c>
      <c r="B9" s="823" t="s">
        <v>535</v>
      </c>
      <c r="C9" s="823" t="s">
        <v>364</v>
      </c>
      <c r="D9" s="823" t="s">
        <v>365</v>
      </c>
      <c r="E9" s="823" t="s">
        <v>366</v>
      </c>
      <c r="F9" s="813"/>
      <c r="G9" s="814"/>
      <c r="H9" s="814"/>
      <c r="I9" s="815"/>
      <c r="J9" s="831" t="s">
        <v>367</v>
      </c>
      <c r="K9" s="831"/>
    </row>
    <row r="10" spans="1:11" x14ac:dyDescent="0.25">
      <c r="A10" s="821"/>
      <c r="B10" s="817"/>
      <c r="C10" s="817"/>
      <c r="D10" s="817"/>
      <c r="E10" s="817"/>
      <c r="F10" s="816" t="s">
        <v>991</v>
      </c>
      <c r="G10" s="832" t="s">
        <v>14</v>
      </c>
      <c r="H10" s="833"/>
      <c r="I10" s="834"/>
      <c r="J10" s="831"/>
      <c r="K10" s="831"/>
    </row>
    <row r="11" spans="1:11" x14ac:dyDescent="0.25">
      <c r="A11" s="821"/>
      <c r="B11" s="817"/>
      <c r="C11" s="817"/>
      <c r="D11" s="817"/>
      <c r="E11" s="817"/>
      <c r="F11" s="817"/>
      <c r="G11" s="835" t="s">
        <v>933</v>
      </c>
      <c r="H11" s="836"/>
      <c r="I11" s="837" t="str">
        <f>"плановые затраты (" &amp; год &amp; " г.)"</f>
        <v>плановые затраты (2030 г.)</v>
      </c>
      <c r="J11" s="831" t="s">
        <v>230</v>
      </c>
      <c r="K11" s="831" t="s">
        <v>214</v>
      </c>
    </row>
    <row r="12" spans="1:11" ht="45" x14ac:dyDescent="0.25">
      <c r="A12" s="822"/>
      <c r="B12" s="818"/>
      <c r="C12" s="818"/>
      <c r="D12" s="818"/>
      <c r="E12" s="818"/>
      <c r="F12" s="818"/>
      <c r="G12" s="157" t="s">
        <v>26</v>
      </c>
      <c r="H12" s="157" t="s">
        <v>572</v>
      </c>
      <c r="I12" s="838"/>
      <c r="J12" s="831"/>
      <c r="K12" s="831"/>
    </row>
    <row r="13" spans="1:11" s="355" customFormat="1" x14ac:dyDescent="0.25">
      <c r="A13" s="130">
        <v>1</v>
      </c>
      <c r="B13" s="130">
        <v>2</v>
      </c>
      <c r="C13" s="130">
        <v>3</v>
      </c>
      <c r="D13" s="130">
        <v>4</v>
      </c>
      <c r="E13" s="130">
        <v>5</v>
      </c>
      <c r="F13" s="130">
        <v>6</v>
      </c>
      <c r="G13" s="371" t="s">
        <v>368</v>
      </c>
      <c r="H13" s="371" t="s">
        <v>369</v>
      </c>
      <c r="I13" s="371" t="s">
        <v>370</v>
      </c>
      <c r="J13" s="371" t="s">
        <v>371</v>
      </c>
      <c r="K13" s="371" t="s">
        <v>73</v>
      </c>
    </row>
    <row r="14" spans="1:11" ht="105" customHeight="1" x14ac:dyDescent="0.25">
      <c r="A14" s="229">
        <v>1</v>
      </c>
      <c r="B14" s="229" t="s">
        <v>591</v>
      </c>
      <c r="C14" s="229" t="s">
        <v>605</v>
      </c>
      <c r="D14" s="229" t="s">
        <v>589</v>
      </c>
      <c r="E14" s="667" t="str">
        <f>год&amp;"г."</f>
        <v>2030г.</v>
      </c>
      <c r="F14" s="149">
        <f>289104*13.2*103.6/100*103.5/100*102.6/100*104.2/100*104.2/100</f>
        <v>4558384.295353109</v>
      </c>
      <c r="G14" s="143" t="s">
        <v>306</v>
      </c>
      <c r="H14" s="143" t="s">
        <v>306</v>
      </c>
      <c r="I14" s="149">
        <f>F14</f>
        <v>4558384.295353109</v>
      </c>
      <c r="J14" s="229" t="s">
        <v>590</v>
      </c>
      <c r="K14" s="157" t="s">
        <v>571</v>
      </c>
    </row>
    <row r="15" spans="1:11" ht="50.25" customHeight="1" x14ac:dyDescent="0.25">
      <c r="A15" s="830" t="s">
        <v>372</v>
      </c>
      <c r="B15" s="830"/>
      <c r="C15" s="151" t="s">
        <v>306</v>
      </c>
      <c r="D15" s="151" t="s">
        <v>306</v>
      </c>
      <c r="E15" s="151" t="s">
        <v>306</v>
      </c>
      <c r="F15" s="159">
        <f>SUM(F14:F14)</f>
        <v>4558384.295353109</v>
      </c>
      <c r="G15" s="159">
        <f>SUM(G14:G14)</f>
        <v>0</v>
      </c>
      <c r="H15" s="159">
        <f>SUM(H14:H14)</f>
        <v>0</v>
      </c>
      <c r="I15" s="159">
        <f>SUM(I14:I14)</f>
        <v>4558384.295353109</v>
      </c>
      <c r="J15" s="151" t="s">
        <v>306</v>
      </c>
      <c r="K15" s="151" t="s">
        <v>306</v>
      </c>
    </row>
    <row r="16" spans="1:11" s="356" customFormat="1" ht="315" customHeight="1" x14ac:dyDescent="0.25">
      <c r="A16" s="819" t="s">
        <v>978</v>
      </c>
      <c r="B16" s="819"/>
      <c r="C16" s="819"/>
      <c r="D16" s="819"/>
      <c r="E16" s="819"/>
      <c r="F16" s="819"/>
      <c r="G16" s="819"/>
      <c r="H16" s="819"/>
      <c r="I16" s="819"/>
      <c r="J16" s="819"/>
      <c r="K16" s="819"/>
    </row>
    <row r="17" spans="1:11" ht="42" customHeight="1" x14ac:dyDescent="0.25">
      <c r="A17" s="771" t="str">
        <f>Плановая2!A60</f>
        <v>Первый заместитель Генерального директора ООО "Бенефит Бизнес"</v>
      </c>
      <c r="B17" s="771"/>
      <c r="C17" s="771"/>
      <c r="D17" s="771"/>
      <c r="F17" s="771"/>
      <c r="G17" s="771"/>
      <c r="H17" s="771"/>
      <c r="I17" s="771"/>
      <c r="J17" s="771"/>
      <c r="K17" s="771"/>
    </row>
    <row r="18" spans="1:11" ht="41.25" customHeight="1" x14ac:dyDescent="0.25">
      <c r="A18" s="746" t="s">
        <v>492</v>
      </c>
      <c r="B18" s="746"/>
      <c r="C18" s="746"/>
      <c r="D18" s="746"/>
      <c r="F18" s="746"/>
      <c r="G18" s="746"/>
      <c r="H18" s="746"/>
      <c r="I18" s="746"/>
      <c r="J18" s="746"/>
      <c r="K18" s="746"/>
    </row>
    <row r="19" spans="1:11" ht="15.75" customHeight="1" x14ac:dyDescent="0.25">
      <c r="A19" s="829" t="s">
        <v>349</v>
      </c>
      <c r="B19" s="829"/>
      <c r="C19" s="829" t="s">
        <v>498</v>
      </c>
      <c r="D19" s="829"/>
      <c r="F19" s="429"/>
      <c r="G19" s="429"/>
      <c r="H19" s="429"/>
      <c r="I19" s="429"/>
      <c r="J19" s="429"/>
      <c r="K19" s="429"/>
    </row>
    <row r="20" spans="1:11" ht="21" customHeight="1" x14ac:dyDescent="0.25">
      <c r="A20" s="824" t="str">
        <f>Плановая2!A63</f>
        <v>"07" апреля  2025 г.</v>
      </c>
      <c r="B20" s="824"/>
      <c r="C20" s="824"/>
      <c r="F20" s="355"/>
      <c r="G20" s="355"/>
      <c r="H20" s="355"/>
      <c r="I20" s="355"/>
    </row>
    <row r="21" spans="1:11" ht="15.75" customHeight="1" x14ac:dyDescent="0.25">
      <c r="A21" s="430"/>
      <c r="B21" s="355"/>
      <c r="C21" s="355"/>
      <c r="E21" s="355"/>
      <c r="F21" s="355"/>
    </row>
    <row r="22" spans="1:11" s="431" customFormat="1" ht="9.75" customHeight="1" x14ac:dyDescent="0.25">
      <c r="D22" s="355"/>
      <c r="F22" s="432"/>
    </row>
    <row r="23" spans="1:11" ht="12" customHeight="1" x14ac:dyDescent="0.25">
      <c r="F23" s="418"/>
    </row>
    <row r="24" spans="1:11" ht="11.25" customHeight="1" x14ac:dyDescent="0.25"/>
    <row r="25" spans="1:11" ht="18" customHeight="1" x14ac:dyDescent="0.25">
      <c r="A25" s="433"/>
      <c r="B25" s="433"/>
      <c r="C25" s="433"/>
      <c r="D25" s="434"/>
      <c r="E25" s="433"/>
      <c r="F25" s="433"/>
      <c r="G25" s="433"/>
      <c r="H25" s="433"/>
      <c r="I25" s="433"/>
    </row>
    <row r="26" spans="1:11" ht="27" customHeight="1" x14ac:dyDescent="0.25">
      <c r="A26" s="433"/>
      <c r="B26" s="433"/>
      <c r="C26" s="433"/>
      <c r="D26" s="434"/>
      <c r="E26" s="433"/>
      <c r="F26" s="433"/>
      <c r="G26" s="433"/>
      <c r="H26" s="433"/>
      <c r="I26" s="433"/>
    </row>
    <row r="27" spans="1:11" ht="27" customHeight="1" x14ac:dyDescent="0.25">
      <c r="A27" s="433"/>
      <c r="B27" s="433"/>
      <c r="C27" s="433"/>
      <c r="D27" s="434"/>
      <c r="E27" s="433"/>
      <c r="F27" s="433"/>
      <c r="G27" s="433"/>
      <c r="H27" s="433"/>
      <c r="I27" s="433"/>
    </row>
    <row r="28" spans="1:11" ht="27" customHeight="1" x14ac:dyDescent="0.25">
      <c r="A28" s="433"/>
      <c r="B28" s="433"/>
      <c r="C28" s="433"/>
      <c r="D28" s="434"/>
      <c r="E28" s="433"/>
      <c r="F28" s="433"/>
      <c r="G28" s="433"/>
      <c r="H28" s="433"/>
      <c r="I28" s="433"/>
    </row>
    <row r="29" spans="1:11" ht="27" customHeight="1" x14ac:dyDescent="0.25">
      <c r="A29" s="433"/>
      <c r="B29" s="433"/>
      <c r="C29" s="433"/>
      <c r="D29" s="434"/>
      <c r="E29" s="433"/>
      <c r="F29" s="433"/>
      <c r="G29" s="433"/>
      <c r="H29" s="433"/>
      <c r="I29" s="433"/>
    </row>
    <row r="30" spans="1:11" ht="27" customHeight="1" x14ac:dyDescent="0.25">
      <c r="A30" s="433"/>
      <c r="B30" s="433"/>
      <c r="C30" s="433"/>
      <c r="D30" s="434"/>
      <c r="E30" s="433"/>
      <c r="F30" s="433"/>
      <c r="G30" s="433"/>
      <c r="H30" s="433"/>
      <c r="I30" s="433"/>
    </row>
    <row r="31" spans="1:11" ht="6" customHeight="1" x14ac:dyDescent="0.25">
      <c r="A31" s="433"/>
      <c r="B31" s="433"/>
      <c r="C31" s="433"/>
      <c r="D31" s="434"/>
      <c r="E31" s="433"/>
      <c r="F31" s="433"/>
      <c r="G31" s="433"/>
      <c r="H31" s="433"/>
      <c r="I31" s="433"/>
    </row>
    <row r="32" spans="1:11" x14ac:dyDescent="0.25">
      <c r="A32" s="433"/>
      <c r="B32" s="433"/>
      <c r="C32" s="433"/>
      <c r="D32" s="434"/>
      <c r="E32" s="433"/>
      <c r="F32" s="435"/>
      <c r="G32" s="433"/>
      <c r="H32" s="433"/>
      <c r="I32" s="433"/>
    </row>
    <row r="33" spans="1:9" x14ac:dyDescent="0.25">
      <c r="A33" s="433"/>
      <c r="B33" s="433"/>
      <c r="C33" s="433"/>
      <c r="D33" s="434"/>
      <c r="E33" s="433"/>
      <c r="F33" s="436"/>
      <c r="G33" s="433"/>
      <c r="H33" s="433"/>
      <c r="I33" s="433"/>
    </row>
    <row r="34" spans="1:9" x14ac:dyDescent="0.25">
      <c r="A34" s="433"/>
      <c r="B34" s="433"/>
      <c r="C34" s="433"/>
      <c r="D34" s="434"/>
      <c r="E34" s="433"/>
      <c r="F34" s="437"/>
      <c r="G34" s="433"/>
      <c r="H34" s="433"/>
      <c r="I34" s="433"/>
    </row>
    <row r="35" spans="1:9" x14ac:dyDescent="0.25">
      <c r="A35" s="433"/>
      <c r="B35" s="433"/>
      <c r="C35" s="433"/>
      <c r="D35" s="434"/>
      <c r="E35" s="433"/>
      <c r="F35" s="435"/>
      <c r="G35" s="433"/>
      <c r="H35" s="433"/>
      <c r="I35" s="433"/>
    </row>
    <row r="36" spans="1:9" x14ac:dyDescent="0.25">
      <c r="A36" s="433"/>
      <c r="B36" s="433"/>
      <c r="C36" s="433"/>
      <c r="D36" s="434"/>
      <c r="E36" s="433"/>
      <c r="F36" s="433"/>
      <c r="G36" s="433"/>
      <c r="H36" s="433"/>
      <c r="I36" s="433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K11:K12"/>
    <mergeCell ref="F9:I9"/>
    <mergeCell ref="F10:F12"/>
    <mergeCell ref="A16:K16"/>
    <mergeCell ref="A17:D17"/>
    <mergeCell ref="A18:D18"/>
    <mergeCell ref="F17:K17"/>
    <mergeCell ref="F18:K18"/>
    <mergeCell ref="A9:A12"/>
    <mergeCell ref="B9:B12"/>
    <mergeCell ref="C9:C12"/>
    <mergeCell ref="D9:D12"/>
    <mergeCell ref="E9:E12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5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46" bestFit="1" customWidth="1"/>
    <col min="2" max="2" width="42.28515625" style="46" customWidth="1"/>
    <col min="3" max="3" width="10.140625" style="47" customWidth="1"/>
    <col min="4" max="4" width="9.140625" style="47" customWidth="1"/>
    <col min="5" max="5" width="14.140625" style="47" customWidth="1"/>
    <col min="6" max="6" width="12.42578125" style="47" customWidth="1"/>
    <col min="7" max="7" width="12.85546875" style="47" customWidth="1"/>
    <col min="8" max="8" width="13.140625" style="47" customWidth="1"/>
    <col min="9" max="9" width="14.85546875" style="47" customWidth="1"/>
    <col min="10" max="10" width="13.42578125" style="47" customWidth="1"/>
    <col min="11" max="11" width="14.7109375" style="47" customWidth="1"/>
    <col min="12" max="12" width="19.28515625" style="47" customWidth="1"/>
    <col min="13" max="13" width="12.7109375" style="42" bestFit="1" customWidth="1"/>
    <col min="14" max="14" width="17.7109375" style="42" bestFit="1" customWidth="1"/>
    <col min="15" max="16384" width="9.140625" style="42"/>
  </cols>
  <sheetData>
    <row r="1" spans="1:14" x14ac:dyDescent="0.25">
      <c r="L1" s="438" t="s">
        <v>83</v>
      </c>
    </row>
    <row r="2" spans="1:14" x14ac:dyDescent="0.25">
      <c r="A2" s="847" t="s">
        <v>3</v>
      </c>
      <c r="B2" s="847"/>
      <c r="C2" s="847"/>
      <c r="D2" s="847"/>
      <c r="E2" s="847"/>
      <c r="F2" s="847"/>
      <c r="G2" s="847"/>
      <c r="H2" s="847"/>
      <c r="I2" s="847"/>
      <c r="J2" s="847"/>
      <c r="K2" s="847"/>
      <c r="L2" s="847"/>
    </row>
    <row r="3" spans="1:14" ht="18" customHeight="1" x14ac:dyDescent="0.25">
      <c r="A3" s="847" t="s">
        <v>575</v>
      </c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</row>
    <row r="4" spans="1:14" ht="63" customHeight="1" x14ac:dyDescent="0.25">
      <c r="A4" s="8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49"/>
      <c r="C4" s="849"/>
      <c r="D4" s="849"/>
      <c r="E4" s="849"/>
      <c r="F4" s="849"/>
      <c r="G4" s="849"/>
      <c r="H4" s="849"/>
      <c r="I4" s="849"/>
      <c r="J4" s="849"/>
      <c r="K4" s="849"/>
      <c r="L4" s="849"/>
    </row>
    <row r="5" spans="1:14" s="439" customFormat="1" ht="34.5" customHeight="1" x14ac:dyDescent="0.25">
      <c r="A5" s="851" t="s">
        <v>89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</row>
    <row r="6" spans="1:14" ht="24" customHeight="1" x14ac:dyDescent="0.25">
      <c r="A6" s="755" t="s">
        <v>499</v>
      </c>
      <c r="B6" s="839" t="s">
        <v>191</v>
      </c>
      <c r="C6" s="839" t="s">
        <v>934</v>
      </c>
      <c r="D6" s="839"/>
      <c r="E6" s="839"/>
      <c r="F6" s="839"/>
      <c r="G6" s="839"/>
      <c r="H6" s="839"/>
      <c r="I6" s="839"/>
      <c r="J6" s="839"/>
      <c r="K6" s="839"/>
      <c r="L6" s="839"/>
    </row>
    <row r="7" spans="1:14" ht="33.75" customHeight="1" x14ac:dyDescent="0.25">
      <c r="A7" s="755"/>
      <c r="B7" s="839"/>
      <c r="C7" s="842" t="s">
        <v>339</v>
      </c>
      <c r="D7" s="843"/>
      <c r="E7" s="843"/>
      <c r="F7" s="839" t="s">
        <v>340</v>
      </c>
      <c r="G7" s="839"/>
      <c r="H7" s="839"/>
      <c r="I7" s="839"/>
      <c r="J7" s="839" t="s">
        <v>238</v>
      </c>
      <c r="K7" s="839"/>
      <c r="L7" s="839"/>
    </row>
    <row r="8" spans="1:14" ht="76.5" customHeight="1" x14ac:dyDescent="0.25">
      <c r="A8" s="755"/>
      <c r="B8" s="839"/>
      <c r="C8" s="839" t="s">
        <v>612</v>
      </c>
      <c r="D8" s="839"/>
      <c r="E8" s="440" t="str">
        <f>"планируемый период: " &amp; год &amp; " г."</f>
        <v>планируемый период: 2030 г.</v>
      </c>
      <c r="F8" s="839" t="s">
        <v>894</v>
      </c>
      <c r="G8" s="839"/>
      <c r="H8" s="839" t="s">
        <v>992</v>
      </c>
      <c r="I8" s="440" t="str">
        <f>"планируемый период: " &amp; год &amp; " г."</f>
        <v>планируемый период: 2030 г.</v>
      </c>
      <c r="J8" s="839" t="s">
        <v>935</v>
      </c>
      <c r="K8" s="839"/>
      <c r="L8" s="440" t="str">
        <f>"планируемый период: " &amp; год &amp; " г."</f>
        <v>планируемый период: 2030 г.</v>
      </c>
    </row>
    <row r="9" spans="1:14" ht="33" customHeight="1" x14ac:dyDescent="0.25">
      <c r="A9" s="755"/>
      <c r="B9" s="839"/>
      <c r="C9" s="441" t="s">
        <v>26</v>
      </c>
      <c r="D9" s="441" t="s">
        <v>25</v>
      </c>
      <c r="E9" s="441" t="s">
        <v>26</v>
      </c>
      <c r="F9" s="441" t="s">
        <v>26</v>
      </c>
      <c r="G9" s="441" t="s">
        <v>25</v>
      </c>
      <c r="H9" s="839"/>
      <c r="I9" s="441" t="s">
        <v>26</v>
      </c>
      <c r="J9" s="441" t="s">
        <v>26</v>
      </c>
      <c r="K9" s="441" t="s">
        <v>25</v>
      </c>
      <c r="L9" s="441" t="s">
        <v>26</v>
      </c>
    </row>
    <row r="10" spans="1:14" s="45" customFormat="1" ht="12" customHeight="1" x14ac:dyDescent="0.25">
      <c r="A10" s="24">
        <v>1</v>
      </c>
      <c r="B10" s="24">
        <v>2</v>
      </c>
      <c r="C10" s="24">
        <v>3</v>
      </c>
      <c r="D10" s="24">
        <v>4</v>
      </c>
      <c r="E10" s="442">
        <v>5</v>
      </c>
      <c r="F10" s="442">
        <v>6</v>
      </c>
      <c r="G10" s="442">
        <v>7</v>
      </c>
      <c r="H10" s="442">
        <v>8</v>
      </c>
      <c r="I10" s="442">
        <v>9</v>
      </c>
      <c r="J10" s="443">
        <v>10</v>
      </c>
      <c r="K10" s="440">
        <v>11</v>
      </c>
      <c r="L10" s="440">
        <v>12</v>
      </c>
    </row>
    <row r="11" spans="1:14" s="45" customFormat="1" ht="12" customHeight="1" x14ac:dyDescent="0.25">
      <c r="A11" s="226"/>
      <c r="B11" s="226" t="str">
        <f>"ЭТАП 1 ("&amp;год&amp;"г.)"</f>
        <v>ЭТАП 1 (2030г.)</v>
      </c>
      <c r="C11" s="367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</row>
    <row r="12" spans="1:14" ht="135" customHeight="1" x14ac:dyDescent="0.25">
      <c r="A12" s="224">
        <v>1</v>
      </c>
      <c r="B12" s="22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130" t="s">
        <v>306</v>
      </c>
      <c r="D12" s="130" t="s">
        <v>306</v>
      </c>
      <c r="E12" s="444">
        <f>'9 НИР ОКР'!F15</f>
        <v>600</v>
      </c>
      <c r="F12" s="130">
        <f>стоимость_нормочаса</f>
        <v>496.96</v>
      </c>
      <c r="G12" s="130">
        <f>стоимость_нормочаса</f>
        <v>496.96</v>
      </c>
      <c r="H12" s="668">
        <f>105.7*104.1/100*102.6/100*102.6/100*102.6/100</f>
        <v>118.84141089591118</v>
      </c>
      <c r="I12" s="444">
        <f>G12*H12/100</f>
        <v>590.59427558832022</v>
      </c>
      <c r="J12" s="130" t="s">
        <v>306</v>
      </c>
      <c r="K12" s="130" t="s">
        <v>306</v>
      </c>
      <c r="L12" s="445">
        <f>E12*I12</f>
        <v>354356.56535299215</v>
      </c>
      <c r="N12" s="446"/>
    </row>
    <row r="13" spans="1:14" ht="251.25" customHeight="1" x14ac:dyDescent="0.25">
      <c r="A13" s="224">
        <v>2</v>
      </c>
      <c r="B13" s="224" t="s">
        <v>588</v>
      </c>
      <c r="C13" s="130" t="s">
        <v>306</v>
      </c>
      <c r="D13" s="130" t="s">
        <v>306</v>
      </c>
      <c r="E13" s="130" t="s">
        <v>306</v>
      </c>
      <c r="F13" s="130" t="s">
        <v>306</v>
      </c>
      <c r="G13" s="130" t="s">
        <v>306</v>
      </c>
      <c r="H13" s="130" t="s">
        <v>306</v>
      </c>
      <c r="I13" s="130" t="s">
        <v>306</v>
      </c>
      <c r="J13" s="130" t="s">
        <v>306</v>
      </c>
      <c r="K13" s="130"/>
      <c r="L13" s="445">
        <f>'9 НИР ОКР'!J15</f>
        <v>66146.558865891871</v>
      </c>
      <c r="N13" s="446"/>
    </row>
    <row r="14" spans="1:14" s="451" customFormat="1" x14ac:dyDescent="0.25">
      <c r="A14" s="447"/>
      <c r="B14" s="669" t="str">
        <f>"ИТОГО на 1 этап ("&amp;год&amp;"г.)"</f>
        <v>ИТОГО на 1 этап (2030г.)</v>
      </c>
      <c r="C14" s="448" t="s">
        <v>50</v>
      </c>
      <c r="D14" s="449">
        <f>SUM(D12:D12)</f>
        <v>0</v>
      </c>
      <c r="E14" s="449">
        <f>SUM(E12:E12)</f>
        <v>600</v>
      </c>
      <c r="F14" s="367" t="s">
        <v>306</v>
      </c>
      <c r="G14" s="367" t="s">
        <v>306</v>
      </c>
      <c r="H14" s="448" t="s">
        <v>50</v>
      </c>
      <c r="I14" s="450" t="s">
        <v>50</v>
      </c>
      <c r="J14" s="448" t="s">
        <v>50</v>
      </c>
      <c r="K14" s="449">
        <f>SUM(K12:K12)</f>
        <v>0</v>
      </c>
      <c r="L14" s="449">
        <f>L12+L13</f>
        <v>420503.12421888404</v>
      </c>
    </row>
    <row r="15" spans="1:14" ht="198" customHeight="1" x14ac:dyDescent="0.25">
      <c r="A15" s="852" t="s">
        <v>993</v>
      </c>
      <c r="B15" s="853"/>
      <c r="C15" s="853"/>
      <c r="D15" s="853"/>
      <c r="E15" s="853"/>
      <c r="F15" s="853"/>
      <c r="G15" s="853"/>
      <c r="H15" s="853"/>
      <c r="I15" s="853"/>
      <c r="J15" s="853"/>
      <c r="K15" s="853"/>
      <c r="L15" s="853"/>
    </row>
    <row r="16" spans="1:14" s="451" customFormat="1" ht="39.950000000000003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/>
      <c r="F16" s="850"/>
      <c r="G16" s="850"/>
      <c r="H16" s="840" t="s">
        <v>304</v>
      </c>
      <c r="I16" s="841"/>
      <c r="J16" s="841"/>
      <c r="K16" s="841"/>
      <c r="L16" s="841"/>
    </row>
    <row r="17" spans="1:12" s="451" customFormat="1" ht="43.5" customHeight="1" x14ac:dyDescent="0.25">
      <c r="A17" s="844" t="s">
        <v>415</v>
      </c>
      <c r="B17" s="844"/>
      <c r="C17" s="844"/>
      <c r="D17" s="844"/>
      <c r="E17" s="844"/>
      <c r="F17" s="844"/>
      <c r="G17" s="844"/>
      <c r="H17" s="844" t="s">
        <v>400</v>
      </c>
      <c r="I17" s="844"/>
      <c r="J17" s="844"/>
      <c r="K17" s="844"/>
      <c r="L17" s="844"/>
    </row>
    <row r="18" spans="1:12" ht="13.5" customHeight="1" x14ac:dyDescent="0.25">
      <c r="A18" s="845" t="s">
        <v>527</v>
      </c>
      <c r="B18" s="845"/>
      <c r="C18" s="845"/>
      <c r="D18" s="845"/>
      <c r="E18" s="845"/>
      <c r="F18" s="845"/>
      <c r="G18" s="845"/>
      <c r="H18" s="22" t="s">
        <v>401</v>
      </c>
      <c r="I18" s="22"/>
      <c r="J18" s="845" t="s">
        <v>500</v>
      </c>
      <c r="K18" s="845"/>
      <c r="L18" s="845"/>
    </row>
    <row r="19" spans="1:12" ht="15.75" customHeight="1" x14ac:dyDescent="0.25">
      <c r="A19" s="846" t="str">
        <f>Плановая2!A63</f>
        <v>"07" апреля  2025 г.</v>
      </c>
      <c r="B19" s="846"/>
      <c r="C19" s="21"/>
      <c r="D19" s="21"/>
      <c r="H19" s="846" t="str">
        <f>A19</f>
        <v>"07" апреля  2025 г.</v>
      </c>
      <c r="I19" s="846"/>
      <c r="J19" s="846"/>
      <c r="K19" s="21"/>
    </row>
    <row r="20" spans="1:12" ht="15.75" customHeight="1" x14ac:dyDescent="0.25">
      <c r="A20" s="48"/>
      <c r="B20" s="48"/>
      <c r="C20" s="455"/>
      <c r="D20" s="49"/>
      <c r="E20" s="50"/>
      <c r="F20" s="51"/>
      <c r="I20" s="52"/>
      <c r="J20" s="52"/>
      <c r="K20" s="52"/>
      <c r="L20" s="456"/>
    </row>
    <row r="21" spans="1:12" x14ac:dyDescent="0.25">
      <c r="A21" s="457"/>
      <c r="B21" s="457"/>
      <c r="C21" s="457"/>
      <c r="D21" s="457"/>
      <c r="E21" s="357"/>
      <c r="F21" s="13"/>
      <c r="G21" s="13"/>
      <c r="H21" s="13"/>
    </row>
    <row r="22" spans="1:12" x14ac:dyDescent="0.25">
      <c r="A22" s="748"/>
      <c r="B22" s="748"/>
      <c r="C22" s="748"/>
      <c r="D22" s="748"/>
      <c r="E22" s="748"/>
      <c r="F22" s="13"/>
      <c r="G22" s="357"/>
      <c r="H22" s="357"/>
    </row>
    <row r="23" spans="1:12" ht="12.75" customHeight="1" x14ac:dyDescent="0.25">
      <c r="F23" s="13"/>
      <c r="G23" s="13"/>
      <c r="H23" s="13"/>
      <c r="I23" s="21"/>
      <c r="J23" s="21"/>
      <c r="K23" s="21"/>
      <c r="L23" s="21"/>
    </row>
    <row r="24" spans="1:12" ht="34.5" customHeight="1" x14ac:dyDescent="0.25">
      <c r="F24" s="13"/>
      <c r="G24" s="14"/>
      <c r="H24" s="14"/>
      <c r="I24" s="21"/>
      <c r="J24" s="21"/>
      <c r="K24" s="21"/>
      <c r="L24" s="21"/>
    </row>
    <row r="25" spans="1:12" ht="21" customHeight="1" x14ac:dyDescent="0.25">
      <c r="F25" s="21"/>
      <c r="G25" s="21"/>
      <c r="H25" s="21"/>
      <c r="I25" s="21"/>
      <c r="J25" s="21"/>
      <c r="K25" s="21"/>
      <c r="L25" s="21"/>
    </row>
    <row r="26" spans="1:12" x14ac:dyDescent="0.25">
      <c r="F26" s="13"/>
      <c r="G26" s="13"/>
      <c r="H26" s="13"/>
      <c r="I26" s="21"/>
      <c r="J26" s="21"/>
      <c r="K26" s="21"/>
      <c r="L26" s="21"/>
    </row>
    <row r="27" spans="1:12" x14ac:dyDescent="0.25">
      <c r="F27" s="13"/>
      <c r="G27" s="415"/>
      <c r="H27" s="415"/>
      <c r="I27" s="21"/>
      <c r="J27" s="21"/>
      <c r="K27" s="21"/>
      <c r="L27" s="21"/>
    </row>
    <row r="28" spans="1:12" ht="11.25" customHeight="1" x14ac:dyDescent="0.25">
      <c r="F28" s="13"/>
      <c r="G28" s="13"/>
      <c r="H28" s="13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3" spans="3:3" x14ac:dyDescent="0.25">
      <c r="C33" s="4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10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355" customWidth="1"/>
    <col min="2" max="2" width="48.28515625" style="13" customWidth="1"/>
    <col min="3" max="3" width="14.85546875" style="13" customWidth="1"/>
    <col min="4" max="4" width="11.42578125" style="458" customWidth="1"/>
    <col min="5" max="5" width="13.140625" style="13" customWidth="1"/>
    <col min="6" max="6" width="11.7109375" style="13" customWidth="1"/>
    <col min="7" max="7" width="12" style="13" customWidth="1"/>
    <col min="8" max="8" width="15.7109375" style="13" customWidth="1"/>
    <col min="9" max="9" width="5.140625" style="13" customWidth="1"/>
    <col min="10" max="10" width="13.28515625" style="13" customWidth="1"/>
    <col min="11" max="11" width="5.28515625" style="13" customWidth="1"/>
    <col min="12" max="12" width="10.140625" style="13" customWidth="1"/>
    <col min="13" max="13" width="4.140625" style="13" customWidth="1"/>
    <col min="14" max="14" width="11.28515625" style="13" customWidth="1"/>
    <col min="15" max="16384" width="0.85546875" style="13"/>
  </cols>
  <sheetData>
    <row r="1" spans="1:14" x14ac:dyDescent="0.25">
      <c r="K1" s="863" t="s">
        <v>373</v>
      </c>
      <c r="L1" s="863"/>
      <c r="M1" s="863"/>
      <c r="N1" s="863"/>
    </row>
    <row r="2" spans="1:14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</row>
    <row r="3" spans="1:14" ht="16.5" x14ac:dyDescent="0.25">
      <c r="B3" s="789" t="s">
        <v>936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</row>
    <row r="4" spans="1:14" ht="45.75" customHeight="1" x14ac:dyDescent="0.25">
      <c r="A4" s="86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</row>
    <row r="5" spans="1:14" x14ac:dyDescent="0.25">
      <c r="A5" s="857" t="s">
        <v>363</v>
      </c>
      <c r="B5" s="858"/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</row>
    <row r="7" spans="1:14" ht="21" customHeight="1" x14ac:dyDescent="0.25">
      <c r="A7" s="865" t="s">
        <v>44</v>
      </c>
      <c r="B7" s="755" t="s">
        <v>374</v>
      </c>
      <c r="C7" s="755" t="s">
        <v>375</v>
      </c>
      <c r="D7" s="866" t="s">
        <v>480</v>
      </c>
      <c r="E7" s="867" t="s">
        <v>426</v>
      </c>
      <c r="F7" s="869" t="s">
        <v>381</v>
      </c>
      <c r="G7" s="869"/>
      <c r="H7" s="869"/>
      <c r="I7" s="869"/>
      <c r="J7" s="869"/>
      <c r="K7" s="869"/>
      <c r="L7" s="869"/>
      <c r="M7" s="869"/>
      <c r="N7" s="868" t="s">
        <v>18</v>
      </c>
    </row>
    <row r="8" spans="1:14" ht="67.5" customHeight="1" x14ac:dyDescent="0.25">
      <c r="A8" s="865"/>
      <c r="B8" s="755"/>
      <c r="C8" s="755"/>
      <c r="D8" s="866"/>
      <c r="E8" s="867"/>
      <c r="F8" s="859" t="s">
        <v>587</v>
      </c>
      <c r="G8" s="808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55" t="s">
        <v>376</v>
      </c>
      <c r="I8" s="755" t="s">
        <v>377</v>
      </c>
      <c r="J8" s="755"/>
      <c r="K8" s="755"/>
      <c r="L8" s="755"/>
      <c r="M8" s="755"/>
      <c r="N8" s="868"/>
    </row>
    <row r="9" spans="1:14" ht="168" customHeight="1" x14ac:dyDescent="0.25">
      <c r="A9" s="865"/>
      <c r="B9" s="755"/>
      <c r="C9" s="755"/>
      <c r="D9" s="866"/>
      <c r="E9" s="867"/>
      <c r="F9" s="859"/>
      <c r="G9" s="808"/>
      <c r="H9" s="755"/>
      <c r="I9" s="459" t="s">
        <v>382</v>
      </c>
      <c r="J9" s="459" t="s">
        <v>378</v>
      </c>
      <c r="K9" s="459" t="s">
        <v>379</v>
      </c>
      <c r="L9" s="859" t="s">
        <v>380</v>
      </c>
      <c r="M9" s="859"/>
      <c r="N9" s="868"/>
    </row>
    <row r="10" spans="1:14" x14ac:dyDescent="0.25">
      <c r="A10" s="130">
        <v>1</v>
      </c>
      <c r="B10" s="460">
        <v>2</v>
      </c>
      <c r="C10" s="460">
        <v>3</v>
      </c>
      <c r="D10" s="461">
        <v>4</v>
      </c>
      <c r="E10" s="460">
        <v>5</v>
      </c>
      <c r="F10" s="460">
        <v>6</v>
      </c>
      <c r="G10" s="674">
        <v>7</v>
      </c>
      <c r="H10" s="460">
        <v>8</v>
      </c>
      <c r="I10" s="460">
        <v>9</v>
      </c>
      <c r="J10" s="460">
        <v>10</v>
      </c>
      <c r="K10" s="460">
        <v>11</v>
      </c>
      <c r="L10" s="862">
        <v>12</v>
      </c>
      <c r="M10" s="862"/>
      <c r="N10" s="460">
        <v>13</v>
      </c>
    </row>
    <row r="11" spans="1:14" x14ac:dyDescent="0.25">
      <c r="A11" s="671" t="s">
        <v>38</v>
      </c>
      <c r="B11" s="656" t="str">
        <f>"Плановые трудозатраты на "&amp;год&amp;" год. "</f>
        <v xml:space="preserve">Плановые трудозатраты на 2030 год. </v>
      </c>
      <c r="C11" s="658" t="str">
        <f>год &amp; "г."</f>
        <v>2030г.</v>
      </c>
      <c r="D11" s="672" t="s">
        <v>306</v>
      </c>
      <c r="E11" s="672" t="s">
        <v>306</v>
      </c>
      <c r="F11" s="672" t="s">
        <v>306</v>
      </c>
      <c r="G11" s="675" t="s">
        <v>306</v>
      </c>
      <c r="H11" s="672" t="s">
        <v>306</v>
      </c>
      <c r="I11" s="860" t="s">
        <v>306</v>
      </c>
      <c r="J11" s="861"/>
      <c r="K11" s="861"/>
      <c r="L11" s="861"/>
      <c r="M11" s="861"/>
      <c r="N11" s="861"/>
    </row>
    <row r="12" spans="1:14" s="380" customFormat="1" ht="140.1" customHeight="1" x14ac:dyDescent="0.2">
      <c r="A12" s="672" t="s">
        <v>5</v>
      </c>
      <c r="B12" s="1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658" t="str">
        <f>год &amp; "г."</f>
        <v>2030г.</v>
      </c>
      <c r="D12" s="672" t="s">
        <v>306</v>
      </c>
      <c r="E12" s="673" t="s">
        <v>481</v>
      </c>
      <c r="F12" s="673">
        <f>F13</f>
        <v>600</v>
      </c>
      <c r="G12" s="676">
        <f>'9 ОЗП'!I$12</f>
        <v>590.59427558832022</v>
      </c>
      <c r="H12" s="673">
        <f>H13</f>
        <v>354356.56535299215</v>
      </c>
      <c r="I12" s="670" t="s">
        <v>306</v>
      </c>
      <c r="J12" s="673">
        <f>J13</f>
        <v>66146.558865891871</v>
      </c>
      <c r="K12" s="670" t="s">
        <v>306</v>
      </c>
      <c r="L12" s="670" t="s">
        <v>306</v>
      </c>
      <c r="M12" s="670" t="s">
        <v>306</v>
      </c>
      <c r="N12" s="670" t="s">
        <v>306</v>
      </c>
    </row>
    <row r="13" spans="1:14" s="368" customFormat="1" ht="122.1" customHeight="1" x14ac:dyDescent="0.2">
      <c r="A13" s="672" t="s">
        <v>573</v>
      </c>
      <c r="B13" s="163" t="s">
        <v>608</v>
      </c>
      <c r="C13" s="658" t="str">
        <f>год &amp; "г."</f>
        <v>2030г.</v>
      </c>
      <c r="D13" s="672" t="s">
        <v>306</v>
      </c>
      <c r="E13" s="672" t="s">
        <v>306</v>
      </c>
      <c r="F13" s="673">
        <v>600</v>
      </c>
      <c r="G13" s="676">
        <f>'9 ОЗП'!I$12</f>
        <v>590.59427558832022</v>
      </c>
      <c r="H13" s="673">
        <f>F13*G13</f>
        <v>354356.56535299215</v>
      </c>
      <c r="I13" s="670" t="s">
        <v>306</v>
      </c>
      <c r="J13" s="670">
        <f>J14</f>
        <v>66146.558865891871</v>
      </c>
      <c r="K13" s="670" t="s">
        <v>306</v>
      </c>
      <c r="L13" s="670" t="s">
        <v>306</v>
      </c>
      <c r="M13" s="670" t="s">
        <v>306</v>
      </c>
      <c r="N13" s="670" t="s">
        <v>306</v>
      </c>
    </row>
    <row r="14" spans="1:14" s="373" customFormat="1" ht="66.95" customHeight="1" x14ac:dyDescent="0.25">
      <c r="A14" s="672" t="s">
        <v>567</v>
      </c>
      <c r="B14" s="163" t="s">
        <v>979</v>
      </c>
      <c r="C14" s="658" t="str">
        <f>год &amp; "г."</f>
        <v>2030г.</v>
      </c>
      <c r="D14" s="672" t="s">
        <v>306</v>
      </c>
      <c r="E14" s="672" t="s">
        <v>306</v>
      </c>
      <c r="F14" s="673">
        <v>280</v>
      </c>
      <c r="G14" s="676">
        <f>'9 ОЗП'!I$12</f>
        <v>590.59427558832022</v>
      </c>
      <c r="H14" s="673">
        <f>F14*G14</f>
        <v>165366.39716472966</v>
      </c>
      <c r="I14" s="670" t="s">
        <v>306</v>
      </c>
      <c r="J14" s="670">
        <f>H14*0.4</f>
        <v>66146.558865891871</v>
      </c>
      <c r="K14" s="670" t="s">
        <v>306</v>
      </c>
      <c r="L14" s="670" t="s">
        <v>306</v>
      </c>
      <c r="M14" s="670" t="s">
        <v>306</v>
      </c>
      <c r="N14" s="670" t="s">
        <v>603</v>
      </c>
    </row>
    <row r="15" spans="1:14" x14ac:dyDescent="0.25">
      <c r="A15" s="854" t="s">
        <v>937</v>
      </c>
      <c r="B15" s="855"/>
      <c r="C15" s="856"/>
      <c r="D15" s="462" t="s">
        <v>306</v>
      </c>
      <c r="E15" s="463" t="s">
        <v>50</v>
      </c>
      <c r="F15" s="133">
        <f>F12</f>
        <v>600</v>
      </c>
      <c r="G15" s="133" t="s">
        <v>306</v>
      </c>
      <c r="H15" s="464">
        <f>H12</f>
        <v>354356.56535299215</v>
      </c>
      <c r="I15" s="162" t="s">
        <v>306</v>
      </c>
      <c r="J15" s="160">
        <f>J12</f>
        <v>66146.558865891871</v>
      </c>
      <c r="K15" s="162" t="s">
        <v>306</v>
      </c>
      <c r="L15" s="162" t="s">
        <v>306</v>
      </c>
      <c r="M15" s="162" t="s">
        <v>306</v>
      </c>
      <c r="N15" s="162" t="s">
        <v>306</v>
      </c>
    </row>
    <row r="16" spans="1:14" ht="197.1" customHeight="1" x14ac:dyDescent="0.25">
      <c r="A16" s="870" t="s">
        <v>993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850"/>
      <c r="F17" s="850"/>
      <c r="G17" s="850" t="str">
        <f>Плановая2!F60</f>
        <v>Главный бухгалтер ООО "Бенефит Бизнес"</v>
      </c>
      <c r="H17" s="850"/>
      <c r="I17" s="850"/>
      <c r="J17" s="850"/>
      <c r="K17" s="850"/>
      <c r="L17" s="850"/>
      <c r="M17" s="850"/>
      <c r="N17" s="850"/>
    </row>
    <row r="18" spans="1:14" ht="34.5" customHeight="1" x14ac:dyDescent="0.25">
      <c r="A18" s="850" t="str">
        <f>Плановая2!A61</f>
        <v>______________________                                              Крутиков П.Ю.</v>
      </c>
      <c r="B18" s="850"/>
      <c r="C18" s="850"/>
      <c r="D18" s="850"/>
      <c r="E18" s="850"/>
      <c r="F18" s="850"/>
      <c r="G18" s="850" t="str">
        <f>Плановая2!F61</f>
        <v>______________ Барышева И.М.</v>
      </c>
      <c r="H18" s="850"/>
      <c r="I18" s="850"/>
      <c r="J18" s="850"/>
      <c r="K18" s="850"/>
      <c r="L18" s="850"/>
      <c r="M18" s="850"/>
      <c r="N18" s="850"/>
    </row>
    <row r="19" spans="1:14" x14ac:dyDescent="0.25">
      <c r="A19" s="871" t="s">
        <v>349</v>
      </c>
      <c r="B19" s="871"/>
      <c r="C19" s="465"/>
      <c r="D19" s="466" t="s">
        <v>0</v>
      </c>
      <c r="E19" s="465"/>
      <c r="F19" s="465"/>
      <c r="G19" s="871" t="s">
        <v>349</v>
      </c>
      <c r="H19" s="871"/>
      <c r="I19" s="465"/>
      <c r="J19" s="465"/>
      <c r="K19" s="465"/>
      <c r="L19" s="467" t="s">
        <v>0</v>
      </c>
      <c r="M19" s="467"/>
      <c r="N19" s="467"/>
    </row>
    <row r="20" spans="1:14" x14ac:dyDescent="0.25">
      <c r="A20" s="872" t="str">
        <f>Плановая2!A63</f>
        <v>"07" апреля  2025 г.</v>
      </c>
      <c r="B20" s="872"/>
      <c r="C20" s="872"/>
      <c r="D20" s="872"/>
      <c r="E20" s="872"/>
      <c r="F20" s="872"/>
      <c r="G20" s="872" t="str">
        <f>A20</f>
        <v>"07" апреля  2025 г.</v>
      </c>
      <c r="H20" s="872"/>
      <c r="I20" s="872"/>
      <c r="J20" s="872"/>
      <c r="K20" s="872"/>
      <c r="L20" s="872"/>
      <c r="M20" s="872"/>
      <c r="N20" s="872"/>
    </row>
  </sheetData>
  <mergeCells count="29">
    <mergeCell ref="A18:F18"/>
    <mergeCell ref="G18:N18"/>
    <mergeCell ref="A19:B19"/>
    <mergeCell ref="G19:H19"/>
    <mergeCell ref="A20:F20"/>
    <mergeCell ref="G20:N20"/>
    <mergeCell ref="A17:F17"/>
    <mergeCell ref="G17:N17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A16:N16"/>
    <mergeCell ref="A15:C15"/>
    <mergeCell ref="H8:H9"/>
    <mergeCell ref="A5:N5"/>
    <mergeCell ref="I8:M8"/>
    <mergeCell ref="L9:M9"/>
    <mergeCell ref="I11:N11"/>
    <mergeCell ref="L10:M1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6"/>
  <sheetViews>
    <sheetView topLeftCell="A8" zoomScaleNormal="100" zoomScaleSheetLayoutView="80" workbookViewId="0">
      <selection activeCell="F14" sqref="F14"/>
    </sheetView>
  </sheetViews>
  <sheetFormatPr defaultColWidth="9.140625" defaultRowHeight="15" x14ac:dyDescent="0.25"/>
  <cols>
    <col min="1" max="1" width="7.42578125" style="677" customWidth="1"/>
    <col min="2" max="2" width="58.140625" style="677" customWidth="1"/>
    <col min="3" max="3" width="22.7109375" style="677" customWidth="1"/>
    <col min="4" max="4" width="19.85546875" style="677" customWidth="1"/>
    <col min="5" max="5" width="9.42578125" style="677" customWidth="1"/>
    <col min="6" max="6" width="19.85546875" style="677" customWidth="1"/>
    <col min="7" max="7" width="57.42578125" style="677" customWidth="1"/>
    <col min="8" max="16384" width="9.140625" style="677"/>
  </cols>
  <sheetData>
    <row r="1" spans="1:7" x14ac:dyDescent="0.25">
      <c r="A1" s="43"/>
      <c r="B1" s="43"/>
      <c r="C1" s="43"/>
      <c r="D1" s="43"/>
      <c r="E1" s="43"/>
      <c r="F1" s="43"/>
      <c r="G1" s="655" t="s">
        <v>124</v>
      </c>
    </row>
    <row r="2" spans="1:7" x14ac:dyDescent="0.25">
      <c r="A2" s="43"/>
      <c r="B2" s="43"/>
      <c r="C2" s="43"/>
      <c r="D2" s="43"/>
      <c r="E2" s="43"/>
      <c r="F2" s="43"/>
      <c r="G2" s="43"/>
    </row>
    <row r="3" spans="1:7" s="451" customFormat="1" ht="27.75" customHeight="1" x14ac:dyDescent="0.25">
      <c r="A3" s="879" t="s">
        <v>3</v>
      </c>
      <c r="B3" s="879"/>
      <c r="C3" s="879"/>
      <c r="D3" s="879"/>
      <c r="E3" s="879"/>
      <c r="F3" s="879"/>
      <c r="G3" s="879"/>
    </row>
    <row r="4" spans="1:7" s="451" customFormat="1" ht="21.75" customHeight="1" x14ac:dyDescent="0.25">
      <c r="A4" s="879" t="s">
        <v>569</v>
      </c>
      <c r="B4" s="890"/>
      <c r="C4" s="890"/>
      <c r="D4" s="890"/>
      <c r="E4" s="890"/>
      <c r="F4" s="890"/>
      <c r="G4" s="890"/>
    </row>
    <row r="5" spans="1:7" s="451" customFormat="1" ht="55.5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x14ac:dyDescent="0.25">
      <c r="A6" s="880" t="s">
        <v>89</v>
      </c>
      <c r="B6" s="880"/>
      <c r="C6" s="880"/>
      <c r="D6" s="880"/>
      <c r="E6" s="880"/>
      <c r="F6" s="880"/>
      <c r="G6" s="880"/>
    </row>
    <row r="7" spans="1:7" x14ac:dyDescent="0.25">
      <c r="A7" s="635"/>
      <c r="B7" s="635"/>
      <c r="C7" s="635"/>
      <c r="D7" s="635"/>
      <c r="E7" s="635"/>
      <c r="F7" s="635"/>
      <c r="G7" s="635"/>
    </row>
    <row r="8" spans="1:7" ht="10.5" customHeight="1" x14ac:dyDescent="0.25">
      <c r="A8" s="43"/>
      <c r="B8" s="43"/>
      <c r="C8" s="43"/>
      <c r="D8" s="43"/>
      <c r="E8" s="43"/>
      <c r="F8" s="43"/>
      <c r="G8" s="655"/>
    </row>
    <row r="9" spans="1:7" ht="50.25" customHeight="1" x14ac:dyDescent="0.25">
      <c r="A9" s="886" t="s">
        <v>84</v>
      </c>
      <c r="B9" s="888" t="s">
        <v>35</v>
      </c>
      <c r="C9" s="884" t="s">
        <v>895</v>
      </c>
      <c r="D9" s="885"/>
      <c r="E9" s="886" t="s">
        <v>308</v>
      </c>
      <c r="F9" s="878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886" t="s">
        <v>245</v>
      </c>
    </row>
    <row r="10" spans="1:7" ht="44.25" customHeight="1" x14ac:dyDescent="0.25">
      <c r="A10" s="887"/>
      <c r="B10" s="889"/>
      <c r="C10" s="648" t="s">
        <v>26</v>
      </c>
      <c r="D10" s="648" t="s">
        <v>570</v>
      </c>
      <c r="E10" s="887"/>
      <c r="F10" s="878"/>
      <c r="G10" s="887"/>
    </row>
    <row r="11" spans="1:7" x14ac:dyDescent="0.25">
      <c r="A11" s="24">
        <v>1</v>
      </c>
      <c r="B11" s="24">
        <v>2</v>
      </c>
      <c r="C11" s="1" t="s">
        <v>40</v>
      </c>
      <c r="D11" s="1" t="s">
        <v>39</v>
      </c>
      <c r="E11" s="1" t="s">
        <v>52</v>
      </c>
      <c r="F11" s="27">
        <v>5</v>
      </c>
      <c r="G11" s="24">
        <v>6</v>
      </c>
    </row>
    <row r="12" spans="1:7" s="684" customFormat="1" ht="165" x14ac:dyDescent="0.25">
      <c r="A12" s="681">
        <v>1</v>
      </c>
      <c r="B12" s="682" t="s">
        <v>595</v>
      </c>
      <c r="C12" s="660" t="s">
        <v>306</v>
      </c>
      <c r="D12" s="660" t="s">
        <v>306</v>
      </c>
      <c r="E12" s="660" t="s">
        <v>306</v>
      </c>
      <c r="F12" s="683">
        <f>250000*104.4/100*104/100*104.2/100*104.2/100*104.2/100</f>
        <v>307098.01092671999</v>
      </c>
      <c r="G12" s="682" t="s">
        <v>586</v>
      </c>
    </row>
    <row r="13" spans="1:7" s="684" customFormat="1" ht="154.5" customHeight="1" x14ac:dyDescent="0.25">
      <c r="A13" s="681">
        <v>2</v>
      </c>
      <c r="B13" s="682" t="s">
        <v>604</v>
      </c>
      <c r="C13" s="660" t="s">
        <v>306</v>
      </c>
      <c r="D13" s="660" t="s">
        <v>306</v>
      </c>
      <c r="E13" s="660" t="s">
        <v>306</v>
      </c>
      <c r="F13" s="683">
        <f>906678*104.4/100*104/100*104.2/100*104.2/100*104.2/100</f>
        <v>1113756.0414040666</v>
      </c>
      <c r="G13" s="685" t="s">
        <v>594</v>
      </c>
    </row>
    <row r="14" spans="1:7" s="507" customFormat="1" x14ac:dyDescent="0.25">
      <c r="A14" s="881" t="s">
        <v>1</v>
      </c>
      <c r="B14" s="882"/>
      <c r="C14" s="133">
        <f>SUM(C12:C13)</f>
        <v>0</v>
      </c>
      <c r="D14" s="133">
        <f>SUM(D12:D13)</f>
        <v>0</v>
      </c>
      <c r="E14" s="647" t="s">
        <v>306</v>
      </c>
      <c r="F14" s="133">
        <f>SUM(F12:F13)</f>
        <v>1420854.0523307866</v>
      </c>
      <c r="G14" s="647" t="s">
        <v>306</v>
      </c>
    </row>
    <row r="15" spans="1:7" ht="240.75" customHeight="1" x14ac:dyDescent="0.25">
      <c r="A15" s="873" t="s">
        <v>980</v>
      </c>
      <c r="B15" s="874"/>
      <c r="C15" s="874"/>
      <c r="D15" s="874"/>
      <c r="E15" s="874"/>
      <c r="F15" s="875"/>
      <c r="G15" s="874"/>
    </row>
    <row r="16" spans="1:7" s="451" customFormat="1" ht="38.1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77" t="s">
        <v>304</v>
      </c>
      <c r="F16" s="877"/>
      <c r="G16" s="877"/>
    </row>
    <row r="17" spans="1:7" s="451" customFormat="1" ht="38.1" customHeight="1" x14ac:dyDescent="0.25">
      <c r="A17" s="844" t="s">
        <v>420</v>
      </c>
      <c r="B17" s="844"/>
      <c r="C17" s="844"/>
      <c r="D17" s="844"/>
      <c r="E17" s="844" t="s">
        <v>421</v>
      </c>
      <c r="F17" s="844"/>
      <c r="G17" s="844"/>
    </row>
    <row r="18" spans="1:7" ht="11.25" customHeight="1" x14ac:dyDescent="0.25">
      <c r="A18" s="22" t="s">
        <v>406</v>
      </c>
      <c r="B18" s="22"/>
      <c r="C18" s="650" t="s">
        <v>502</v>
      </c>
      <c r="D18" s="22"/>
      <c r="E18" s="845" t="s">
        <v>503</v>
      </c>
      <c r="F18" s="845"/>
      <c r="G18" s="845"/>
    </row>
    <row r="19" spans="1:7" ht="13.5" customHeight="1" x14ac:dyDescent="0.25">
      <c r="A19" s="738" t="str">
        <f>Плановая2!A63</f>
        <v>"07" апреля  2025 г.</v>
      </c>
      <c r="B19" s="738"/>
      <c r="C19" s="738"/>
      <c r="D19" s="738"/>
      <c r="E19" s="803" t="str">
        <f>A19</f>
        <v>"07" апреля  2025 г.</v>
      </c>
      <c r="F19" s="803"/>
      <c r="G19" s="803"/>
    </row>
    <row r="20" spans="1:7" ht="16.5" customHeight="1" x14ac:dyDescent="0.25">
      <c r="A20" s="651"/>
      <c r="B20" s="651"/>
      <c r="C20" s="651"/>
      <c r="D20" s="678"/>
      <c r="E20" s="43"/>
      <c r="F20" s="43"/>
      <c r="G20" s="43"/>
    </row>
    <row r="21" spans="1:7" ht="15" customHeight="1" x14ac:dyDescent="0.25"/>
    <row r="22" spans="1:7" x14ac:dyDescent="0.25">
      <c r="A22" s="654"/>
      <c r="F22" s="43"/>
    </row>
    <row r="23" spans="1:7" ht="34.5" customHeight="1" x14ac:dyDescent="0.25">
      <c r="A23" s="876"/>
      <c r="B23" s="876"/>
      <c r="C23" s="653"/>
      <c r="D23" s="653"/>
      <c r="E23" s="653"/>
    </row>
    <row r="24" spans="1:7" ht="21.75" customHeight="1" x14ac:dyDescent="0.25">
      <c r="A24" s="21"/>
    </row>
    <row r="25" spans="1:7" ht="15" customHeight="1" x14ac:dyDescent="0.25">
      <c r="A25" s="649"/>
    </row>
    <row r="26" spans="1:7" ht="15" customHeight="1" x14ac:dyDescent="0.25">
      <c r="A26" s="54"/>
    </row>
    <row r="27" spans="1:7" x14ac:dyDescent="0.25">
      <c r="A27" s="43"/>
      <c r="B27" s="679"/>
      <c r="C27" s="679"/>
      <c r="D27" s="679"/>
      <c r="E27" s="679"/>
    </row>
    <row r="28" spans="1:7" ht="30" customHeight="1" x14ac:dyDescent="0.25">
      <c r="A28" s="43"/>
      <c r="B28" s="21"/>
      <c r="C28" s="21"/>
      <c r="D28" s="21"/>
      <c r="E28" s="21"/>
      <c r="F28" s="43"/>
      <c r="G28" s="43"/>
    </row>
    <row r="29" spans="1:7" x14ac:dyDescent="0.25">
      <c r="A29" s="43"/>
      <c r="B29" s="22"/>
      <c r="C29" s="22"/>
      <c r="D29" s="22"/>
      <c r="E29" s="22"/>
      <c r="F29" s="43"/>
      <c r="G29" s="43"/>
    </row>
    <row r="30" spans="1:7" x14ac:dyDescent="0.25">
      <c r="A30" s="43"/>
      <c r="B30" s="22"/>
      <c r="C30" s="22"/>
      <c r="D30" s="22"/>
      <c r="E30" s="22"/>
      <c r="F30" s="43"/>
      <c r="G30" s="43"/>
    </row>
    <row r="31" spans="1:7" ht="22.5" customHeight="1" x14ac:dyDescent="0.25">
      <c r="A31" s="43"/>
      <c r="B31" s="21"/>
      <c r="C31" s="21"/>
      <c r="D31" s="21"/>
      <c r="E31" s="21"/>
      <c r="F31" s="562"/>
      <c r="G31" s="562"/>
    </row>
    <row r="32" spans="1:7" x14ac:dyDescent="0.25">
      <c r="A32" s="43"/>
      <c r="B32" s="57"/>
      <c r="C32" s="57"/>
      <c r="D32" s="57"/>
      <c r="E32" s="57"/>
      <c r="F32" s="43"/>
      <c r="G32" s="43"/>
    </row>
    <row r="36" spans="2:2" x14ac:dyDescent="0.25">
      <c r="B36" s="680"/>
    </row>
  </sheetData>
  <mergeCells count="20">
    <mergeCell ref="F9:F10"/>
    <mergeCell ref="A3:G3"/>
    <mergeCell ref="A6:G6"/>
    <mergeCell ref="A14:B14"/>
    <mergeCell ref="A5:G5"/>
    <mergeCell ref="C9:D9"/>
    <mergeCell ref="G9:G10"/>
    <mergeCell ref="B9:B10"/>
    <mergeCell ref="A9:A10"/>
    <mergeCell ref="E9:E10"/>
    <mergeCell ref="A4:G4"/>
    <mergeCell ref="A15:G15"/>
    <mergeCell ref="A19:D19"/>
    <mergeCell ref="A23:B23"/>
    <mergeCell ref="A16:D16"/>
    <mergeCell ref="A17:D17"/>
    <mergeCell ref="E16:G16"/>
    <mergeCell ref="E17:G17"/>
    <mergeCell ref="E19:G19"/>
    <mergeCell ref="E18:G18"/>
  </mergeCells>
  <conditionalFormatting sqref="B28:E31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6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/>
  <dimension ref="A1:Q37"/>
  <sheetViews>
    <sheetView zoomScaleNormal="10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21" customWidth="1"/>
    <col min="2" max="2" width="35.42578125" style="21" customWidth="1"/>
    <col min="3" max="3" width="13.7109375" style="21" customWidth="1"/>
    <col min="4" max="4" width="14.42578125" style="21" customWidth="1"/>
    <col min="5" max="5" width="14" style="21" customWidth="1"/>
    <col min="6" max="6" width="13.85546875" style="21" customWidth="1"/>
    <col min="7" max="7" width="8.42578125" style="21" customWidth="1"/>
    <col min="8" max="8" width="12.42578125" style="21" customWidth="1"/>
    <col min="9" max="9" width="12" style="21" customWidth="1"/>
    <col min="10" max="10" width="10" style="21" customWidth="1"/>
    <col min="11" max="11" width="14.140625" style="21" customWidth="1"/>
    <col min="12" max="12" width="13.28515625" style="21" customWidth="1"/>
    <col min="13" max="13" width="12.85546875" style="21" customWidth="1"/>
    <col min="14" max="14" width="11.28515625" style="21" customWidth="1"/>
    <col min="15" max="15" width="12.28515625" style="21" customWidth="1"/>
    <col min="16" max="16" width="14.85546875" style="21" customWidth="1"/>
    <col min="17" max="17" width="9.28515625" style="21" customWidth="1"/>
    <col min="18" max="16384" width="0.7109375" style="21"/>
  </cols>
  <sheetData>
    <row r="1" spans="1:17" ht="15" customHeight="1" x14ac:dyDescent="0.25">
      <c r="P1" s="891" t="s">
        <v>106</v>
      </c>
      <c r="Q1" s="891"/>
    </row>
    <row r="2" spans="1:17" ht="21.75" customHeight="1" x14ac:dyDescent="0.25">
      <c r="A2" s="789" t="s">
        <v>576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789"/>
      <c r="O2" s="789"/>
      <c r="P2" s="789"/>
      <c r="Q2" s="789"/>
    </row>
    <row r="3" spans="1:17" ht="54.95" customHeight="1" x14ac:dyDescent="0.25">
      <c r="A3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</row>
    <row r="4" spans="1:17" ht="15" customHeight="1" x14ac:dyDescent="0.25">
      <c r="E4" s="898" t="s">
        <v>212</v>
      </c>
      <c r="F4" s="898"/>
      <c r="G4" s="898"/>
      <c r="H4" s="898"/>
      <c r="I4" s="898"/>
      <c r="J4" s="898"/>
      <c r="K4" s="627"/>
      <c r="L4" s="627"/>
    </row>
    <row r="5" spans="1:17" x14ac:dyDescent="0.25">
      <c r="A5" s="755" t="s">
        <v>44</v>
      </c>
      <c r="B5" s="755" t="s">
        <v>117</v>
      </c>
      <c r="C5" s="752" t="s">
        <v>269</v>
      </c>
      <c r="D5" s="752" t="s">
        <v>118</v>
      </c>
      <c r="E5" s="752" t="s">
        <v>568</v>
      </c>
      <c r="F5" s="752" t="s">
        <v>241</v>
      </c>
      <c r="G5" s="769" t="s">
        <v>14</v>
      </c>
      <c r="H5" s="910"/>
      <c r="I5" s="910"/>
      <c r="J5" s="910"/>
      <c r="K5" s="910"/>
      <c r="L5" s="910"/>
      <c r="M5" s="910"/>
      <c r="N5" s="910"/>
      <c r="O5" s="910"/>
      <c r="P5" s="910"/>
      <c r="Q5" s="911"/>
    </row>
    <row r="6" spans="1:17" ht="46.5" customHeight="1" x14ac:dyDescent="0.25">
      <c r="A6" s="755"/>
      <c r="B6" s="755"/>
      <c r="C6" s="753"/>
      <c r="D6" s="753"/>
      <c r="E6" s="753"/>
      <c r="F6" s="908"/>
      <c r="G6" s="769" t="s">
        <v>981</v>
      </c>
      <c r="H6" s="910"/>
      <c r="I6" s="755" t="s">
        <v>982</v>
      </c>
      <c r="J6" s="755"/>
      <c r="K6" s="869"/>
      <c r="L6" s="896" t="s">
        <v>983</v>
      </c>
      <c r="M6" s="765" t="s">
        <v>247</v>
      </c>
      <c r="N6" s="912"/>
      <c r="O6" s="755" t="s">
        <v>248</v>
      </c>
      <c r="P6" s="755"/>
      <c r="Q6" s="755" t="s">
        <v>249</v>
      </c>
    </row>
    <row r="7" spans="1:17" ht="71.25" customHeight="1" x14ac:dyDescent="0.25">
      <c r="A7" s="755"/>
      <c r="B7" s="755"/>
      <c r="C7" s="754"/>
      <c r="D7" s="754"/>
      <c r="E7" s="754"/>
      <c r="F7" s="909"/>
      <c r="G7" s="645" t="s">
        <v>119</v>
      </c>
      <c r="H7" s="646" t="s">
        <v>120</v>
      </c>
      <c r="I7" s="645" t="s">
        <v>985</v>
      </c>
      <c r="J7" s="644" t="s">
        <v>203</v>
      </c>
      <c r="K7" s="645" t="s">
        <v>246</v>
      </c>
      <c r="L7" s="897"/>
      <c r="M7" s="646" t="s">
        <v>119</v>
      </c>
      <c r="N7" s="646" t="s">
        <v>120</v>
      </c>
      <c r="O7" s="644" t="s">
        <v>121</v>
      </c>
      <c r="P7" s="652" t="s">
        <v>120</v>
      </c>
      <c r="Q7" s="869"/>
    </row>
    <row r="8" spans="1:17" x14ac:dyDescent="0.25">
      <c r="A8" s="652">
        <v>1</v>
      </c>
      <c r="B8" s="652">
        <v>2</v>
      </c>
      <c r="C8" s="652">
        <v>3</v>
      </c>
      <c r="D8" s="652">
        <v>4</v>
      </c>
      <c r="E8" s="652">
        <v>5</v>
      </c>
      <c r="F8" s="652">
        <v>6</v>
      </c>
      <c r="G8" s="652">
        <v>7</v>
      </c>
      <c r="H8" s="652">
        <v>8</v>
      </c>
      <c r="I8" s="652">
        <v>9</v>
      </c>
      <c r="J8" s="652">
        <v>10</v>
      </c>
      <c r="K8" s="652">
        <v>11</v>
      </c>
      <c r="L8" s="652">
        <v>12</v>
      </c>
      <c r="M8" s="652">
        <v>13</v>
      </c>
      <c r="N8" s="652">
        <v>14</v>
      </c>
      <c r="O8" s="652">
        <v>15</v>
      </c>
      <c r="P8" s="652">
        <v>16</v>
      </c>
      <c r="Q8" s="652">
        <v>17</v>
      </c>
    </row>
    <row r="9" spans="1:17" x14ac:dyDescent="0.25">
      <c r="A9" s="686" t="s">
        <v>38</v>
      </c>
      <c r="B9" s="691" t="str">
        <f>"Плановые затраты на"&amp;год&amp;"г. "</f>
        <v xml:space="preserve">Плановые затраты на2030г. </v>
      </c>
      <c r="C9" s="687" t="s">
        <v>306</v>
      </c>
      <c r="D9" s="687" t="s">
        <v>306</v>
      </c>
      <c r="E9" s="688">
        <f>E13</f>
        <v>35</v>
      </c>
      <c r="F9" s="688">
        <f>F13</f>
        <v>323875.35948269459</v>
      </c>
      <c r="G9" s="688"/>
      <c r="H9" s="688">
        <f>H13</f>
        <v>24500</v>
      </c>
      <c r="I9" s="693">
        <f>зарплата/22*105.7/100*104.1/100*102.6/100*102.6/100*102.6/100</f>
        <v>4413.6079442047376</v>
      </c>
      <c r="J9" s="688" t="s">
        <v>306</v>
      </c>
      <c r="K9" s="688">
        <f>K13</f>
        <v>26481.647665228425</v>
      </c>
      <c r="L9" s="688">
        <f>L13</f>
        <v>4925.5864657324883</v>
      </c>
      <c r="M9" s="688" t="s">
        <v>306</v>
      </c>
      <c r="N9" s="688">
        <f>N13</f>
        <v>150478.02535409282</v>
      </c>
      <c r="O9" s="688" t="s">
        <v>306</v>
      </c>
      <c r="P9" s="688">
        <f>P13</f>
        <v>117516.58164530608</v>
      </c>
      <c r="Q9" s="687" t="s">
        <v>306</v>
      </c>
    </row>
    <row r="10" spans="1:17" ht="30" x14ac:dyDescent="0.25">
      <c r="A10" s="10" t="s">
        <v>38</v>
      </c>
      <c r="B10" s="369" t="s">
        <v>609</v>
      </c>
      <c r="C10" s="143">
        <v>1</v>
      </c>
      <c r="D10" s="143">
        <v>11</v>
      </c>
      <c r="E10" s="652">
        <f>C10*D10</f>
        <v>11</v>
      </c>
      <c r="F10" s="132">
        <f>H10+K10+L10+N10+P10</f>
        <v>104625.5383922488</v>
      </c>
      <c r="G10" s="132">
        <v>700</v>
      </c>
      <c r="H10" s="132">
        <f>E10*G10</f>
        <v>7700</v>
      </c>
      <c r="I10" s="700">
        <f>зарплата/22*105.7/100*104.1/100*102.6/100*102.6/100*102.6/100</f>
        <v>4413.6079442047376</v>
      </c>
      <c r="J10" s="132">
        <v>2</v>
      </c>
      <c r="K10" s="132">
        <f>I10*J10*C10</f>
        <v>8827.2158884094752</v>
      </c>
      <c r="L10" s="132">
        <f>K10*18.5%</f>
        <v>1633.0349393557528</v>
      </c>
      <c r="M10" s="173">
        <f>3500*104.4/100*104/100*104.2/100*104.2/100*104.2/100</f>
        <v>4299.3721529740806</v>
      </c>
      <c r="N10" s="132">
        <f>M10*(E10)</f>
        <v>47293.093682714883</v>
      </c>
      <c r="O10" s="132">
        <f>(19695+6097+6097)*104.4/100*104/100*104.2/100*104.2/100*104.2/100</f>
        <v>39172.193881768697</v>
      </c>
      <c r="P10" s="132">
        <f>O10*C10</f>
        <v>39172.193881768697</v>
      </c>
      <c r="Q10" s="132" t="s">
        <v>306</v>
      </c>
    </row>
    <row r="11" spans="1:17" x14ac:dyDescent="0.25">
      <c r="A11" s="10" t="s">
        <v>597</v>
      </c>
      <c r="B11" s="369" t="s">
        <v>610</v>
      </c>
      <c r="C11" s="143">
        <v>2</v>
      </c>
      <c r="D11" s="143">
        <v>7</v>
      </c>
      <c r="E11" s="652">
        <f>C11*D11</f>
        <v>14</v>
      </c>
      <c r="F11" s="132">
        <f>H11+K11+L11+N11+P11</f>
        <v>169256.09956070498</v>
      </c>
      <c r="G11" s="132">
        <v>700</v>
      </c>
      <c r="H11" s="132">
        <f>E11*G11</f>
        <v>9800</v>
      </c>
      <c r="I11" s="700">
        <f>зарплата/22*105.7/100*104.1/100*102.6/100*102.6/100*102.6/100</f>
        <v>4413.6079442047376</v>
      </c>
      <c r="J11" s="132">
        <v>2</v>
      </c>
      <c r="K11" s="132">
        <f>I11*J11*C11</f>
        <v>17654.43177681895</v>
      </c>
      <c r="L11" s="132">
        <f>K11*18.5%</f>
        <v>3266.0698787115057</v>
      </c>
      <c r="M11" s="173">
        <f>3500*104.4/100*104/100*104.2/100*104.2/100*104.2/100</f>
        <v>4299.3721529740806</v>
      </c>
      <c r="N11" s="132">
        <f>M11*(E11)</f>
        <v>60191.21014163713</v>
      </c>
      <c r="O11" s="132">
        <f>(19695+6097+6097)*104.4/100*104/100*104.2/100*104.2/100*104.2/100</f>
        <v>39172.193881768697</v>
      </c>
      <c r="P11" s="132">
        <f>O11*C11</f>
        <v>78344.387763537394</v>
      </c>
      <c r="Q11" s="132" t="s">
        <v>306</v>
      </c>
    </row>
    <row r="12" spans="1:17" ht="45" x14ac:dyDescent="0.25">
      <c r="A12" s="10" t="s">
        <v>924</v>
      </c>
      <c r="B12" s="369" t="s">
        <v>596</v>
      </c>
      <c r="C12" s="143">
        <v>1</v>
      </c>
      <c r="D12" s="143">
        <v>10</v>
      </c>
      <c r="E12" s="652">
        <f>C12*D12</f>
        <v>10</v>
      </c>
      <c r="F12" s="132">
        <f>H12+K12+L12+N12+P12</f>
        <v>49993.721529740804</v>
      </c>
      <c r="G12" s="132">
        <v>700</v>
      </c>
      <c r="H12" s="132">
        <f>E12*G12</f>
        <v>7000</v>
      </c>
      <c r="I12" s="700">
        <f>зарплата/22*105.7/100*104.1/100*102.6/100*102.6/100*102.6/100</f>
        <v>4413.6079442047376</v>
      </c>
      <c r="J12" s="132">
        <v>0</v>
      </c>
      <c r="K12" s="132">
        <f>I12*J12*C12</f>
        <v>0</v>
      </c>
      <c r="L12" s="132">
        <f>K12*18.5%</f>
        <v>0</v>
      </c>
      <c r="M12" s="173">
        <f>3500*104.4/100*104/100*104.2/100*104.2/100*104.2/100</f>
        <v>4299.3721529740806</v>
      </c>
      <c r="N12" s="132">
        <f>M12*(E12)</f>
        <v>42993.721529740804</v>
      </c>
      <c r="O12" s="132">
        <v>0</v>
      </c>
      <c r="P12" s="132">
        <f>O12*C12</f>
        <v>0</v>
      </c>
      <c r="Q12" s="132" t="s">
        <v>306</v>
      </c>
    </row>
    <row r="13" spans="1:17" ht="28.5" x14ac:dyDescent="0.25">
      <c r="A13" s="689"/>
      <c r="B13" s="692" t="str">
        <f>"Итого Плановые затраты на "&amp;год&amp;"г."</f>
        <v>Итого Плановые затраты на 2030г.</v>
      </c>
      <c r="C13" s="500" t="s">
        <v>306</v>
      </c>
      <c r="D13" s="500" t="s">
        <v>306</v>
      </c>
      <c r="E13" s="690">
        <f>SUM(E10:E12)</f>
        <v>35</v>
      </c>
      <c r="F13" s="690">
        <f>SUM(F10:F12)</f>
        <v>323875.35948269459</v>
      </c>
      <c r="G13" s="500" t="s">
        <v>306</v>
      </c>
      <c r="H13" s="690">
        <f>SUM(H10:H12)</f>
        <v>24500</v>
      </c>
      <c r="I13" s="500" t="s">
        <v>306</v>
      </c>
      <c r="J13" s="500" t="s">
        <v>306</v>
      </c>
      <c r="K13" s="690">
        <f>SUM(K10:K12)</f>
        <v>26481.647665228425</v>
      </c>
      <c r="L13" s="132">
        <f>K13*18.6%</f>
        <v>4925.5864657324883</v>
      </c>
      <c r="M13" s="500" t="s">
        <v>306</v>
      </c>
      <c r="N13" s="690">
        <f>SUM(N10:N12)</f>
        <v>150478.02535409282</v>
      </c>
      <c r="O13" s="500" t="s">
        <v>306</v>
      </c>
      <c r="P13" s="690">
        <f>SUM(P10:P12)</f>
        <v>117516.58164530608</v>
      </c>
      <c r="Q13" s="500" t="s">
        <v>306</v>
      </c>
    </row>
    <row r="14" spans="1:17" ht="27" customHeight="1" x14ac:dyDescent="0.25">
      <c r="A14" s="902" t="s">
        <v>524</v>
      </c>
      <c r="B14" s="899" t="s">
        <v>607</v>
      </c>
      <c r="C14" s="900"/>
      <c r="D14" s="132" t="s">
        <v>306</v>
      </c>
      <c r="E14" s="132" t="s">
        <v>306</v>
      </c>
      <c r="F14" s="132" t="s">
        <v>306</v>
      </c>
      <c r="G14" s="132" t="s">
        <v>306</v>
      </c>
      <c r="H14" s="132" t="s">
        <v>306</v>
      </c>
      <c r="I14" s="132" t="s">
        <v>306</v>
      </c>
      <c r="J14" s="132" t="s">
        <v>306</v>
      </c>
      <c r="K14" s="132" t="s">
        <v>306</v>
      </c>
      <c r="L14" s="132" t="s">
        <v>306</v>
      </c>
      <c r="M14" s="132" t="s">
        <v>306</v>
      </c>
      <c r="N14" s="132" t="s">
        <v>306</v>
      </c>
      <c r="O14" s="132" t="s">
        <v>306</v>
      </c>
      <c r="P14" s="132" t="s">
        <v>306</v>
      </c>
      <c r="Q14" s="132" t="s">
        <v>306</v>
      </c>
    </row>
    <row r="15" spans="1:17" x14ac:dyDescent="0.25">
      <c r="A15" s="903"/>
      <c r="B15" s="892" t="s">
        <v>307</v>
      </c>
      <c r="C15" s="893"/>
      <c r="D15" s="652" t="s">
        <v>82</v>
      </c>
      <c r="E15" s="652" t="s">
        <v>82</v>
      </c>
      <c r="F15" s="173" t="s">
        <v>306</v>
      </c>
      <c r="G15" s="132" t="s">
        <v>82</v>
      </c>
      <c r="H15" s="132" t="s">
        <v>306</v>
      </c>
      <c r="I15" s="132" t="s">
        <v>306</v>
      </c>
      <c r="J15" s="132" t="s">
        <v>82</v>
      </c>
      <c r="K15" s="132" t="s">
        <v>306</v>
      </c>
      <c r="L15" s="132" t="s">
        <v>306</v>
      </c>
      <c r="M15" s="132" t="s">
        <v>82</v>
      </c>
      <c r="N15" s="647" t="s">
        <v>306</v>
      </c>
      <c r="O15" s="132" t="s">
        <v>82</v>
      </c>
      <c r="P15" s="647" t="s">
        <v>306</v>
      </c>
      <c r="Q15" s="647" t="s">
        <v>306</v>
      </c>
    </row>
    <row r="16" spans="1:17" s="161" customFormat="1" ht="48.95" customHeight="1" x14ac:dyDescent="0.25">
      <c r="A16" s="903"/>
      <c r="B16" s="894" t="str">
        <f>"ВСЕГО на "&amp;год&amp;"г."</f>
        <v>ВСЕГО на 2030г.</v>
      </c>
      <c r="C16" s="895"/>
      <c r="D16" s="151" t="s">
        <v>306</v>
      </c>
      <c r="E16" s="159">
        <f>E13</f>
        <v>35</v>
      </c>
      <c r="F16" s="159">
        <f>F13</f>
        <v>323875.35948269459</v>
      </c>
      <c r="G16" s="159" t="s">
        <v>306</v>
      </c>
      <c r="H16" s="159">
        <f>H13</f>
        <v>24500</v>
      </c>
      <c r="I16" s="159" t="s">
        <v>306</v>
      </c>
      <c r="J16" s="160" t="s">
        <v>306</v>
      </c>
      <c r="K16" s="159">
        <f>K13</f>
        <v>26481.647665228425</v>
      </c>
      <c r="L16" s="500">
        <f>K16*18.6%</f>
        <v>4925.5864657324883</v>
      </c>
      <c r="M16" s="159" t="s">
        <v>306</v>
      </c>
      <c r="N16" s="159">
        <f>N13</f>
        <v>150478.02535409282</v>
      </c>
      <c r="O16" s="159" t="s">
        <v>306</v>
      </c>
      <c r="P16" s="159">
        <f>P13</f>
        <v>117516.58164530608</v>
      </c>
      <c r="Q16" s="151" t="s">
        <v>306</v>
      </c>
    </row>
    <row r="17" spans="1:17" s="161" customFormat="1" ht="36" customHeight="1" x14ac:dyDescent="0.25">
      <c r="A17" s="904" t="s">
        <v>578</v>
      </c>
      <c r="B17" s="905"/>
      <c r="C17" s="905"/>
      <c r="D17" s="905"/>
      <c r="E17" s="905"/>
      <c r="F17" s="905"/>
      <c r="G17" s="905"/>
      <c r="H17" s="905"/>
      <c r="I17" s="905"/>
      <c r="J17" s="905"/>
      <c r="K17" s="905"/>
      <c r="L17" s="905"/>
      <c r="M17" s="905"/>
      <c r="N17" s="905"/>
      <c r="O17" s="905"/>
      <c r="P17" s="905"/>
      <c r="Q17" s="905"/>
    </row>
    <row r="18" spans="1:17" ht="323.25" customHeight="1" x14ac:dyDescent="0.25">
      <c r="A18" s="780" t="s">
        <v>984</v>
      </c>
      <c r="B18" s="907"/>
      <c r="C18" s="907"/>
      <c r="D18" s="907"/>
      <c r="E18" s="907"/>
      <c r="F18" s="907"/>
      <c r="G18" s="907"/>
      <c r="H18" s="907"/>
      <c r="I18" s="907"/>
      <c r="J18" s="907"/>
      <c r="K18" s="907"/>
      <c r="L18" s="907"/>
      <c r="M18" s="907"/>
      <c r="N18" s="907"/>
      <c r="O18" s="907"/>
      <c r="P18" s="907"/>
      <c r="Q18" s="907"/>
    </row>
    <row r="19" spans="1:17" x14ac:dyDescent="0.2">
      <c r="A19" s="771" t="str">
        <f>Плановая2!A60</f>
        <v>Первый заместитель Генерального директора ООО "Бенефит Бизнес"</v>
      </c>
      <c r="B19" s="771"/>
      <c r="C19" s="771"/>
      <c r="D19" s="771"/>
      <c r="E19" s="771"/>
      <c r="F19" s="906" t="s">
        <v>304</v>
      </c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</row>
    <row r="20" spans="1:17" ht="27" customHeight="1" x14ac:dyDescent="0.2">
      <c r="A20" s="844" t="s">
        <v>422</v>
      </c>
      <c r="B20" s="844"/>
      <c r="C20" s="844"/>
      <c r="D20" s="844"/>
      <c r="E20" s="844"/>
      <c r="F20" s="844" t="s">
        <v>504</v>
      </c>
      <c r="G20" s="844"/>
      <c r="H20" s="844"/>
      <c r="I20" s="844"/>
      <c r="J20" s="844"/>
      <c r="K20" s="844"/>
      <c r="L20" s="844"/>
      <c r="M20" s="844"/>
      <c r="N20" s="844"/>
      <c r="O20" s="844"/>
      <c r="P20" s="844"/>
      <c r="Q20" s="844"/>
    </row>
    <row r="21" spans="1:17" x14ac:dyDescent="0.25">
      <c r="A21" s="845" t="s">
        <v>423</v>
      </c>
      <c r="B21" s="845"/>
      <c r="C21" s="845"/>
      <c r="D21" s="845"/>
      <c r="E21" s="845"/>
      <c r="F21" s="845" t="str">
        <f>A21</f>
        <v xml:space="preserve">     (подпись)                                                                             (Ф.И.О.)</v>
      </c>
      <c r="G21" s="845"/>
      <c r="H21" s="845"/>
      <c r="I21" s="845"/>
      <c r="J21" s="845"/>
      <c r="K21" s="845"/>
      <c r="L21" s="845"/>
      <c r="M21" s="22"/>
      <c r="N21" s="22"/>
      <c r="O21" s="22"/>
      <c r="P21" s="657"/>
      <c r="Q21" s="657"/>
    </row>
    <row r="22" spans="1:17" x14ac:dyDescent="0.25">
      <c r="A22" s="738" t="str">
        <f>Плановая2!A63</f>
        <v>"07" апреля  2025 г.</v>
      </c>
      <c r="B22" s="738"/>
      <c r="C22" s="738"/>
      <c r="D22" s="738"/>
      <c r="E22" s="56"/>
      <c r="F22" s="803" t="str">
        <f>A22</f>
        <v>"07" апреля  2025 г.</v>
      </c>
      <c r="G22" s="803"/>
      <c r="H22" s="803"/>
      <c r="I22" s="803"/>
      <c r="J22" s="651"/>
      <c r="K22" s="651"/>
      <c r="L22" s="651"/>
      <c r="M22" s="651"/>
      <c r="N22" s="651"/>
      <c r="O22" s="846"/>
      <c r="P22" s="913"/>
      <c r="Q22" s="913"/>
    </row>
    <row r="24" spans="1:17" x14ac:dyDescent="0.25">
      <c r="E24" s="54"/>
      <c r="F24" s="54"/>
    </row>
    <row r="37" spans="2:2" x14ac:dyDescent="0.25">
      <c r="B37" s="19"/>
    </row>
  </sheetData>
  <autoFilter ref="A8:Q22" xr:uid="{00000000-0009-0000-0000-00000C000000}"/>
  <mergeCells count="32">
    <mergeCell ref="A21:E21"/>
    <mergeCell ref="A22:D22"/>
    <mergeCell ref="O22:Q22"/>
    <mergeCell ref="F22:I22"/>
    <mergeCell ref="F21:L21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</mergeCells>
  <phoneticPr fontId="5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785D-C046-934D-9485-D22ADDAE6146}">
  <dimension ref="A1:G77"/>
  <sheetViews>
    <sheetView view="pageBreakPreview" topLeftCell="A7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701" customWidth="1"/>
    <col min="2" max="2" width="78.42578125" style="59" customWidth="1"/>
    <col min="3" max="3" width="22.140625" style="59" customWidth="1"/>
    <col min="4" max="4" width="20" style="59" customWidth="1"/>
    <col min="5" max="5" width="19" style="59" customWidth="1"/>
    <col min="6" max="6" width="28.28515625" style="59" customWidth="1"/>
    <col min="7" max="7" width="20.42578125" style="59" customWidth="1"/>
    <col min="8" max="8" width="9.140625" style="59"/>
    <col min="9" max="9" width="89.42578125" style="59" customWidth="1"/>
    <col min="10" max="16384" width="9.140625" style="59"/>
  </cols>
  <sheetData>
    <row r="1" spans="1:7" ht="23.25" customHeight="1" x14ac:dyDescent="0.25">
      <c r="F1" s="62" t="s">
        <v>208</v>
      </c>
    </row>
    <row r="2" spans="1:7" ht="54.75" customHeight="1" x14ac:dyDescent="0.25">
      <c r="A2" s="698" t="s">
        <v>86</v>
      </c>
      <c r="B2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" s="743"/>
      <c r="D2" s="743"/>
      <c r="E2" s="743"/>
      <c r="F2" s="743"/>
      <c r="G2" s="699"/>
    </row>
    <row r="3" spans="1:7" ht="21" customHeight="1" x14ac:dyDescent="0.25">
      <c r="A3" s="920"/>
      <c r="B3" s="921"/>
      <c r="C3" s="921"/>
      <c r="D3" s="921"/>
      <c r="E3" s="921"/>
      <c r="F3" s="921"/>
    </row>
    <row r="4" spans="1:7" s="21" customFormat="1" ht="33.950000000000003" customHeight="1" x14ac:dyDescent="0.25">
      <c r="A4" s="922" t="s">
        <v>355</v>
      </c>
      <c r="B4" s="923"/>
      <c r="C4" s="923"/>
      <c r="D4" s="923"/>
      <c r="E4" s="923"/>
      <c r="F4" s="923"/>
    </row>
    <row r="5" spans="1:7" x14ac:dyDescent="0.25">
      <c r="A5" s="60"/>
      <c r="B5" s="916" t="s">
        <v>353</v>
      </c>
      <c r="C5" s="921"/>
      <c r="D5" s="921"/>
      <c r="E5" s="921"/>
      <c r="F5" s="698"/>
    </row>
    <row r="6" spans="1:7" ht="16.5" customHeight="1" x14ac:dyDescent="0.25">
      <c r="A6" s="60"/>
      <c r="B6" s="702"/>
      <c r="C6" s="703"/>
      <c r="D6" s="703"/>
      <c r="E6" s="703"/>
      <c r="F6" s="62" t="s">
        <v>21</v>
      </c>
    </row>
    <row r="7" spans="1:7" ht="45" x14ac:dyDescent="0.25">
      <c r="A7" s="917" t="s">
        <v>44</v>
      </c>
      <c r="B7" s="927" t="s">
        <v>4</v>
      </c>
      <c r="C7" s="697" t="s">
        <v>882</v>
      </c>
      <c r="D7" s="924" t="s">
        <v>881</v>
      </c>
      <c r="E7" s="924"/>
      <c r="F7" s="69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17"/>
      <c r="B8" s="928"/>
      <c r="C8" s="219" t="s">
        <v>25</v>
      </c>
      <c r="D8" s="219" t="s">
        <v>26</v>
      </c>
      <c r="E8" s="697" t="s">
        <v>25</v>
      </c>
      <c r="F8" s="697" t="s">
        <v>26</v>
      </c>
    </row>
    <row r="9" spans="1:7" ht="15" customHeight="1" x14ac:dyDescent="0.25">
      <c r="A9" s="696" t="s">
        <v>38</v>
      </c>
      <c r="B9" s="7">
        <v>2</v>
      </c>
      <c r="C9" s="217">
        <v>3</v>
      </c>
      <c r="D9" s="216" t="s">
        <v>47</v>
      </c>
      <c r="E9" s="216" t="s">
        <v>48</v>
      </c>
      <c r="F9" s="215">
        <v>5</v>
      </c>
    </row>
    <row r="10" spans="1:7" x14ac:dyDescent="0.25">
      <c r="A10" s="696" t="s">
        <v>5</v>
      </c>
      <c r="B10" s="218" t="s">
        <v>334</v>
      </c>
      <c r="C10" s="214">
        <v>81705.03</v>
      </c>
      <c r="D10" s="214">
        <v>89712.12</v>
      </c>
      <c r="E10" s="214">
        <v>81882.36</v>
      </c>
      <c r="F10" s="214">
        <f>зарплата*105.7/100*104.1/100*102.6/100*102.6/100*102.6/100</f>
        <v>97099.374772504234</v>
      </c>
    </row>
    <row r="11" spans="1:7" x14ac:dyDescent="0.25">
      <c r="A11" s="696" t="s">
        <v>7</v>
      </c>
      <c r="B11" s="218" t="s">
        <v>986</v>
      </c>
      <c r="C11" s="214">
        <v>5437.63</v>
      </c>
      <c r="D11" s="214">
        <v>5970.51</v>
      </c>
      <c r="E11" s="214">
        <v>7421.8</v>
      </c>
      <c r="F11" s="214">
        <f>F10*F12/100</f>
        <v>6466.8183598487822</v>
      </c>
    </row>
    <row r="12" spans="1:7" x14ac:dyDescent="0.25">
      <c r="A12" s="696" t="s">
        <v>43</v>
      </c>
      <c r="B12" s="218" t="s">
        <v>987</v>
      </c>
      <c r="C12" s="214">
        <v>6.66</v>
      </c>
      <c r="D12" s="214">
        <v>6.66</v>
      </c>
      <c r="E12" s="214">
        <v>9.06</v>
      </c>
      <c r="F12" s="214">
        <v>6.66</v>
      </c>
    </row>
    <row r="13" spans="1:7" ht="12.75" customHeight="1" x14ac:dyDescent="0.25">
      <c r="A13" s="59"/>
    </row>
    <row r="14" spans="1:7" ht="15" customHeight="1" x14ac:dyDescent="0.25">
      <c r="A14" s="916" t="s">
        <v>239</v>
      </c>
      <c r="B14" s="916"/>
      <c r="C14" s="916"/>
      <c r="D14" s="916"/>
      <c r="E14" s="916"/>
      <c r="F14" s="916"/>
    </row>
    <row r="15" spans="1:7" ht="18.75" customHeight="1" x14ac:dyDescent="0.25">
      <c r="A15" s="60"/>
      <c r="B15" s="61"/>
      <c r="C15" s="61"/>
      <c r="D15" s="61"/>
      <c r="E15" s="61"/>
      <c r="F15" s="62" t="s">
        <v>21</v>
      </c>
    </row>
    <row r="16" spans="1:7" ht="45" x14ac:dyDescent="0.25">
      <c r="A16" s="917" t="s">
        <v>44</v>
      </c>
      <c r="B16" s="918" t="s">
        <v>284</v>
      </c>
      <c r="C16" s="697" t="s">
        <v>882</v>
      </c>
      <c r="D16" s="924" t="s">
        <v>913</v>
      </c>
      <c r="E16" s="924"/>
      <c r="F16" s="694" t="str">
        <f>"Планируемый период ("&amp; год &amp;"г.)"</f>
        <v>Планируемый период (2030г.)</v>
      </c>
    </row>
    <row r="17" spans="1:6" ht="17.25" customHeight="1" x14ac:dyDescent="0.25">
      <c r="A17" s="917"/>
      <c r="B17" s="919"/>
      <c r="C17" s="217" t="s">
        <v>25</v>
      </c>
      <c r="D17" s="217" t="s">
        <v>26</v>
      </c>
      <c r="E17" s="215" t="s">
        <v>25</v>
      </c>
      <c r="F17" s="215" t="s">
        <v>26</v>
      </c>
    </row>
    <row r="18" spans="1:6" ht="16.5" customHeight="1" x14ac:dyDescent="0.25">
      <c r="A18" s="696" t="s">
        <v>38</v>
      </c>
      <c r="B18" s="114">
        <v>2</v>
      </c>
      <c r="C18" s="217">
        <v>3</v>
      </c>
      <c r="D18" s="216" t="s">
        <v>47</v>
      </c>
      <c r="E18" s="216" t="s">
        <v>48</v>
      </c>
      <c r="F18" s="215">
        <v>5</v>
      </c>
    </row>
    <row r="19" spans="1:6" ht="30" x14ac:dyDescent="0.25">
      <c r="A19" s="696"/>
      <c r="B19" s="697" t="s">
        <v>507</v>
      </c>
      <c r="C19" s="704">
        <f>C12</f>
        <v>6.66</v>
      </c>
      <c r="D19" s="704">
        <v>6.66</v>
      </c>
      <c r="E19" s="704">
        <f>E12</f>
        <v>9.06</v>
      </c>
      <c r="F19" s="704">
        <f>F12</f>
        <v>6.66</v>
      </c>
    </row>
    <row r="20" spans="1:6" ht="90" customHeight="1" x14ac:dyDescent="0.25">
      <c r="A20" s="696" t="s">
        <v>5</v>
      </c>
      <c r="B20" s="69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704">
        <v>0</v>
      </c>
      <c r="D20" s="704">
        <v>0</v>
      </c>
      <c r="E20" s="704">
        <v>0</v>
      </c>
      <c r="F20" s="214">
        <f>'9 ОЗП'!L12*0.0666</f>
        <v>23600.147252509279</v>
      </c>
    </row>
    <row r="21" spans="1:6" ht="23.25" customHeight="1" x14ac:dyDescent="0.25">
      <c r="A21" s="696" t="s">
        <v>6</v>
      </c>
      <c r="B21" s="697" t="s">
        <v>508</v>
      </c>
      <c r="C21" s="704" t="s">
        <v>306</v>
      </c>
      <c r="D21" s="704" t="s">
        <v>306</v>
      </c>
      <c r="E21" s="704" t="s">
        <v>306</v>
      </c>
      <c r="F21" s="704" t="s">
        <v>306</v>
      </c>
    </row>
    <row r="22" spans="1:6" x14ac:dyDescent="0.25">
      <c r="A22" s="925" t="s">
        <v>1</v>
      </c>
      <c r="B22" s="926"/>
      <c r="C22" s="704" t="s">
        <v>306</v>
      </c>
      <c r="D22" s="704" t="s">
        <v>306</v>
      </c>
      <c r="E22" s="704">
        <f>E20</f>
        <v>0</v>
      </c>
      <c r="F22" s="214">
        <f>F20</f>
        <v>23600.147252509279</v>
      </c>
    </row>
    <row r="23" spans="1:6" ht="35.1" customHeight="1" x14ac:dyDescent="0.25">
      <c r="A23" s="914" t="s">
        <v>912</v>
      </c>
      <c r="B23" s="915"/>
      <c r="C23" s="915"/>
      <c r="D23" s="915"/>
      <c r="E23" s="915"/>
      <c r="F23" s="915"/>
    </row>
    <row r="24" spans="1:6" s="705" customFormat="1" ht="39.950000000000003" customHeight="1" x14ac:dyDescent="0.2">
      <c r="A24" s="771" t="s">
        <v>618</v>
      </c>
      <c r="B24" s="771"/>
      <c r="C24" s="771"/>
      <c r="D24" s="771" t="s">
        <v>304</v>
      </c>
      <c r="E24" s="771"/>
      <c r="F24" s="771"/>
    </row>
    <row r="25" spans="1:6" s="705" customFormat="1" ht="44.25" customHeight="1" x14ac:dyDescent="0.2">
      <c r="A25" s="746" t="s">
        <v>880</v>
      </c>
      <c r="B25" s="746"/>
      <c r="C25" s="746"/>
      <c r="D25" s="746" t="s">
        <v>393</v>
      </c>
      <c r="E25" s="746"/>
      <c r="F25" s="746"/>
    </row>
    <row r="26" spans="1:6" s="706" customFormat="1" ht="13.5" customHeight="1" x14ac:dyDescent="0.25">
      <c r="A26" s="807" t="s">
        <v>505</v>
      </c>
      <c r="B26" s="807"/>
      <c r="C26" s="807"/>
      <c r="D26" s="807" t="s">
        <v>506</v>
      </c>
      <c r="E26" s="807"/>
      <c r="F26" s="807"/>
    </row>
    <row r="27" spans="1:6" ht="20.25" customHeight="1" x14ac:dyDescent="0.25">
      <c r="A27" s="876" t="s">
        <v>886</v>
      </c>
      <c r="B27" s="876"/>
      <c r="C27" s="19"/>
      <c r="D27" s="21" t="s">
        <v>887</v>
      </c>
      <c r="E27" s="21"/>
      <c r="F27" s="19"/>
    </row>
    <row r="28" spans="1:6" ht="20.25" customHeight="1" x14ac:dyDescent="0.25">
      <c r="A28" s="63"/>
      <c r="B28" s="64"/>
      <c r="C28" s="695"/>
      <c r="D28" s="695"/>
      <c r="E28" s="65"/>
    </row>
    <row r="29" spans="1:6" x14ac:dyDescent="0.25">
      <c r="A29" s="59"/>
      <c r="C29" s="21"/>
    </row>
    <row r="32" spans="1:6" x14ac:dyDescent="0.25">
      <c r="A32" s="707"/>
      <c r="B32" s="708"/>
      <c r="C32" s="695"/>
      <c r="D32" s="695"/>
      <c r="E32" s="695"/>
    </row>
    <row r="33" spans="1:5" x14ac:dyDescent="0.25">
      <c r="A33" s="707"/>
      <c r="B33" s="708"/>
      <c r="C33" s="695"/>
      <c r="D33" s="695"/>
      <c r="E33" s="695"/>
    </row>
    <row r="34" spans="1:5" x14ac:dyDescent="0.25">
      <c r="A34" s="707"/>
      <c r="B34" s="708"/>
      <c r="C34" s="695"/>
      <c r="D34" s="695"/>
      <c r="E34" s="695"/>
    </row>
    <row r="35" spans="1:5" x14ac:dyDescent="0.25">
      <c r="A35" s="707"/>
      <c r="B35" s="708"/>
      <c r="C35" s="695"/>
      <c r="D35" s="695"/>
      <c r="E35" s="695"/>
    </row>
    <row r="36" spans="1:5" x14ac:dyDescent="0.25">
      <c r="A36" s="707"/>
      <c r="B36" s="708"/>
      <c r="C36" s="695"/>
      <c r="D36" s="695"/>
      <c r="E36" s="695"/>
    </row>
    <row r="37" spans="1:5" ht="48" customHeight="1" x14ac:dyDescent="0.25">
      <c r="A37" s="707"/>
      <c r="B37" s="708"/>
      <c r="C37" s="695"/>
      <c r="D37" s="695"/>
      <c r="E37" s="695"/>
    </row>
    <row r="38" spans="1:5" ht="49.5" customHeight="1" x14ac:dyDescent="0.25">
      <c r="A38" s="707"/>
      <c r="B38" s="708"/>
      <c r="C38" s="695"/>
      <c r="D38" s="695"/>
      <c r="E38" s="69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59"/>
    </row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</sheetData>
  <mergeCells count="20">
    <mergeCell ref="A24:C24"/>
    <mergeCell ref="A27:B27"/>
    <mergeCell ref="D24:F24"/>
    <mergeCell ref="A26:C26"/>
    <mergeCell ref="D26:F26"/>
    <mergeCell ref="A25:C25"/>
    <mergeCell ref="D25:F25"/>
    <mergeCell ref="A23:F23"/>
    <mergeCell ref="A14:F14"/>
    <mergeCell ref="A16:A17"/>
    <mergeCell ref="B16:B17"/>
    <mergeCell ref="B2:F2"/>
    <mergeCell ref="A3:F3"/>
    <mergeCell ref="A4:F4"/>
    <mergeCell ref="D7:E7"/>
    <mergeCell ref="A22:B22"/>
    <mergeCell ref="B7:B8"/>
    <mergeCell ref="A7:A8"/>
    <mergeCell ref="D16:E16"/>
    <mergeCell ref="B5:E5"/>
  </mergeCells>
  <printOptions horizontalCentered="1"/>
  <pageMargins left="0.43307086614173229" right="0.43307086614173229" top="0.74803149606299213" bottom="0.35433070866141736" header="0.31496062992125984" footer="0.31496062992125984"/>
  <pageSetup paperSize="9" scale="60" firstPageNumber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'20_приб'!Область_печати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2025-04-06T17:20:50Z</cp:lastPrinted>
  <dcterms:created xsi:type="dcterms:W3CDTF">2017-11-14T09:44:46Z</dcterms:created>
  <dcterms:modified xsi:type="dcterms:W3CDTF">2025-05-04T19:20:49Z</dcterms:modified>
</cp:coreProperties>
</file>